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B220" lockStructure="1"/>
  <bookViews>
    <workbookView xWindow="8445" yWindow="-15" windowWidth="6870" windowHeight="8730" tabRatio="544"/>
  </bookViews>
  <sheets>
    <sheet name="VD3-1" sheetId="1" r:id="rId1"/>
    <sheet name="DATA Table" sheetId="5" r:id="rId2"/>
  </sheets>
  <definedNames>
    <definedName name="ＣＵＳＥＲ">'DATA Table'!$Z$28:$AB$43</definedName>
    <definedName name="ＣＶ２３Ｃ">'DATA Table'!$V$28:$X$43</definedName>
    <definedName name="ＣＶＴ">'DATA Table'!$Z$7:$AB$22</definedName>
    <definedName name="ＩＶ">'DATA Table'!$V$7:$X$22</definedName>
    <definedName name="Ｍ">'DATA Table'!$AD$7:$AP$35</definedName>
    <definedName name="_xlnm.Print_Area" localSheetId="0">'VD3-1'!$E$10:$AW$57</definedName>
    <definedName name="変１">'DATA Table'!$B$5:$T$17</definedName>
    <definedName name="変３">'DATA Table'!$B$21:$T$35</definedName>
    <definedName name="変ＵＳＥＲ">'DATA Table'!$B$39:$E$53</definedName>
  </definedNames>
  <calcPr calcId="145621"/>
</workbook>
</file>

<file path=xl/calcChain.xml><?xml version="1.0" encoding="utf-8"?>
<calcChain xmlns="http://schemas.openxmlformats.org/spreadsheetml/2006/main">
  <c r="BG21" i="1" l="1"/>
  <c r="AC21" i="1" s="1"/>
  <c r="BN21" i="1" s="1"/>
  <c r="BO21" i="1" s="1"/>
  <c r="BJ22" i="1"/>
  <c r="AJ22" i="1" s="1"/>
  <c r="BS21" i="1" s="1"/>
  <c r="BH21" i="1"/>
  <c r="BI21" i="1"/>
  <c r="AD21" i="1" s="1"/>
  <c r="BP21" i="1" s="1"/>
  <c r="BY21" i="1"/>
  <c r="BZ21" i="1"/>
  <c r="BJ21" i="1"/>
  <c r="AK21" i="1" s="1"/>
  <c r="CI21" i="1"/>
  <c r="AY21" i="1"/>
  <c r="BA21" i="1"/>
  <c r="Q21" i="1" s="1"/>
  <c r="BC21" i="1"/>
  <c r="AZ21" i="1"/>
  <c r="BF21" i="1" s="1"/>
  <c r="BB21" i="1"/>
  <c r="BD21" i="1"/>
  <c r="Z21" i="1"/>
  <c r="Y21" i="1"/>
  <c r="CY21" i="1"/>
  <c r="X22" i="1"/>
  <c r="W21" i="1"/>
  <c r="R21" i="1"/>
  <c r="L21" i="1"/>
  <c r="J21" i="1"/>
  <c r="H21" i="1"/>
  <c r="BG19" i="1"/>
  <c r="AC19" i="1"/>
  <c r="BN19" i="1"/>
  <c r="BS19" i="1" s="1"/>
  <c r="BJ20" i="1"/>
  <c r="AJ20" i="1" s="1"/>
  <c r="BH19" i="1"/>
  <c r="AD19" i="1" s="1"/>
  <c r="BP19" i="1" s="1"/>
  <c r="BI19" i="1"/>
  <c r="AK20" i="1"/>
  <c r="BY19" i="1"/>
  <c r="BZ19" i="1"/>
  <c r="BJ19" i="1"/>
  <c r="CI19" i="1"/>
  <c r="AY19" i="1"/>
  <c r="BA19" i="1"/>
  <c r="BC19" i="1"/>
  <c r="AZ19" i="1"/>
  <c r="BB19" i="1"/>
  <c r="Q19" i="1" s="1"/>
  <c r="BD19" i="1"/>
  <c r="Z19" i="1"/>
  <c r="Y19" i="1"/>
  <c r="CY19" i="1"/>
  <c r="X20" i="1"/>
  <c r="W19" i="1"/>
  <c r="R19" i="1"/>
  <c r="L19" i="1"/>
  <c r="J19" i="1"/>
  <c r="H19" i="1"/>
  <c r="BG31" i="1"/>
  <c r="AC31" i="1" s="1"/>
  <c r="BN31" i="1" s="1"/>
  <c r="BJ32" i="1"/>
  <c r="AJ32" i="1" s="1"/>
  <c r="BH31" i="1"/>
  <c r="BI31" i="1"/>
  <c r="AD31" i="1"/>
  <c r="BP31" i="1" s="1"/>
  <c r="AK32" i="1"/>
  <c r="CU31" i="1"/>
  <c r="W31" i="1"/>
  <c r="BY31" i="1"/>
  <c r="BZ31" i="1"/>
  <c r="BJ31" i="1"/>
  <c r="AJ31" i="1"/>
  <c r="CI31" i="1"/>
  <c r="AK31" i="1"/>
  <c r="AY31" i="1"/>
  <c r="BA31" i="1"/>
  <c r="BC31" i="1"/>
  <c r="BE31" i="1" s="1"/>
  <c r="AZ31" i="1"/>
  <c r="BB31" i="1"/>
  <c r="BF31" i="1" s="1"/>
  <c r="BD31" i="1"/>
  <c r="Z31" i="1"/>
  <c r="X32" i="1" s="1"/>
  <c r="Y31" i="1"/>
  <c r="CY31" i="1"/>
  <c r="R31" i="1"/>
  <c r="L31" i="1"/>
  <c r="J31" i="1"/>
  <c r="H31" i="1"/>
  <c r="BG29" i="1"/>
  <c r="AC29" i="1" s="1"/>
  <c r="BN29" i="1" s="1"/>
  <c r="BO29" i="1" s="1"/>
  <c r="BJ30" i="1"/>
  <c r="AJ30" i="1"/>
  <c r="BS29" i="1"/>
  <c r="BH29" i="1"/>
  <c r="BI29" i="1"/>
  <c r="AD29" i="1"/>
  <c r="BP29" i="1" s="1"/>
  <c r="BW29" i="1" s="1"/>
  <c r="AK30" i="1"/>
  <c r="BT29" i="1"/>
  <c r="CU29" i="1"/>
  <c r="W29" i="1"/>
  <c r="BY29" i="1"/>
  <c r="BZ29" i="1" s="1"/>
  <c r="BJ29" i="1"/>
  <c r="AK29" i="1" s="1"/>
  <c r="CI29" i="1"/>
  <c r="AY29" i="1"/>
  <c r="BA29" i="1"/>
  <c r="Q29" i="1" s="1"/>
  <c r="BC29" i="1"/>
  <c r="BE29" i="1"/>
  <c r="AZ29" i="1"/>
  <c r="BB29" i="1"/>
  <c r="BD29" i="1"/>
  <c r="BF29" i="1"/>
  <c r="Z29" i="1"/>
  <c r="Y29" i="1"/>
  <c r="BM29" i="1"/>
  <c r="BR29" i="1" s="1"/>
  <c r="CY29" i="1"/>
  <c r="X30" i="1"/>
  <c r="R29" i="1"/>
  <c r="L29" i="1"/>
  <c r="J29" i="1"/>
  <c r="H29" i="1"/>
  <c r="BG27" i="1"/>
  <c r="AC27" i="1"/>
  <c r="BN27" i="1"/>
  <c r="BJ28" i="1"/>
  <c r="AJ28" i="1" s="1"/>
  <c r="BH27" i="1"/>
  <c r="BI27" i="1"/>
  <c r="AD27" i="1" s="1"/>
  <c r="BP27" i="1"/>
  <c r="CU27" i="1"/>
  <c r="W27" i="1"/>
  <c r="BY27" i="1" s="1"/>
  <c r="BZ27" i="1"/>
  <c r="BJ27" i="1"/>
  <c r="AJ27" i="1" s="1"/>
  <c r="CI27" i="1"/>
  <c r="AK27" i="1"/>
  <c r="AY27" i="1"/>
  <c r="BE27" i="1" s="1"/>
  <c r="BA27" i="1"/>
  <c r="BC27" i="1"/>
  <c r="AZ27" i="1"/>
  <c r="BF27" i="1" s="1"/>
  <c r="BB27" i="1"/>
  <c r="Q27" i="1" s="1"/>
  <c r="BD27" i="1"/>
  <c r="Z27" i="1"/>
  <c r="X28" i="1" s="1"/>
  <c r="Y27" i="1"/>
  <c r="CY27" i="1"/>
  <c r="R27" i="1"/>
  <c r="L27" i="1"/>
  <c r="J27" i="1"/>
  <c r="H27" i="1"/>
  <c r="BG25" i="1"/>
  <c r="AC25" i="1" s="1"/>
  <c r="BN25" i="1"/>
  <c r="BS25" i="1" s="1"/>
  <c r="BJ26" i="1"/>
  <c r="AJ26" i="1"/>
  <c r="BH25" i="1"/>
  <c r="BI25" i="1"/>
  <c r="BO25" i="1"/>
  <c r="BT25" i="1" s="1"/>
  <c r="AK26" i="1"/>
  <c r="CU25" i="1"/>
  <c r="W25" i="1"/>
  <c r="BY25" i="1"/>
  <c r="BZ25" i="1" s="1"/>
  <c r="BJ25" i="1"/>
  <c r="AK25" i="1" s="1"/>
  <c r="AJ25" i="1"/>
  <c r="CI25" i="1"/>
  <c r="AY25" i="1"/>
  <c r="BA25" i="1"/>
  <c r="Q25" i="1" s="1"/>
  <c r="BC25" i="1"/>
  <c r="AZ25" i="1"/>
  <c r="BF25" i="1" s="1"/>
  <c r="BB25" i="1"/>
  <c r="BD25" i="1"/>
  <c r="Z25" i="1"/>
  <c r="Y25" i="1"/>
  <c r="X26" i="1" s="1"/>
  <c r="CY25" i="1"/>
  <c r="R25" i="1"/>
  <c r="L25" i="1"/>
  <c r="J25" i="1"/>
  <c r="H25" i="1"/>
  <c r="BG41" i="1"/>
  <c r="AC41" i="1"/>
  <c r="BN41" i="1" s="1"/>
  <c r="BJ42" i="1"/>
  <c r="AJ42" i="1"/>
  <c r="BH41" i="1"/>
  <c r="BI41" i="1"/>
  <c r="AD41" i="1" s="1"/>
  <c r="BP41" i="1" s="1"/>
  <c r="AK42" i="1"/>
  <c r="CU41" i="1"/>
  <c r="W41" i="1"/>
  <c r="BY41" i="1" s="1"/>
  <c r="BZ41" i="1" s="1"/>
  <c r="BJ41" i="1"/>
  <c r="CI41" i="1"/>
  <c r="AY41" i="1"/>
  <c r="BE41" i="1" s="1"/>
  <c r="BA41" i="1"/>
  <c r="BC41" i="1"/>
  <c r="AZ41" i="1"/>
  <c r="BB41" i="1"/>
  <c r="BD41" i="1"/>
  <c r="BF41" i="1"/>
  <c r="Z41" i="1"/>
  <c r="Y41" i="1"/>
  <c r="CY41" i="1"/>
  <c r="X42" i="1"/>
  <c r="R41" i="1"/>
  <c r="Q41" i="1"/>
  <c r="L41" i="1"/>
  <c r="J41" i="1"/>
  <c r="H41" i="1"/>
  <c r="BG39" i="1"/>
  <c r="AC39" i="1"/>
  <c r="BN39" i="1"/>
  <c r="BJ40" i="1"/>
  <c r="AJ40" i="1"/>
  <c r="BH39" i="1"/>
  <c r="BI39" i="1"/>
  <c r="AD39" i="1"/>
  <c r="BP39" i="1"/>
  <c r="AK40" i="1"/>
  <c r="CU39" i="1"/>
  <c r="W39" i="1"/>
  <c r="BY39" i="1"/>
  <c r="BZ39" i="1" s="1"/>
  <c r="BJ39" i="1"/>
  <c r="AJ39" i="1"/>
  <c r="CI39" i="1"/>
  <c r="AK39" i="1"/>
  <c r="AY39" i="1"/>
  <c r="BA39" i="1"/>
  <c r="BC39" i="1"/>
  <c r="BE39" i="1"/>
  <c r="AZ39" i="1"/>
  <c r="BB39" i="1"/>
  <c r="BD39" i="1"/>
  <c r="Z39" i="1"/>
  <c r="Y39" i="1"/>
  <c r="X40" i="1" s="1"/>
  <c r="CY39" i="1"/>
  <c r="R39" i="1"/>
  <c r="Q39" i="1"/>
  <c r="L39" i="1"/>
  <c r="J39" i="1"/>
  <c r="H39" i="1"/>
  <c r="BG37" i="1"/>
  <c r="AC37" i="1"/>
  <c r="BN37" i="1" s="1"/>
  <c r="BO37" i="1" s="1"/>
  <c r="BT37" i="1" s="1"/>
  <c r="BJ38" i="1"/>
  <c r="AJ38" i="1" s="1"/>
  <c r="BS37" i="1"/>
  <c r="BH37" i="1"/>
  <c r="BI37" i="1"/>
  <c r="AK38" i="1"/>
  <c r="CU37" i="1"/>
  <c r="BY37" i="1" s="1"/>
  <c r="BZ37" i="1" s="1"/>
  <c r="W37" i="1"/>
  <c r="BJ37" i="1"/>
  <c r="AJ37" i="1"/>
  <c r="CI37" i="1"/>
  <c r="AK37" i="1"/>
  <c r="AY37" i="1"/>
  <c r="BA37" i="1"/>
  <c r="Q37" i="1" s="1"/>
  <c r="BC37" i="1"/>
  <c r="AZ37" i="1"/>
  <c r="BB37" i="1"/>
  <c r="BD37" i="1"/>
  <c r="BF37" i="1"/>
  <c r="Z37" i="1"/>
  <c r="X38" i="1" s="1"/>
  <c r="Y37" i="1"/>
  <c r="CY37" i="1"/>
  <c r="R37" i="1"/>
  <c r="L37" i="1"/>
  <c r="J37" i="1"/>
  <c r="H37" i="1"/>
  <c r="BG35" i="1"/>
  <c r="AC35" i="1" s="1"/>
  <c r="BN35" i="1"/>
  <c r="BJ36" i="1"/>
  <c r="AK36" i="1" s="1"/>
  <c r="AJ36" i="1"/>
  <c r="BH35" i="1"/>
  <c r="BI35" i="1"/>
  <c r="AD35" i="1"/>
  <c r="BP35" i="1" s="1"/>
  <c r="CU35" i="1"/>
  <c r="BY35" i="1" s="1"/>
  <c r="BZ35" i="1" s="1"/>
  <c r="W35" i="1"/>
  <c r="BJ35" i="1"/>
  <c r="AJ35" i="1"/>
  <c r="CI35" i="1"/>
  <c r="AK35" i="1"/>
  <c r="AY35" i="1"/>
  <c r="BA35" i="1"/>
  <c r="BC35" i="1"/>
  <c r="BE35" i="1" s="1"/>
  <c r="AZ35" i="1"/>
  <c r="BF35" i="1" s="1"/>
  <c r="BB35" i="1"/>
  <c r="BD35" i="1"/>
  <c r="Z35" i="1"/>
  <c r="Y35" i="1"/>
  <c r="BL35" i="1"/>
  <c r="CY35" i="1"/>
  <c r="R35" i="1"/>
  <c r="Q35" i="1"/>
  <c r="L35" i="1"/>
  <c r="J35" i="1"/>
  <c r="H35" i="1"/>
  <c r="BG43" i="1"/>
  <c r="AC43" i="1"/>
  <c r="BN43" i="1" s="1"/>
  <c r="BO43" i="1" s="1"/>
  <c r="BT43" i="1" s="1"/>
  <c r="BX43" i="1" s="1"/>
  <c r="BJ44" i="1"/>
  <c r="AJ44" i="1"/>
  <c r="BS43" i="1" s="1"/>
  <c r="BH43" i="1"/>
  <c r="AD43" i="1" s="1"/>
  <c r="BP43" i="1" s="1"/>
  <c r="BI43" i="1"/>
  <c r="AK44" i="1"/>
  <c r="BW43" i="1"/>
  <c r="CC43" i="1" s="1"/>
  <c r="CU43" i="1"/>
  <c r="W43" i="1"/>
  <c r="BY43" i="1"/>
  <c r="BZ43" i="1"/>
  <c r="BJ43" i="1"/>
  <c r="AJ43" i="1"/>
  <c r="CI43" i="1"/>
  <c r="AK43" i="1"/>
  <c r="AY43" i="1"/>
  <c r="BA43" i="1"/>
  <c r="BC43" i="1"/>
  <c r="BE43" i="1" s="1"/>
  <c r="AZ43" i="1"/>
  <c r="BB43" i="1"/>
  <c r="BF43" i="1" s="1"/>
  <c r="BD43" i="1"/>
  <c r="AU43" i="1"/>
  <c r="Z43" i="1"/>
  <c r="BL43" i="1" s="1"/>
  <c r="Y43" i="1"/>
  <c r="AU44" i="1"/>
  <c r="CY43" i="1"/>
  <c r="AS44" i="1"/>
  <c r="AT44" i="1"/>
  <c r="AQ44" i="1"/>
  <c r="AR44" i="1" s="1"/>
  <c r="AO44" i="1"/>
  <c r="X44" i="1"/>
  <c r="T44" i="1"/>
  <c r="AS43" i="1"/>
  <c r="AT43" i="1"/>
  <c r="AQ43" i="1"/>
  <c r="AR43" i="1"/>
  <c r="AN43" i="1"/>
  <c r="R43" i="1"/>
  <c r="Q43" i="1"/>
  <c r="L43" i="1"/>
  <c r="J43" i="1"/>
  <c r="H43" i="1"/>
  <c r="BG33" i="1"/>
  <c r="AC33" i="1"/>
  <c r="BN33" i="1" s="1"/>
  <c r="BO33" i="1" s="1"/>
  <c r="BT33" i="1" s="1"/>
  <c r="BJ34" i="1"/>
  <c r="AJ34" i="1"/>
  <c r="BH33" i="1"/>
  <c r="AD33" i="1" s="1"/>
  <c r="BP33" i="1" s="1"/>
  <c r="BI33" i="1"/>
  <c r="AK34" i="1"/>
  <c r="BY33" i="1"/>
  <c r="BZ33" i="1"/>
  <c r="BJ33" i="1"/>
  <c r="AJ33" i="1"/>
  <c r="CI33" i="1"/>
  <c r="AK33" i="1"/>
  <c r="AY33" i="1"/>
  <c r="BA33" i="1"/>
  <c r="BC33" i="1"/>
  <c r="BE33" i="1" s="1"/>
  <c r="AZ33" i="1"/>
  <c r="BB33" i="1"/>
  <c r="BD33" i="1"/>
  <c r="AU33" i="1"/>
  <c r="Z33" i="1"/>
  <c r="Y33" i="1"/>
  <c r="BQ33" i="1"/>
  <c r="AU34" i="1"/>
  <c r="CY33" i="1"/>
  <c r="AS34" i="1"/>
  <c r="AT34" i="1"/>
  <c r="AQ34" i="1"/>
  <c r="AR34" i="1" s="1"/>
  <c r="AO34" i="1"/>
  <c r="X34" i="1"/>
  <c r="AS33" i="1"/>
  <c r="AT33" i="1"/>
  <c r="AQ33" i="1"/>
  <c r="AR33" i="1" s="1"/>
  <c r="AN33" i="1"/>
  <c r="W33" i="1"/>
  <c r="R33" i="1"/>
  <c r="Q33" i="1"/>
  <c r="L33" i="1"/>
  <c r="J33" i="1"/>
  <c r="H33" i="1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17" i="5"/>
  <c r="T16" i="5"/>
  <c r="T15" i="5"/>
  <c r="T14" i="5"/>
  <c r="T13" i="5"/>
  <c r="T12" i="5"/>
  <c r="T11" i="5"/>
  <c r="T10" i="5"/>
  <c r="T9" i="5"/>
  <c r="T8" i="5"/>
  <c r="T7" i="5"/>
  <c r="T6" i="5"/>
  <c r="T5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CT44" i="1"/>
  <c r="BL44" i="1"/>
  <c r="BK44" i="1"/>
  <c r="BI44" i="1"/>
  <c r="BH44" i="1"/>
  <c r="AY44" i="1"/>
  <c r="CW43" i="1"/>
  <c r="CX43" i="1" s="1"/>
  <c r="CT43" i="1"/>
  <c r="BK43" i="1"/>
  <c r="CT42" i="1"/>
  <c r="BL42" i="1"/>
  <c r="BL41" i="1" s="1"/>
  <c r="BK42" i="1"/>
  <c r="BI42" i="1"/>
  <c r="BH42" i="1"/>
  <c r="CT41" i="1"/>
  <c r="BK41" i="1"/>
  <c r="CT40" i="1"/>
  <c r="BL40" i="1"/>
  <c r="BL39" i="1" s="1"/>
  <c r="BM39" i="1" s="1"/>
  <c r="BR39" i="1" s="1"/>
  <c r="BK40" i="1"/>
  <c r="BI40" i="1"/>
  <c r="BH40" i="1"/>
  <c r="CT39" i="1"/>
  <c r="BK39" i="1"/>
  <c r="CT38" i="1"/>
  <c r="BL38" i="1"/>
  <c r="BK38" i="1"/>
  <c r="BI38" i="1"/>
  <c r="BH38" i="1"/>
  <c r="CT37" i="1"/>
  <c r="BK37" i="1"/>
  <c r="CT36" i="1"/>
  <c r="BL36" i="1"/>
  <c r="BK36" i="1"/>
  <c r="BI36" i="1"/>
  <c r="BH36" i="1"/>
  <c r="CT35" i="1"/>
  <c r="BK35" i="1"/>
  <c r="CT34" i="1"/>
  <c r="BL34" i="1"/>
  <c r="BL33" i="1" s="1"/>
  <c r="BM33" i="1" s="1"/>
  <c r="BR33" i="1" s="1"/>
  <c r="CU33" i="1"/>
  <c r="BK34" i="1"/>
  <c r="BI34" i="1"/>
  <c r="BH34" i="1"/>
  <c r="AY34" i="1"/>
  <c r="CT33" i="1"/>
  <c r="BK33" i="1"/>
  <c r="CT32" i="1"/>
  <c r="BL32" i="1"/>
  <c r="BK32" i="1"/>
  <c r="BI32" i="1"/>
  <c r="BH32" i="1"/>
  <c r="CT31" i="1"/>
  <c r="BK31" i="1"/>
  <c r="CT30" i="1"/>
  <c r="BL30" i="1"/>
  <c r="BL29" i="1" s="1"/>
  <c r="BQ29" i="1" s="1"/>
  <c r="BK30" i="1"/>
  <c r="BI30" i="1"/>
  <c r="BH30" i="1"/>
  <c r="CT29" i="1"/>
  <c r="BK29" i="1"/>
  <c r="CT28" i="1"/>
  <c r="BL28" i="1"/>
  <c r="BK28" i="1"/>
  <c r="BI28" i="1"/>
  <c r="BH28" i="1"/>
  <c r="CT27" i="1"/>
  <c r="BK27" i="1"/>
  <c r="CT26" i="1"/>
  <c r="BL26" i="1"/>
  <c r="BK26" i="1"/>
  <c r="BI26" i="1"/>
  <c r="BH26" i="1"/>
  <c r="CT25" i="1"/>
  <c r="BK25" i="1"/>
  <c r="CT24" i="1"/>
  <c r="BL24" i="1"/>
  <c r="BL23" i="1" s="1"/>
  <c r="BM23" i="1" s="1"/>
  <c r="BR23" i="1" s="1"/>
  <c r="Z23" i="1"/>
  <c r="Y23" i="1"/>
  <c r="BJ24" i="1"/>
  <c r="AJ24" i="1"/>
  <c r="BH23" i="1"/>
  <c r="AD23" i="1" s="1"/>
  <c r="BI23" i="1"/>
  <c r="BP23" i="1"/>
  <c r="AK24" i="1"/>
  <c r="W23" i="1"/>
  <c r="CU23" i="1"/>
  <c r="BY23" i="1"/>
  <c r="BZ23" i="1"/>
  <c r="BJ23" i="1"/>
  <c r="AJ23" i="1"/>
  <c r="CI23" i="1"/>
  <c r="AK23" i="1"/>
  <c r="AY23" i="1"/>
  <c r="BE23" i="1" s="1"/>
  <c r="BA23" i="1"/>
  <c r="BC23" i="1"/>
  <c r="AZ23" i="1"/>
  <c r="BB23" i="1"/>
  <c r="BD23" i="1"/>
  <c r="BF23" i="1"/>
  <c r="BG23" i="1"/>
  <c r="AC23" i="1"/>
  <c r="BN23" i="1" s="1"/>
  <c r="BK24" i="1"/>
  <c r="BI24" i="1"/>
  <c r="BH24" i="1"/>
  <c r="AY24" i="1"/>
  <c r="CY23" i="1"/>
  <c r="AO24" i="1"/>
  <c r="CX23" i="1" s="1"/>
  <c r="AU24" i="1"/>
  <c r="X24" i="1"/>
  <c r="CW23" i="1" s="1"/>
  <c r="CT23" i="1"/>
  <c r="BK23" i="1"/>
  <c r="AX23" i="1"/>
  <c r="CT22" i="1"/>
  <c r="BL22" i="1"/>
  <c r="BL21" i="1" s="1"/>
  <c r="BQ21" i="1" s="1"/>
  <c r="BK22" i="1"/>
  <c r="BI22" i="1"/>
  <c r="BH22" i="1"/>
  <c r="CU21" i="1"/>
  <c r="CT21" i="1"/>
  <c r="BK21" i="1"/>
  <c r="CT20" i="1"/>
  <c r="BL20" i="1"/>
  <c r="BL19" i="1" s="1"/>
  <c r="BQ19" i="1" s="1"/>
  <c r="BK20" i="1"/>
  <c r="BI20" i="1"/>
  <c r="BH20" i="1"/>
  <c r="CU19" i="1"/>
  <c r="CT19" i="1"/>
  <c r="BK19" i="1"/>
  <c r="CT18" i="1"/>
  <c r="BL18" i="1"/>
  <c r="BL17" i="1" s="1"/>
  <c r="BM17" i="1" s="1"/>
  <c r="Z17" i="1"/>
  <c r="Y17" i="1"/>
  <c r="BJ18" i="1"/>
  <c r="AK18" i="1" s="1"/>
  <c r="AJ18" i="1"/>
  <c r="BH17" i="1"/>
  <c r="BI17" i="1"/>
  <c r="AD17" i="1" s="1"/>
  <c r="BP17" i="1" s="1"/>
  <c r="CU17" i="1"/>
  <c r="W17" i="1"/>
  <c r="BY17" i="1"/>
  <c r="BZ17" i="1"/>
  <c r="BJ17" i="1"/>
  <c r="AJ17" i="1" s="1"/>
  <c r="CI17" i="1"/>
  <c r="AK17" i="1"/>
  <c r="AY17" i="1"/>
  <c r="BA17" i="1"/>
  <c r="BC17" i="1"/>
  <c r="AZ17" i="1"/>
  <c r="BB17" i="1"/>
  <c r="BD17" i="1"/>
  <c r="BG17" i="1"/>
  <c r="AC17" i="1"/>
  <c r="BN17" i="1" s="1"/>
  <c r="BO17" i="1"/>
  <c r="BT17" i="1"/>
  <c r="BK18" i="1"/>
  <c r="BI18" i="1"/>
  <c r="BH18" i="1"/>
  <c r="CY17" i="1"/>
  <c r="X18" i="1"/>
  <c r="CT17" i="1"/>
  <c r="BK17" i="1"/>
  <c r="AQ23" i="1"/>
  <c r="AR23" i="1"/>
  <c r="AN23" i="1"/>
  <c r="AS23" i="1"/>
  <c r="AT23" i="1" s="1"/>
  <c r="AU23" i="1"/>
  <c r="AV23" i="1" s="1"/>
  <c r="AQ24" i="1"/>
  <c r="AR24" i="1"/>
  <c r="AS24" i="1"/>
  <c r="AT24" i="1" s="1"/>
  <c r="AV24" i="1"/>
  <c r="AC24" i="1"/>
  <c r="T23" i="1"/>
  <c r="T24" i="1"/>
  <c r="R17" i="1"/>
  <c r="Q23" i="1"/>
  <c r="R23" i="1"/>
  <c r="L17" i="1"/>
  <c r="L23" i="1"/>
  <c r="J17" i="1"/>
  <c r="J23" i="1"/>
  <c r="H17" i="1"/>
  <c r="H23" i="1"/>
  <c r="BL16" i="1"/>
  <c r="Z15" i="1"/>
  <c r="Y15" i="1"/>
  <c r="X16" i="1" s="1"/>
  <c r="BJ16" i="1"/>
  <c r="AK16" i="1" s="1"/>
  <c r="BH15" i="1"/>
  <c r="BI15" i="1"/>
  <c r="AD15" i="1"/>
  <c r="BP15" i="1" s="1"/>
  <c r="CU15" i="1"/>
  <c r="W15" i="1"/>
  <c r="BY15" i="1"/>
  <c r="BZ15" i="1"/>
  <c r="BJ15" i="1"/>
  <c r="AJ15" i="1"/>
  <c r="AK15" i="1"/>
  <c r="CI15" i="1"/>
  <c r="AY15" i="1"/>
  <c r="BA15" i="1"/>
  <c r="BE15" i="1" s="1"/>
  <c r="BC15" i="1"/>
  <c r="AZ15" i="1"/>
  <c r="BF15" i="1" s="1"/>
  <c r="BB15" i="1"/>
  <c r="BD15" i="1"/>
  <c r="BG15" i="1"/>
  <c r="AC15" i="1"/>
  <c r="BN15" i="1"/>
  <c r="CY15" i="1"/>
  <c r="CT15" i="1"/>
  <c r="CT16" i="1"/>
  <c r="BK16" i="1"/>
  <c r="BI16" i="1"/>
  <c r="BH16" i="1"/>
  <c r="BK15" i="1"/>
  <c r="Q15" i="1"/>
  <c r="H15" i="1"/>
  <c r="R15" i="1"/>
  <c r="L15" i="1"/>
  <c r="J15" i="1"/>
  <c r="BR17" i="1" l="1"/>
  <c r="BE17" i="1"/>
  <c r="BE21" i="1"/>
  <c r="BF19" i="1"/>
  <c r="BE19" i="1"/>
  <c r="BQ41" i="1"/>
  <c r="BM41" i="1"/>
  <c r="BR41" i="1" s="1"/>
  <c r="BV41" i="1" s="1"/>
  <c r="AV33" i="1"/>
  <c r="AC34" i="1" s="1"/>
  <c r="AV34" i="1"/>
  <c r="T33" i="1"/>
  <c r="BU29" i="1"/>
  <c r="BV29" i="1"/>
  <c r="BS17" i="1"/>
  <c r="BW17" i="1" s="1"/>
  <c r="BV33" i="1"/>
  <c r="BS39" i="1"/>
  <c r="BO39" i="1"/>
  <c r="BT39" i="1" s="1"/>
  <c r="BX39" i="1" s="1"/>
  <c r="BO41" i="1"/>
  <c r="BT41" i="1" s="1"/>
  <c r="BX41" i="1" s="1"/>
  <c r="BS41" i="1"/>
  <c r="BW19" i="1"/>
  <c r="BQ43" i="1"/>
  <c r="BM43" i="1"/>
  <c r="BR43" i="1" s="1"/>
  <c r="BV43" i="1" s="1"/>
  <c r="BS15" i="1"/>
  <c r="BO15" i="1"/>
  <c r="BT15" i="1" s="1"/>
  <c r="BX15" i="1" s="1"/>
  <c r="BU33" i="1"/>
  <c r="BL15" i="1"/>
  <c r="Q17" i="1"/>
  <c r="BF17" i="1"/>
  <c r="BW21" i="1"/>
  <c r="CC21" i="1" s="1"/>
  <c r="CG43" i="1"/>
  <c r="CL43" i="1" s="1"/>
  <c r="CW33" i="1"/>
  <c r="T34" i="1"/>
  <c r="BS31" i="1"/>
  <c r="BW31" i="1" s="1"/>
  <c r="BO31" i="1"/>
  <c r="BT31" i="1" s="1"/>
  <c r="BS33" i="1"/>
  <c r="BW33" i="1" s="1"/>
  <c r="BE37" i="1"/>
  <c r="BQ17" i="1"/>
  <c r="BU17" i="1" s="1"/>
  <c r="AX43" i="1"/>
  <c r="AJ29" i="1"/>
  <c r="BM21" i="1"/>
  <c r="BR21" i="1" s="1"/>
  <c r="BV21" i="1" s="1"/>
  <c r="T43" i="1"/>
  <c r="AV44" i="1"/>
  <c r="AV43" i="1"/>
  <c r="AC44" i="1" s="1"/>
  <c r="CD43" i="1"/>
  <c r="CH43" i="1" s="1"/>
  <c r="BM35" i="1"/>
  <c r="BR35" i="1" s="1"/>
  <c r="BQ35" i="1"/>
  <c r="BU35" i="1" s="1"/>
  <c r="AD25" i="1"/>
  <c r="BP25" i="1" s="1"/>
  <c r="BX25" i="1" s="1"/>
  <c r="BO27" i="1"/>
  <c r="BS27" i="1"/>
  <c r="AJ16" i="1"/>
  <c r="BS23" i="1"/>
  <c r="BO23" i="1"/>
  <c r="BT23" i="1" s="1"/>
  <c r="BX23" i="1" s="1"/>
  <c r="X36" i="1"/>
  <c r="BQ39" i="1"/>
  <c r="BE25" i="1"/>
  <c r="BM19" i="1"/>
  <c r="BR19" i="1" s="1"/>
  <c r="BV19" i="1" s="1"/>
  <c r="BV23" i="1"/>
  <c r="BF33" i="1"/>
  <c r="BU21" i="1"/>
  <c r="CA21" i="1" s="1"/>
  <c r="BQ23" i="1"/>
  <c r="BU23" i="1" s="1"/>
  <c r="BL27" i="1"/>
  <c r="BL37" i="1"/>
  <c r="AK28" i="1"/>
  <c r="BL31" i="1"/>
  <c r="BO19" i="1"/>
  <c r="BT19" i="1" s="1"/>
  <c r="BX19" i="1" s="1"/>
  <c r="AJ21" i="1"/>
  <c r="AD37" i="1"/>
  <c r="BP37" i="1" s="1"/>
  <c r="BW37" i="1" s="1"/>
  <c r="BF39" i="1"/>
  <c r="BX29" i="1"/>
  <c r="CC29" i="1" s="1"/>
  <c r="AK22" i="1"/>
  <c r="BT21" i="1" s="1"/>
  <c r="BX21" i="1" s="1"/>
  <c r="BL25" i="1"/>
  <c r="BS35" i="1"/>
  <c r="BW35" i="1" s="1"/>
  <c r="AK41" i="1"/>
  <c r="AJ41" i="1"/>
  <c r="CB29" i="1"/>
  <c r="CF29" i="1" s="1"/>
  <c r="Q31" i="1"/>
  <c r="AK19" i="1"/>
  <c r="AJ19" i="1"/>
  <c r="BW25" i="1"/>
  <c r="BO35" i="1"/>
  <c r="BT35" i="1" s="1"/>
  <c r="CD25" i="1" l="1"/>
  <c r="CH25" i="1" s="1"/>
  <c r="CG29" i="1"/>
  <c r="CC37" i="1"/>
  <c r="CD31" i="1"/>
  <c r="CH31" i="1" s="1"/>
  <c r="CE21" i="1"/>
  <c r="CR44" i="1"/>
  <c r="CP43" i="1"/>
  <c r="CA33" i="1"/>
  <c r="CB33" i="1"/>
  <c r="CF33" i="1" s="1"/>
  <c r="BW39" i="1"/>
  <c r="BX35" i="1"/>
  <c r="CD35" i="1" s="1"/>
  <c r="CH35" i="1" s="1"/>
  <c r="CM43" i="1"/>
  <c r="CQ43" i="1" s="1"/>
  <c r="AY30" i="1"/>
  <c r="BX31" i="1"/>
  <c r="CR43" i="1"/>
  <c r="BU43" i="1"/>
  <c r="BV35" i="1"/>
  <c r="CB35" i="1" s="1"/>
  <c r="CF35" i="1" s="1"/>
  <c r="BQ37" i="1"/>
  <c r="BM37" i="1"/>
  <c r="BR37" i="1" s="1"/>
  <c r="BV37" i="1" s="1"/>
  <c r="BW27" i="1"/>
  <c r="CG21" i="1"/>
  <c r="CC19" i="1"/>
  <c r="CD19" i="1"/>
  <c r="CH19" i="1" s="1"/>
  <c r="CA23" i="1"/>
  <c r="BX37" i="1"/>
  <c r="CD37" i="1" s="1"/>
  <c r="CH37" i="1" s="1"/>
  <c r="BU39" i="1"/>
  <c r="BV39" i="1"/>
  <c r="BU19" i="1"/>
  <c r="CA29" i="1"/>
  <c r="BV17" i="1"/>
  <c r="CA17" i="1" s="1"/>
  <c r="CA35" i="1"/>
  <c r="AY36" i="1"/>
  <c r="BQ15" i="1"/>
  <c r="BM15" i="1"/>
  <c r="BR15" i="1" s="1"/>
  <c r="BV15" i="1" s="1"/>
  <c r="BW23" i="1"/>
  <c r="CC25" i="1"/>
  <c r="CC35" i="1"/>
  <c r="BQ27" i="1"/>
  <c r="BM27" i="1"/>
  <c r="BR27" i="1" s="1"/>
  <c r="BV27" i="1" s="1"/>
  <c r="BT27" i="1"/>
  <c r="BX27" i="1" s="1"/>
  <c r="BW15" i="1"/>
  <c r="BU41" i="1"/>
  <c r="CB21" i="1"/>
  <c r="CF21" i="1" s="1"/>
  <c r="CK21" i="1" s="1"/>
  <c r="CO21" i="1" s="1"/>
  <c r="BQ25" i="1"/>
  <c r="BU25" i="1" s="1"/>
  <c r="BM25" i="1"/>
  <c r="BR25" i="1" s="1"/>
  <c r="CB23" i="1"/>
  <c r="CF23" i="1" s="1"/>
  <c r="CX33" i="1"/>
  <c r="AX33" i="1"/>
  <c r="CD29" i="1"/>
  <c r="CH29" i="1" s="1"/>
  <c r="CM29" i="1" s="1"/>
  <c r="CQ29" i="1" s="1"/>
  <c r="BW41" i="1"/>
  <c r="BX17" i="1"/>
  <c r="CC17" i="1" s="1"/>
  <c r="AY22" i="1"/>
  <c r="CC31" i="1"/>
  <c r="CD21" i="1"/>
  <c r="CH21" i="1" s="1"/>
  <c r="CM21" i="1" s="1"/>
  <c r="CQ21" i="1" s="1"/>
  <c r="BQ31" i="1"/>
  <c r="BM31" i="1"/>
  <c r="BR31" i="1" s="1"/>
  <c r="BV31" i="1" s="1"/>
  <c r="BX33" i="1"/>
  <c r="CD33" i="1" s="1"/>
  <c r="CH33" i="1" s="1"/>
  <c r="CD17" i="1" l="1"/>
  <c r="CH17" i="1" s="1"/>
  <c r="CK35" i="1"/>
  <c r="CO35" i="1" s="1"/>
  <c r="CE17" i="1"/>
  <c r="CG17" i="1"/>
  <c r="CL17" i="1" s="1"/>
  <c r="CK33" i="1"/>
  <c r="CO33" i="1" s="1"/>
  <c r="CJ21" i="1"/>
  <c r="BU31" i="1"/>
  <c r="CA41" i="1"/>
  <c r="CB41" i="1"/>
  <c r="CF41" i="1" s="1"/>
  <c r="CG35" i="1"/>
  <c r="CL35" i="1" s="1"/>
  <c r="CG19" i="1"/>
  <c r="CL19" i="1" s="1"/>
  <c r="CE33" i="1"/>
  <c r="CJ33" i="1" s="1"/>
  <c r="AY18" i="1"/>
  <c r="CE29" i="1"/>
  <c r="CL21" i="1"/>
  <c r="BU27" i="1"/>
  <c r="CA43" i="1"/>
  <c r="CB43" i="1"/>
  <c r="CF43" i="1" s="1"/>
  <c r="CC15" i="1"/>
  <c r="CD15" i="1"/>
  <c r="CH15" i="1" s="1"/>
  <c r="CC41" i="1"/>
  <c r="CD41" i="1"/>
  <c r="CH41" i="1" s="1"/>
  <c r="CE35" i="1"/>
  <c r="CJ35" i="1" s="1"/>
  <c r="CG31" i="1"/>
  <c r="CL31" i="1" s="1"/>
  <c r="CG25" i="1"/>
  <c r="CL25" i="1" s="1"/>
  <c r="CA19" i="1"/>
  <c r="CB19" i="1"/>
  <c r="CF19" i="1" s="1"/>
  <c r="CG37" i="1"/>
  <c r="CL37" i="1" s="1"/>
  <c r="CC23" i="1"/>
  <c r="CD23" i="1"/>
  <c r="CH23" i="1" s="1"/>
  <c r="CC27" i="1"/>
  <c r="CD27" i="1"/>
  <c r="CH27" i="1" s="1"/>
  <c r="CC33" i="1"/>
  <c r="CB17" i="1"/>
  <c r="CF17" i="1" s="1"/>
  <c r="AY20" i="1"/>
  <c r="AY40" i="1"/>
  <c r="CA39" i="1"/>
  <c r="CB39" i="1"/>
  <c r="CF39" i="1" s="1"/>
  <c r="AY42" i="1"/>
  <c r="BV25" i="1"/>
  <c r="AY26" i="1" s="1"/>
  <c r="BU15" i="1"/>
  <c r="BU37" i="1"/>
  <c r="CM35" i="1"/>
  <c r="CQ35" i="1" s="1"/>
  <c r="CL29" i="1"/>
  <c r="CE23" i="1"/>
  <c r="CJ23" i="1" s="1"/>
  <c r="CC39" i="1"/>
  <c r="CD39" i="1"/>
  <c r="CH39" i="1" s="1"/>
  <c r="CM25" i="1"/>
  <c r="CQ25" i="1" s="1"/>
  <c r="CK17" i="1" l="1"/>
  <c r="CO17" i="1" s="1"/>
  <c r="CM17" i="1"/>
  <c r="CQ17" i="1" s="1"/>
  <c r="CG23" i="1"/>
  <c r="CL23" i="1" s="1"/>
  <c r="CP25" i="1"/>
  <c r="AN25" i="1" s="1"/>
  <c r="CR26" i="1"/>
  <c r="AQ25" i="1" s="1"/>
  <c r="AR25" i="1" s="1"/>
  <c r="CA25" i="1"/>
  <c r="CA37" i="1"/>
  <c r="AY38" i="1"/>
  <c r="CB37" i="1"/>
  <c r="CF37" i="1" s="1"/>
  <c r="CK23" i="1"/>
  <c r="CO23" i="1" s="1"/>
  <c r="CG15" i="1"/>
  <c r="CL15" i="1" s="1"/>
  <c r="CM31" i="1"/>
  <c r="CQ31" i="1" s="1"/>
  <c r="CE41" i="1"/>
  <c r="CJ41" i="1" s="1"/>
  <c r="CM39" i="1"/>
  <c r="CQ39" i="1" s="1"/>
  <c r="CA15" i="1"/>
  <c r="AY16" i="1"/>
  <c r="CB15" i="1"/>
  <c r="CF15" i="1" s="1"/>
  <c r="CK43" i="1"/>
  <c r="CO43" i="1" s="1"/>
  <c r="CS34" i="1"/>
  <c r="CN33" i="1"/>
  <c r="CS33" i="1" s="1"/>
  <c r="CA31" i="1"/>
  <c r="AY32" i="1"/>
  <c r="CB31" i="1"/>
  <c r="CF31" i="1" s="1"/>
  <c r="CP29" i="1"/>
  <c r="AN29" i="1" s="1"/>
  <c r="CR30" i="1"/>
  <c r="AQ29" i="1" s="1"/>
  <c r="AR29" i="1" s="1"/>
  <c r="CP31" i="1"/>
  <c r="AN31" i="1" s="1"/>
  <c r="CG39" i="1"/>
  <c r="CL39" i="1" s="1"/>
  <c r="CG33" i="1"/>
  <c r="CE43" i="1"/>
  <c r="CJ43" i="1" s="1"/>
  <c r="CN21" i="1"/>
  <c r="AO22" i="1" s="1"/>
  <c r="CP17" i="1"/>
  <c r="CS24" i="1"/>
  <c r="CN23" i="1"/>
  <c r="CR29" i="1"/>
  <c r="CM27" i="1"/>
  <c r="CQ27" i="1" s="1"/>
  <c r="CP37" i="1"/>
  <c r="CN35" i="1"/>
  <c r="AO36" i="1" s="1"/>
  <c r="CA27" i="1"/>
  <c r="AY28" i="1"/>
  <c r="CB27" i="1"/>
  <c r="CF27" i="1" s="1"/>
  <c r="CP19" i="1"/>
  <c r="CM37" i="1"/>
  <c r="CS23" i="1"/>
  <c r="CG27" i="1"/>
  <c r="CL27" i="1" s="1"/>
  <c r="CP21" i="1"/>
  <c r="AN21" i="1" s="1"/>
  <c r="CM19" i="1"/>
  <c r="CQ19" i="1" s="1"/>
  <c r="CM23" i="1"/>
  <c r="CQ23" i="1" s="1"/>
  <c r="CM41" i="1"/>
  <c r="CQ41" i="1" s="1"/>
  <c r="CJ29" i="1"/>
  <c r="CK29" i="1"/>
  <c r="CO29" i="1" s="1"/>
  <c r="CP35" i="1"/>
  <c r="AN35" i="1" s="1"/>
  <c r="CB25" i="1"/>
  <c r="CF25" i="1" s="1"/>
  <c r="CJ17" i="1"/>
  <c r="CE39" i="1"/>
  <c r="CJ39" i="1" s="1"/>
  <c r="CE19" i="1"/>
  <c r="CJ19" i="1" s="1"/>
  <c r="CG41" i="1"/>
  <c r="CL41" i="1" s="1"/>
  <c r="AN17" i="1" l="1"/>
  <c r="CR27" i="1"/>
  <c r="CN19" i="1"/>
  <c r="CR19" i="1"/>
  <c r="CS36" i="1"/>
  <c r="AQ36" i="1" s="1"/>
  <c r="AR36" i="1" s="1"/>
  <c r="CR18" i="1"/>
  <c r="AQ17" i="1" s="1"/>
  <c r="AR17" i="1" s="1"/>
  <c r="CP39" i="1"/>
  <c r="CR40" i="1" s="1"/>
  <c r="AQ39" i="1" s="1"/>
  <c r="AR39" i="1" s="1"/>
  <c r="CE31" i="1"/>
  <c r="CJ31" i="1" s="1"/>
  <c r="CN41" i="1"/>
  <c r="CN29" i="1"/>
  <c r="AO30" i="1" s="1"/>
  <c r="CS30" i="1"/>
  <c r="AQ30" i="1" s="1"/>
  <c r="AR30" i="1" s="1"/>
  <c r="CR21" i="1"/>
  <c r="CQ37" i="1"/>
  <c r="CR38" i="1" s="1"/>
  <c r="AQ37" i="1" s="1"/>
  <c r="AR37" i="1" s="1"/>
  <c r="CR37" i="1"/>
  <c r="CS22" i="1"/>
  <c r="AQ22" i="1" s="1"/>
  <c r="AR22" i="1" s="1"/>
  <c r="CR32" i="1"/>
  <c r="AQ31" i="1" s="1"/>
  <c r="AR31" i="1" s="1"/>
  <c r="CP23" i="1"/>
  <c r="CR23" i="1" s="1"/>
  <c r="CK19" i="1"/>
  <c r="CO19" i="1" s="1"/>
  <c r="AN19" i="1"/>
  <c r="CN17" i="1"/>
  <c r="CS18" i="1" s="1"/>
  <c r="AQ18" i="1" s="1"/>
  <c r="AR18" i="1" s="1"/>
  <c r="CK27" i="1"/>
  <c r="CO27" i="1" s="1"/>
  <c r="AS29" i="1"/>
  <c r="AT29" i="1" s="1"/>
  <c r="AU29" i="1"/>
  <c r="CN43" i="1"/>
  <c r="CS43" i="1" s="1"/>
  <c r="CS44" i="1"/>
  <c r="CP15" i="1"/>
  <c r="CK41" i="1"/>
  <c r="CO41" i="1" s="1"/>
  <c r="CS21" i="1"/>
  <c r="CR20" i="1"/>
  <c r="AQ19" i="1" s="1"/>
  <c r="AR19" i="1" s="1"/>
  <c r="CN39" i="1"/>
  <c r="CR22" i="1"/>
  <c r="AQ21" i="1" s="1"/>
  <c r="AR21" i="1" s="1"/>
  <c r="CE25" i="1"/>
  <c r="CJ25" i="1" s="1"/>
  <c r="CR17" i="1"/>
  <c r="CS35" i="1"/>
  <c r="CR35" i="1"/>
  <c r="CK25" i="1"/>
  <c r="CO25" i="1" s="1"/>
  <c r="CK39" i="1"/>
  <c r="CL33" i="1"/>
  <c r="CM33" i="1"/>
  <c r="CQ33" i="1" s="1"/>
  <c r="CR25" i="1"/>
  <c r="CE37" i="1"/>
  <c r="CJ37" i="1" s="1"/>
  <c r="CP41" i="1"/>
  <c r="CR42" i="1"/>
  <c r="AQ41" i="1" s="1"/>
  <c r="AR41" i="1" s="1"/>
  <c r="CR36" i="1"/>
  <c r="AQ35" i="1" s="1"/>
  <c r="AR35" i="1" s="1"/>
  <c r="CP27" i="1"/>
  <c r="AN27" i="1" s="1"/>
  <c r="CE27" i="1"/>
  <c r="CJ27" i="1" s="1"/>
  <c r="CE15" i="1"/>
  <c r="CJ15" i="1" s="1"/>
  <c r="CM15" i="1"/>
  <c r="CR31" i="1"/>
  <c r="CQ15" i="1" l="1"/>
  <c r="AN15" i="1" s="1"/>
  <c r="CR15" i="1"/>
  <c r="CP33" i="1"/>
  <c r="CR33" i="1" s="1"/>
  <c r="CR34" i="1"/>
  <c r="CN25" i="1"/>
  <c r="AO26" i="1" s="1"/>
  <c r="CN15" i="1"/>
  <c r="AN41" i="1"/>
  <c r="CR41" i="1"/>
  <c r="CR16" i="1"/>
  <c r="AQ15" i="1" s="1"/>
  <c r="AR15" i="1" s="1"/>
  <c r="AO18" i="1"/>
  <c r="CS17" i="1"/>
  <c r="CS19" i="1"/>
  <c r="CK31" i="1"/>
  <c r="CO31" i="1" s="1"/>
  <c r="CO39" i="1"/>
  <c r="CS40" i="1" s="1"/>
  <c r="AQ40" i="1" s="1"/>
  <c r="AR40" i="1" s="1"/>
  <c r="CS39" i="1"/>
  <c r="CK15" i="1"/>
  <c r="AN37" i="1"/>
  <c r="CK37" i="1"/>
  <c r="CO37" i="1" s="1"/>
  <c r="CN37" i="1"/>
  <c r="AO38" i="1" s="1"/>
  <c r="CS42" i="1"/>
  <c r="AQ42" i="1" s="1"/>
  <c r="AR42" i="1" s="1"/>
  <c r="AO40" i="1"/>
  <c r="AU37" i="1"/>
  <c r="AS37" i="1"/>
  <c r="AT37" i="1" s="1"/>
  <c r="AU19" i="1"/>
  <c r="AS19" i="1"/>
  <c r="AT19" i="1" s="1"/>
  <c r="CN27" i="1"/>
  <c r="CS28" i="1"/>
  <c r="AQ28" i="1" s="1"/>
  <c r="AR28" i="1" s="1"/>
  <c r="AU35" i="1"/>
  <c r="AS35" i="1"/>
  <c r="AT35" i="1" s="1"/>
  <c r="AO42" i="1"/>
  <c r="CS20" i="1"/>
  <c r="AQ20" i="1" s="1"/>
  <c r="AR20" i="1" s="1"/>
  <c r="AS25" i="1"/>
  <c r="AT25" i="1" s="1"/>
  <c r="AU25" i="1"/>
  <c r="AU36" i="1"/>
  <c r="AS36" i="1"/>
  <c r="AT36" i="1" s="1"/>
  <c r="AV29" i="1"/>
  <c r="AC30" i="1" s="1"/>
  <c r="T29" i="1"/>
  <c r="CR24" i="1"/>
  <c r="AU21" i="1"/>
  <c r="AS21" i="1"/>
  <c r="AT21" i="1" s="1"/>
  <c r="CN31" i="1"/>
  <c r="AO32" i="1" s="1"/>
  <c r="AO20" i="1"/>
  <c r="AS31" i="1"/>
  <c r="AT31" i="1" s="1"/>
  <c r="AU31" i="1"/>
  <c r="CR28" i="1"/>
  <c r="AQ27" i="1" s="1"/>
  <c r="AR27" i="1" s="1"/>
  <c r="AS17" i="1"/>
  <c r="AT17" i="1" s="1"/>
  <c r="AU17" i="1"/>
  <c r="AU22" i="1"/>
  <c r="AS22" i="1"/>
  <c r="AT22" i="1" s="1"/>
  <c r="CS29" i="1"/>
  <c r="CS31" i="1"/>
  <c r="CS41" i="1"/>
  <c r="AN39" i="1"/>
  <c r="CR39" i="1"/>
  <c r="AS27" i="1"/>
  <c r="AT27" i="1" s="1"/>
  <c r="AU27" i="1"/>
  <c r="T19" i="1" l="1"/>
  <c r="AV19" i="1"/>
  <c r="AC20" i="1" s="1"/>
  <c r="AU42" i="1"/>
  <c r="AS42" i="1"/>
  <c r="AT42" i="1" s="1"/>
  <c r="CO15" i="1"/>
  <c r="CS15" i="1" s="1"/>
  <c r="CS26" i="1"/>
  <c r="AQ26" i="1" s="1"/>
  <c r="AR26" i="1" s="1"/>
  <c r="CS25" i="1"/>
  <c r="T31" i="1"/>
  <c r="AV32" i="1"/>
  <c r="AV31" i="1"/>
  <c r="AC32" i="1" s="1"/>
  <c r="AV37" i="1"/>
  <c r="AC38" i="1" s="1"/>
  <c r="T37" i="1"/>
  <c r="AU41" i="1"/>
  <c r="AS41" i="1"/>
  <c r="AT41" i="1" s="1"/>
  <c r="AV22" i="1"/>
  <c r="AV21" i="1"/>
  <c r="AC22" i="1" s="1"/>
  <c r="T21" i="1"/>
  <c r="AS32" i="1"/>
  <c r="AT32" i="1" s="1"/>
  <c r="AU32" i="1"/>
  <c r="AO16" i="1"/>
  <c r="AS15" i="1"/>
  <c r="AT15" i="1" s="1"/>
  <c r="AU15" i="1"/>
  <c r="T22" i="1"/>
  <c r="CW21" i="1"/>
  <c r="CS32" i="1"/>
  <c r="AQ32" i="1" s="1"/>
  <c r="AR32" i="1" s="1"/>
  <c r="T36" i="1"/>
  <c r="CW35" i="1"/>
  <c r="AO28" i="1"/>
  <c r="CS27" i="1"/>
  <c r="CS38" i="1"/>
  <c r="AQ38" i="1" s="1"/>
  <c r="AR38" i="1" s="1"/>
  <c r="AU20" i="1"/>
  <c r="AS20" i="1"/>
  <c r="AT20" i="1" s="1"/>
  <c r="AU40" i="1"/>
  <c r="AS40" i="1"/>
  <c r="AT40" i="1" s="1"/>
  <c r="AU30" i="1"/>
  <c r="AS30" i="1"/>
  <c r="AT30" i="1" s="1"/>
  <c r="T35" i="1"/>
  <c r="AV35" i="1"/>
  <c r="AC36" i="1" s="1"/>
  <c r="AV36" i="1"/>
  <c r="AV27" i="1"/>
  <c r="AC28" i="1" s="1"/>
  <c r="T27" i="1"/>
  <c r="AS39" i="1"/>
  <c r="AT39" i="1" s="1"/>
  <c r="AU39" i="1"/>
  <c r="AV17" i="1"/>
  <c r="AC18" i="1" s="1"/>
  <c r="T17" i="1"/>
  <c r="AV25" i="1"/>
  <c r="AC26" i="1" s="1"/>
  <c r="T25" i="1"/>
  <c r="AU18" i="1"/>
  <c r="AS18" i="1"/>
  <c r="AT18" i="1" s="1"/>
  <c r="CS37" i="1"/>
  <c r="CS16" i="1" l="1"/>
  <c r="AQ16" i="1" s="1"/>
  <c r="AR16" i="1" s="1"/>
  <c r="AU38" i="1"/>
  <c r="AS38" i="1"/>
  <c r="AT38" i="1" s="1"/>
  <c r="T20" i="1"/>
  <c r="CW19" i="1"/>
  <c r="T39" i="1"/>
  <c r="AV40" i="1"/>
  <c r="AV39" i="1"/>
  <c r="AC40" i="1" s="1"/>
  <c r="T15" i="1"/>
  <c r="AV15" i="1"/>
  <c r="AC16" i="1" s="1"/>
  <c r="AU16" i="1"/>
  <c r="AS16" i="1"/>
  <c r="AT16" i="1" s="1"/>
  <c r="T18" i="1"/>
  <c r="CW17" i="1"/>
  <c r="AU28" i="1"/>
  <c r="AS28" i="1"/>
  <c r="AT28" i="1" s="1"/>
  <c r="AX35" i="1"/>
  <c r="CX35" i="1"/>
  <c r="T42" i="1"/>
  <c r="CW41" i="1"/>
  <c r="AV18" i="1"/>
  <c r="T40" i="1"/>
  <c r="CW39" i="1"/>
  <c r="T32" i="1"/>
  <c r="CW31" i="1"/>
  <c r="AV20" i="1"/>
  <c r="CW29" i="1"/>
  <c r="T30" i="1"/>
  <c r="AV30" i="1"/>
  <c r="AX21" i="1"/>
  <c r="CX21" i="1"/>
  <c r="AV42" i="1"/>
  <c r="AV41" i="1"/>
  <c r="AC42" i="1" s="1"/>
  <c r="T41" i="1"/>
  <c r="AU26" i="1"/>
  <c r="AS26" i="1"/>
  <c r="AT26" i="1" s="1"/>
  <c r="AX17" i="1" l="1"/>
  <c r="CX17" i="1"/>
  <c r="AX41" i="1"/>
  <c r="CX41" i="1"/>
  <c r="T16" i="1"/>
  <c r="CW15" i="1"/>
  <c r="T28" i="1"/>
  <c r="CW27" i="1"/>
  <c r="AV28" i="1"/>
  <c r="CW25" i="1"/>
  <c r="T26" i="1"/>
  <c r="AV26" i="1"/>
  <c r="AV16" i="1"/>
  <c r="AX39" i="1"/>
  <c r="CX39" i="1"/>
  <c r="AX29" i="1"/>
  <c r="CX29" i="1"/>
  <c r="AX19" i="1"/>
  <c r="CX19" i="1"/>
  <c r="AX31" i="1"/>
  <c r="CX31" i="1"/>
  <c r="T38" i="1"/>
  <c r="CW37" i="1"/>
  <c r="AV38" i="1"/>
  <c r="AX37" i="1" l="1"/>
  <c r="CX37" i="1"/>
  <c r="AX25" i="1"/>
  <c r="CX25" i="1"/>
  <c r="AX27" i="1"/>
  <c r="CX27" i="1"/>
  <c r="AX15" i="1"/>
  <c r="CX15" i="1"/>
</calcChain>
</file>

<file path=xl/comments1.xml><?xml version="1.0" encoding="utf-8"?>
<comments xmlns="http://schemas.openxmlformats.org/spreadsheetml/2006/main">
  <authors>
    <author>ESE SERVICE</author>
  </authors>
  <commentList>
    <comment ref="Q4" authorId="0">
      <text>
        <r>
          <rPr>
            <sz val="16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1"/>
            <color indexed="81"/>
            <rFont val="ＭＳ Ｐゴシック"/>
            <family val="3"/>
            <charset val="128"/>
          </rPr>
          <t>……</t>
        </r>
        <r>
          <rPr>
            <b/>
            <sz val="11"/>
            <color indexed="10"/>
            <rFont val="ＭＳ Ｐゴシック"/>
            <family val="3"/>
            <charset val="128"/>
          </rPr>
          <t>低圧進相コンデンサ</t>
        </r>
        <r>
          <rPr>
            <sz val="9"/>
            <color indexed="12"/>
            <rFont val="ＭＳ Ｐゴシック"/>
            <family val="3"/>
            <charset val="128"/>
          </rPr>
          <t>［ニチコン（株）1991.5］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……
</t>
        </r>
        <r>
          <rPr>
            <sz val="16"/>
            <color indexed="81"/>
            <rFont val="ＭＳ Ｐゴシック"/>
            <family val="3"/>
            <charset val="128"/>
          </rPr>
          <t xml:space="preserve"> </t>
        </r>
        <r>
          <rPr>
            <sz val="10"/>
            <color indexed="81"/>
            <rFont val="ＭＳ Ｐゴシック"/>
            <family val="3"/>
            <charset val="128"/>
          </rPr>
          <t>200V，220V-50Hz，60Hz（</t>
        </r>
        <r>
          <rPr>
            <sz val="10"/>
            <color indexed="14"/>
            <rFont val="ＭＳ Ｐゴシック"/>
            <family val="3"/>
            <charset val="128"/>
          </rPr>
          <t>直列リアクトル</t>
        </r>
        <r>
          <rPr>
            <sz val="10"/>
            <color indexed="10"/>
            <rFont val="ＭＳ Ｐゴシック"/>
            <family val="3"/>
            <charset val="128"/>
          </rPr>
          <t>なし</t>
        </r>
        <r>
          <rPr>
            <sz val="10"/>
            <color indexed="81"/>
            <rFont val="ＭＳ Ｐゴシック"/>
            <family val="3"/>
            <charset val="128"/>
          </rPr>
          <t xml:space="preserve">）
</t>
        </r>
        <r>
          <rPr>
            <b/>
            <sz val="9"/>
            <color indexed="81"/>
            <rFont val="ＭＳ ゴシック"/>
            <family val="3"/>
            <charset val="128"/>
          </rPr>
          <t xml:space="preserve">     10, 15, 20, 25, 30, 50</t>
        </r>
        <r>
          <rPr>
            <sz val="10"/>
            <color indexed="81"/>
            <rFont val="ＭＳ ゴシック"/>
            <family val="3"/>
            <charset val="128"/>
          </rPr>
          <t xml:space="preserve">[KVar]
 </t>
        </r>
        <r>
          <rPr>
            <sz val="10"/>
            <color indexed="81"/>
            <rFont val="ＭＳ Ｐゴシック"/>
            <family val="3"/>
            <charset val="128"/>
          </rPr>
          <t>200V，220V-50Hz，60Hz（</t>
        </r>
        <r>
          <rPr>
            <sz val="10"/>
            <color indexed="14"/>
            <rFont val="ＭＳ Ｐゴシック"/>
            <family val="3"/>
            <charset val="128"/>
          </rPr>
          <t>直列リアクトル</t>
        </r>
        <r>
          <rPr>
            <sz val="10"/>
            <color indexed="10"/>
            <rFont val="ＭＳ Ｐゴシック"/>
            <family val="3"/>
            <charset val="128"/>
          </rPr>
          <t>６％</t>
        </r>
        <r>
          <rPr>
            <sz val="10"/>
            <color indexed="81"/>
            <rFont val="ＭＳ Ｐゴシック"/>
            <family val="3"/>
            <charset val="128"/>
          </rPr>
          <t>）</t>
        </r>
        <r>
          <rPr>
            <sz val="10"/>
            <color indexed="81"/>
            <rFont val="ＭＳ ゴシック"/>
            <family val="3"/>
            <charset val="128"/>
          </rPr>
          <t xml:space="preserve">
 </t>
        </r>
        <r>
          <rPr>
            <b/>
            <sz val="9"/>
            <color indexed="81"/>
            <rFont val="ＭＳ ゴシック"/>
            <family val="3"/>
            <charset val="128"/>
          </rPr>
          <t>　  10, 15, 20, 25, 30, 40, 50, 75,100</t>
        </r>
        <r>
          <rPr>
            <sz val="10"/>
            <color indexed="81"/>
            <rFont val="ＭＳ ゴシック"/>
            <family val="3"/>
            <charset val="128"/>
          </rPr>
          <t xml:space="preserve">[KVar]
</t>
        </r>
        <r>
          <rPr>
            <sz val="10"/>
            <color indexed="81"/>
            <rFont val="ＭＳ Ｐゴシック"/>
            <family val="3"/>
            <charset val="128"/>
          </rPr>
          <t xml:space="preserve">  400，415，440，460V-50Hz，60Hz（</t>
        </r>
        <r>
          <rPr>
            <sz val="10"/>
            <color indexed="14"/>
            <rFont val="ＭＳ Ｐゴシック"/>
            <family val="3"/>
            <charset val="128"/>
          </rPr>
          <t>直列リアクトル</t>
        </r>
        <r>
          <rPr>
            <sz val="10"/>
            <color indexed="10"/>
            <rFont val="ＭＳ Ｐゴシック"/>
            <family val="3"/>
            <charset val="128"/>
          </rPr>
          <t>なし</t>
        </r>
        <r>
          <rPr>
            <sz val="10"/>
            <color indexed="81"/>
            <rFont val="ＭＳ Ｐゴシック"/>
            <family val="3"/>
            <charset val="128"/>
          </rPr>
          <t>）</t>
        </r>
        <r>
          <rPr>
            <sz val="10"/>
            <color indexed="81"/>
            <rFont val="ＭＳ 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ゴシック"/>
            <family val="3"/>
            <charset val="128"/>
          </rPr>
          <t xml:space="preserve">     10, 15, 20, 25, 30, 50, 75,100,150</t>
        </r>
        <r>
          <rPr>
            <sz val="10"/>
            <color indexed="81"/>
            <rFont val="ＭＳ ゴシック"/>
            <family val="3"/>
            <charset val="128"/>
          </rPr>
          <t xml:space="preserve">[KVar]
</t>
        </r>
        <r>
          <rPr>
            <sz val="10"/>
            <color indexed="81"/>
            <rFont val="ＭＳ Ｐゴシック"/>
            <family val="3"/>
            <charset val="128"/>
          </rPr>
          <t xml:space="preserve">  400，415，440，460V-50Hz，60Hz（</t>
        </r>
        <r>
          <rPr>
            <sz val="10"/>
            <color indexed="14"/>
            <rFont val="ＭＳ Ｐゴシック"/>
            <family val="3"/>
            <charset val="128"/>
          </rPr>
          <t>直列リアクトル</t>
        </r>
        <r>
          <rPr>
            <sz val="10"/>
            <color indexed="10"/>
            <rFont val="ＭＳ Ｐゴシック"/>
            <family val="3"/>
            <charset val="128"/>
          </rPr>
          <t>6％</t>
        </r>
        <r>
          <rPr>
            <sz val="10"/>
            <color indexed="81"/>
            <rFont val="ＭＳ Ｐゴシック"/>
            <family val="3"/>
            <charset val="128"/>
          </rPr>
          <t>）</t>
        </r>
        <r>
          <rPr>
            <sz val="10"/>
            <color indexed="81"/>
            <rFont val="ＭＳ 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ゴシック"/>
            <family val="3"/>
            <charset val="128"/>
          </rPr>
          <t xml:space="preserve">     10, 15, 20, 25, 30, 50, 75,100,150,200
    250,300</t>
        </r>
        <r>
          <rPr>
            <sz val="10"/>
            <color indexed="81"/>
            <rFont val="ＭＳ ゴシック"/>
            <family val="3"/>
            <charset val="128"/>
          </rPr>
          <t>[KVar]</t>
        </r>
      </text>
    </comment>
    <comment ref="E5" authorId="0">
      <text>
        <r>
          <rPr>
            <b/>
            <sz val="20"/>
            <color indexed="12"/>
            <rFont val="ＭＳ 明朝"/>
            <family val="1"/>
            <charset val="128"/>
          </rPr>
          <t xml:space="preserve"> </t>
        </r>
        <r>
          <rPr>
            <b/>
            <sz val="16"/>
            <color indexed="12"/>
            <rFont val="ＭＳ 明朝"/>
            <family val="1"/>
            <charset val="128"/>
          </rPr>
          <t>電動機回路の始動時電線路電圧降下、
 定常時電圧降下、送電端受電端電圧,
 力率の確認計算、進相コンデンサ容量
 の決定等にご利用できます。
　</t>
        </r>
        <r>
          <rPr>
            <sz val="11"/>
            <color indexed="81"/>
            <rFont val="ＭＳ Ｐゴシック"/>
            <family val="3"/>
            <charset val="128"/>
          </rPr>
          <t xml:space="preserve">コメント文 </t>
        </r>
        <r>
          <rPr>
            <sz val="16"/>
            <color indexed="47"/>
            <rFont val="ＭＳ Ｐゴシック"/>
            <family val="3"/>
            <charset val="128"/>
          </rPr>
          <t>■</t>
        </r>
        <r>
          <rPr>
            <sz val="11"/>
            <color indexed="81"/>
            <rFont val="ＭＳ Ｐゴシック"/>
            <family val="3"/>
            <charset val="128"/>
          </rPr>
          <t xml:space="preserve"> は、入力が、必要な”セル”です。
　  　　　　 　　 </t>
        </r>
        <r>
          <rPr>
            <sz val="16"/>
            <color indexed="44"/>
            <rFont val="ＭＳ Ｐゴシック"/>
            <family val="3"/>
            <charset val="128"/>
          </rPr>
          <t>■</t>
        </r>
        <r>
          <rPr>
            <sz val="11"/>
            <color indexed="81"/>
            <rFont val="ＭＳ Ｐゴシック"/>
            <family val="3"/>
            <charset val="128"/>
          </rPr>
          <t xml:space="preserve"> は、コピ－が可能な”セル”です。
　　  　　　　　  </t>
        </r>
        <r>
          <rPr>
            <sz val="16"/>
            <color indexed="26"/>
            <rFont val="ＭＳ Ｐゴシック"/>
            <family val="3"/>
            <charset val="128"/>
          </rPr>
          <t xml:space="preserve">■ </t>
        </r>
        <r>
          <rPr>
            <sz val="11"/>
            <color indexed="81"/>
            <rFont val="ＭＳ Ｐゴシック"/>
            <family val="3"/>
            <charset val="128"/>
          </rPr>
          <t xml:space="preserve">は、ご説明文等です。
　　 入力セル </t>
        </r>
        <r>
          <rPr>
            <sz val="16"/>
            <color indexed="43"/>
            <rFont val="ＭＳ Ｐゴシック"/>
            <family val="3"/>
            <charset val="128"/>
          </rPr>
          <t>■</t>
        </r>
        <r>
          <rPr>
            <sz val="11"/>
            <color indexed="81"/>
            <rFont val="ＭＳ Ｐゴシック"/>
            <family val="3"/>
            <charset val="128"/>
          </rPr>
          <t xml:space="preserve"> は、</t>
        </r>
        <r>
          <rPr>
            <sz val="10"/>
            <color indexed="81"/>
            <rFont val="ＭＳ Ｐゴシック"/>
            <family val="3"/>
            <charset val="128"/>
          </rPr>
          <t>必要事項を入力して下さい。</t>
        </r>
        <r>
          <rPr>
            <sz val="11"/>
            <color indexed="81"/>
            <rFont val="ＭＳ Ｐゴシック"/>
            <family val="3"/>
            <charset val="128"/>
          </rPr>
          <t xml:space="preserve">
　　 計算セル </t>
        </r>
        <r>
          <rPr>
            <sz val="16"/>
            <color indexed="9"/>
            <rFont val="ＭＳ Ｐゴシック"/>
            <family val="3"/>
            <charset val="128"/>
          </rPr>
          <t xml:space="preserve">■ </t>
        </r>
        <r>
          <rPr>
            <sz val="11"/>
            <color indexed="81"/>
            <rFont val="ＭＳ Ｐゴシック"/>
            <family val="3"/>
            <charset val="128"/>
          </rPr>
          <t>は、</t>
        </r>
        <r>
          <rPr>
            <sz val="10"/>
            <color indexed="81"/>
            <rFont val="ＭＳ Ｐゴシック"/>
            <family val="3"/>
            <charset val="128"/>
          </rPr>
          <t>自動計算しますので、入力はできません。</t>
        </r>
      </text>
    </comment>
    <comment ref="AB6" authorId="0">
      <text>
        <r>
          <rPr>
            <sz val="16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1"/>
            <color indexed="10"/>
            <rFont val="ＭＳ Ｐゴシック"/>
            <family val="3"/>
            <charset val="128"/>
          </rPr>
          <t>電動機の始動階級</t>
        </r>
        <r>
          <rPr>
            <sz val="9"/>
            <color indexed="14"/>
            <rFont val="ＭＳ Ｐゴシック"/>
            <family val="3"/>
            <charset val="128"/>
          </rPr>
          <t>（ＪＩＳ Ｃ ４２０４）</t>
        </r>
        <r>
          <rPr>
            <sz val="9"/>
            <color indexed="81"/>
            <rFont val="ＭＳ Ｐゴシック"/>
            <family val="3"/>
            <charset val="128"/>
          </rPr>
          <t xml:space="preserve">
　　 始動階級　　１ＫＷあたりの入力ＫＶＡ
    </t>
        </r>
        <r>
          <rPr>
            <sz val="9"/>
            <color indexed="12"/>
            <rFont val="ＭＳ Ｐゴシック"/>
            <family val="3"/>
            <charset val="128"/>
          </rPr>
          <t>……</t>
        </r>
        <r>
          <rPr>
            <b/>
            <sz val="11"/>
            <color indexed="12"/>
            <rFont val="ＭＳ Ｐゴシック"/>
            <family val="3"/>
            <charset val="128"/>
          </rPr>
          <t>数値を入力して下さい</t>
        </r>
        <r>
          <rPr>
            <sz val="9"/>
            <color indexed="12"/>
            <rFont val="ＭＳ Ｐゴシック"/>
            <family val="3"/>
            <charset val="128"/>
          </rPr>
          <t>……</t>
        </r>
        <r>
          <rPr>
            <sz val="9"/>
            <color indexed="81"/>
            <rFont val="ＭＳ Ｐゴシック"/>
            <family val="3"/>
            <charset val="128"/>
          </rPr>
          <t xml:space="preserve">　 
</t>
        </r>
        <r>
          <rPr>
            <sz val="9"/>
            <color indexed="81"/>
            <rFont val="ＭＳ ゴシック"/>
            <family val="3"/>
            <charset val="128"/>
          </rPr>
          <t xml:space="preserve">      </t>
        </r>
        <r>
          <rPr>
            <b/>
            <sz val="8"/>
            <color indexed="81"/>
            <rFont val="ＭＳ ゴシック"/>
            <family val="3"/>
            <charset val="128"/>
          </rPr>
          <t>Ａ　　　      ～  ４．２
     Ｂ　　　４．２ ～  ４．８
     Ｃ　　　４．８ ～  ５．４
     Ｄ　　　５．４ ～  ６．０
     Ｅ　　　６．０ ～  ６．７
     Ｆ　　　６．７ ～  ７．５
     Ｇ　　　７．５ ～  ８．４
　　　Ｈ　　　８．４ ～  ９．５
     Ｊ　　　９．５ ～ １０．７
     Ｋ　　１０．７ ～ １２．１
     Ｌ　　１２．１ ～ １３．４　　　　　　　　　　　　　　　
     Ｍ　　１３．４ ～ １５．０
     Ｎ　　１５．０ ～ １６．８　
     Ｐ　　１６．８ ～ １８．８　
     Ｒ　　１８．８ ～ ２１．５
     Ｓ　　２１．５ ～ ２４．１
     Ｔ　　２４．１ ～ ２６．８
     Ｕ　　２６．８ ～ ３０．０　
     Ｖ　　３０．０ ～</t>
        </r>
      </text>
    </comment>
    <comment ref="AC6" authorId="0">
      <text>
        <r>
          <rPr>
            <sz val="16"/>
            <color indexed="81"/>
            <rFont val="ＭＳ Ｐゴシック"/>
            <family val="3"/>
            <charset val="128"/>
          </rPr>
          <t xml:space="preserve">  </t>
        </r>
        <r>
          <rPr>
            <b/>
            <sz val="11"/>
            <color indexed="81"/>
            <rFont val="ＭＳ Ｐゴシック"/>
            <family val="3"/>
            <charset val="128"/>
          </rPr>
          <t>…</t>
        </r>
        <r>
          <rPr>
            <b/>
            <sz val="11"/>
            <color indexed="10"/>
            <rFont val="ＭＳ Ｐゴシック"/>
            <family val="3"/>
            <charset val="128"/>
          </rPr>
          <t>電動機の始動トルク</t>
        </r>
        <r>
          <rPr>
            <b/>
            <sz val="11"/>
            <color indexed="81"/>
            <rFont val="ＭＳ Ｐゴシック"/>
            <family val="3"/>
            <charset val="128"/>
          </rPr>
          <t>…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4"/>
            <color indexed="81"/>
            <rFont val="ＭＳ Ｐゴシック"/>
            <family val="3"/>
            <charset val="128"/>
          </rPr>
          <t xml:space="preserve">  </t>
        </r>
        <r>
          <rPr>
            <sz val="10"/>
            <color indexed="81"/>
            <rFont val="ＭＳ Ｐゴシック"/>
            <family val="3"/>
            <charset val="128"/>
          </rPr>
          <t>全電圧始動トルクに対する％　</t>
        </r>
      </text>
    </comment>
    <comment ref="D10" authorId="0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印刷範囲 
</t>
        </r>
        <r>
          <rPr>
            <b/>
            <sz val="10"/>
            <color indexed="14"/>
            <rFont val="ＭＳ Ｐゴシック"/>
            <family val="3"/>
            <charset val="128"/>
          </rPr>
          <t xml:space="preserve"> (1 page)</t>
        </r>
      </text>
    </comment>
    <comment ref="AW10" authorId="0">
      <text>
        <r>
          <rPr>
            <sz val="14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1"/>
            <color indexed="81"/>
            <rFont val="ＭＳ Ｐゴシック"/>
            <family val="3"/>
            <charset val="128"/>
          </rPr>
          <t>日付等を入力して下さい。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　</t>
        </r>
        <r>
          <rPr>
            <sz val="11"/>
            <color indexed="81"/>
            <rFont val="ＭＳ Ｐゴシック"/>
            <family val="3"/>
            <charset val="128"/>
          </rPr>
          <t>日付入力　　CTRL + ；
　時間入力　　CTRL + ：</t>
        </r>
      </text>
    </comment>
    <comment ref="E11" authorId="0">
      <text>
        <r>
          <rPr>
            <b/>
            <sz val="14"/>
            <color indexed="10"/>
            <rFont val="ＭＳ Ｐゴシック"/>
            <family val="3"/>
            <charset val="128"/>
          </rPr>
          <t xml:space="preserve"> ←</t>
        </r>
        <r>
          <rPr>
            <b/>
            <sz val="11"/>
            <color indexed="81"/>
            <rFont val="ＭＳ Ｐゴシック"/>
            <family val="3"/>
            <charset val="128"/>
          </rPr>
          <t>コピ－用デ－タ
　　 から貼り付けて
　　 修正して下さい。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    </t>
        </r>
        <r>
          <rPr>
            <sz val="11"/>
            <color indexed="81"/>
            <rFont val="ＭＳ Ｐゴシック"/>
            <family val="3"/>
            <charset val="128"/>
          </rPr>
          <t>………参考………</t>
        </r>
        <r>
          <rPr>
            <sz val="9"/>
            <color indexed="81"/>
            <rFont val="ＭＳ Ｐゴシック"/>
            <family val="3"/>
            <charset val="128"/>
          </rPr>
          <t xml:space="preserve">
   </t>
        </r>
        <r>
          <rPr>
            <b/>
            <u/>
            <sz val="11"/>
            <color indexed="10"/>
            <rFont val="ＭＳ Ｐゴシック"/>
            <family val="3"/>
            <charset val="128"/>
          </rPr>
          <t>２Ｍ－０３</t>
        </r>
        <r>
          <rPr>
            <b/>
            <sz val="11"/>
            <color indexed="10"/>
            <rFont val="ＭＳ Ｐゴシック"/>
            <family val="3"/>
            <charset val="128"/>
          </rPr>
          <t>－２－Ｆ０１</t>
        </r>
        <r>
          <rPr>
            <sz val="9"/>
            <color indexed="81"/>
            <rFont val="ＭＳ Ｐゴシック"/>
            <family val="3"/>
            <charset val="128"/>
          </rPr>
          <t xml:space="preserve">
　     　↓ 　  　  　↓    　↓　
</t>
        </r>
        <r>
          <rPr>
            <sz val="9"/>
            <color indexed="81"/>
            <rFont val="ＭＳ ゴシック"/>
            <family val="3"/>
            <charset val="128"/>
          </rPr>
          <t xml:space="preserve">　 </t>
        </r>
        <r>
          <rPr>
            <b/>
            <sz val="11"/>
            <color indexed="12"/>
            <rFont val="ＭＳ ゴシック"/>
            <family val="3"/>
            <charset val="128"/>
          </rPr>
          <t>盤名称</t>
        </r>
        <r>
          <rPr>
            <b/>
            <sz val="11"/>
            <color indexed="12"/>
            <rFont val="ＭＳ Ｐゴシック"/>
            <family val="3"/>
            <charset val="128"/>
          </rPr>
          <t xml:space="preserve">    </t>
        </r>
        <r>
          <rPr>
            <b/>
            <sz val="11"/>
            <color indexed="12"/>
            <rFont val="ＭＳ ゴシック"/>
            <family val="3"/>
            <charset val="128"/>
          </rPr>
          <t xml:space="preserve">回  フ
  　　　   路  ｜　
 設動  通  電  ダ
 置　  し  圧  番
 階力  番 　   号
 　　  号　 
</t>
        </r>
      </text>
    </comment>
    <comment ref="F11" authorId="0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 ←</t>
        </r>
        <r>
          <rPr>
            <b/>
            <sz val="11"/>
            <color indexed="81"/>
            <rFont val="ＭＳ Ｐゴシック"/>
            <family val="3"/>
            <charset val="128"/>
          </rPr>
          <t>コピ－用デ－タ
  から貼り付けて、
  修正して下さい。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1" authorId="0">
      <text>
        <r>
          <rPr>
            <sz val="16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1"/>
            <color indexed="81"/>
            <rFont val="ＭＳ Ｐゴシック"/>
            <family val="3"/>
            <charset val="128"/>
          </rPr>
          <t>……</t>
        </r>
        <r>
          <rPr>
            <b/>
            <sz val="11"/>
            <color indexed="14"/>
            <rFont val="ＭＳ Ｐゴシック"/>
            <family val="3"/>
            <charset val="128"/>
          </rPr>
          <t>（注）</t>
        </r>
        <r>
          <rPr>
            <b/>
            <sz val="11"/>
            <color indexed="12"/>
            <rFont val="ＭＳ Ｐゴシック"/>
            <family val="3"/>
            <charset val="128"/>
          </rPr>
          <t>半角入力</t>
        </r>
        <r>
          <rPr>
            <b/>
            <sz val="11"/>
            <color indexed="81"/>
            <rFont val="ＭＳ Ｐゴシック"/>
            <family val="3"/>
            <charset val="128"/>
          </rPr>
          <t>とする。……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4"/>
            <color indexed="81"/>
            <rFont val="ＭＳ Ｐゴシック"/>
            <family val="3"/>
            <charset val="128"/>
          </rPr>
          <t xml:space="preserve">   </t>
        </r>
        <r>
          <rPr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３φ３W 　２１０Ｖ　の場合、
　  </t>
        </r>
        <r>
          <rPr>
            <b/>
            <sz val="11"/>
            <color indexed="10"/>
            <rFont val="ＭＳ Ｐゴシック"/>
            <family val="3"/>
            <charset val="128"/>
          </rPr>
          <t>３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9"/>
            <color indexed="81"/>
            <rFont val="ＭＳ Ｐゴシック"/>
            <family val="3"/>
            <charset val="128"/>
          </rPr>
          <t>TAB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1"/>
            <color indexed="10"/>
            <rFont val="ＭＳ Ｐゴシック"/>
            <family val="3"/>
            <charset val="128"/>
          </rPr>
          <t xml:space="preserve">３ </t>
        </r>
        <r>
          <rPr>
            <b/>
            <sz val="9"/>
            <color indexed="81"/>
            <rFont val="ＭＳ Ｐゴシック"/>
            <family val="3"/>
            <charset val="128"/>
          </rPr>
          <t>TAB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1"/>
            <color indexed="10"/>
            <rFont val="ＭＳ Ｐゴシック"/>
            <family val="3"/>
            <charset val="128"/>
          </rPr>
          <t xml:space="preserve">２１0 </t>
        </r>
        <r>
          <rPr>
            <b/>
            <sz val="9"/>
            <color indexed="81"/>
            <rFont val="ＭＳ Ｐゴシック"/>
            <family val="3"/>
            <charset val="128"/>
          </rPr>
          <t>TAB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   と</t>
        </r>
        <r>
          <rPr>
            <b/>
            <sz val="11"/>
            <color indexed="10"/>
            <rFont val="ＭＳ Ｐゴシック"/>
            <family val="3"/>
            <charset val="128"/>
          </rPr>
          <t>数値</t>
        </r>
        <r>
          <rPr>
            <b/>
            <sz val="11"/>
            <color indexed="81"/>
            <rFont val="ＭＳ Ｐゴシック"/>
            <family val="3"/>
            <charset val="128"/>
          </rPr>
          <t>のみを</t>
        </r>
        <r>
          <rPr>
            <b/>
            <sz val="11"/>
            <color indexed="10"/>
            <rFont val="ＭＳ Ｐゴシック"/>
            <family val="3"/>
            <charset val="128"/>
          </rPr>
          <t>入力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して下さい。
</t>
        </r>
      </text>
    </comment>
    <comment ref="M11" authorId="0">
      <text>
        <r>
          <rPr>
            <sz val="16"/>
            <color indexed="81"/>
            <rFont val="ＭＳ Ｐゴシック"/>
            <family val="3"/>
            <charset val="128"/>
          </rPr>
          <t xml:space="preserve">  </t>
        </r>
        <r>
          <rPr>
            <b/>
            <sz val="11"/>
            <color indexed="10"/>
            <rFont val="ＭＳ Ｐゴシック"/>
            <family val="3"/>
            <charset val="128"/>
          </rPr>
          <t>周波数</t>
        </r>
        <r>
          <rPr>
            <sz val="11"/>
            <color indexed="14"/>
            <rFont val="ＭＳ Ｐゴシック"/>
            <family val="3"/>
            <charset val="128"/>
          </rPr>
          <t>［Frequency］</t>
        </r>
        <r>
          <rPr>
            <b/>
            <sz val="11"/>
            <color indexed="10"/>
            <rFont val="ＭＳ Ｐゴシック"/>
            <family val="3"/>
            <charset val="128"/>
          </rPr>
          <t>入力</t>
        </r>
        <r>
          <rPr>
            <b/>
            <sz val="11"/>
            <color indexed="81"/>
            <rFont val="ＭＳ Ｐゴシック"/>
            <family val="3"/>
            <charset val="128"/>
          </rPr>
          <t>　　　
 …</t>
        </r>
        <r>
          <rPr>
            <b/>
            <sz val="11"/>
            <color indexed="14"/>
            <rFont val="ＭＳ Ｐゴシック"/>
            <family val="3"/>
            <charset val="128"/>
          </rPr>
          <t>（注）</t>
        </r>
        <r>
          <rPr>
            <b/>
            <sz val="11"/>
            <color indexed="12"/>
            <rFont val="ＭＳ Ｐゴシック"/>
            <family val="3"/>
            <charset val="128"/>
          </rPr>
          <t>半角入力とする。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…
</t>
        </r>
        <r>
          <rPr>
            <sz val="18"/>
            <color indexed="81"/>
            <rFont val="ＭＳ Ｐゴシック"/>
            <family val="3"/>
            <charset val="128"/>
          </rPr>
          <t xml:space="preserve">  </t>
        </r>
        <r>
          <rPr>
            <b/>
            <sz val="11"/>
            <color indexed="10"/>
            <rFont val="ＭＳ Ｐゴシック"/>
            <family val="3"/>
            <charset val="128"/>
          </rPr>
          <t>５０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 又は </t>
        </r>
        <r>
          <rPr>
            <b/>
            <sz val="11"/>
            <color indexed="10"/>
            <rFont val="ＭＳ Ｐゴシック"/>
            <family val="3"/>
            <charset val="128"/>
          </rPr>
          <t>６０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［Ｈｚ］</t>
        </r>
        <r>
          <rPr>
            <b/>
            <sz val="11"/>
            <color indexed="81"/>
            <rFont val="ＭＳ Ｐゴシック"/>
            <family val="3"/>
            <charset val="128"/>
          </rPr>
          <t>の値
   を</t>
        </r>
        <r>
          <rPr>
            <b/>
            <sz val="11"/>
            <color indexed="10"/>
            <rFont val="ＭＳ Ｐゴシック"/>
            <family val="3"/>
            <charset val="128"/>
          </rPr>
          <t>入力</t>
        </r>
        <r>
          <rPr>
            <b/>
            <sz val="11"/>
            <color indexed="81"/>
            <rFont val="ＭＳ Ｐゴシック"/>
            <family val="3"/>
            <charset val="128"/>
          </rPr>
          <t>して下さい。</t>
        </r>
      </text>
    </comment>
    <comment ref="T11" authorId="0">
      <text>
        <r>
          <rPr>
            <sz val="16"/>
            <color indexed="81"/>
            <rFont val="ＭＳ Ｐゴシック"/>
            <family val="3"/>
            <charset val="128"/>
          </rPr>
          <t xml:space="preserve">  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合成 Impedance Ｚ </t>
        </r>
        <r>
          <rPr>
            <b/>
            <sz val="12"/>
            <color indexed="81"/>
            <rFont val="ＭＳ Ｐゴシック"/>
            <family val="3"/>
            <charset val="128"/>
          </rPr>
          <t>を
  計算後に表示されます｡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 xml:space="preserve">  </t>
        </r>
        <r>
          <rPr>
            <sz val="9"/>
            <color indexed="12"/>
            <rFont val="ＭＳ Ｐゴシック"/>
            <family val="3"/>
            <charset val="128"/>
          </rPr>
          <t>上段：</t>
        </r>
        <r>
          <rPr>
            <sz val="9"/>
            <color indexed="14"/>
            <rFont val="ＭＳ Ｐゴシック"/>
            <family val="3"/>
            <charset val="128"/>
          </rPr>
          <t>始動時</t>
        </r>
        <r>
          <rPr>
            <sz val="9"/>
            <color indexed="12"/>
            <rFont val="ＭＳ Ｐゴシック"/>
            <family val="3"/>
            <charset val="128"/>
          </rPr>
          <t>の配電側電圧［V］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 xml:space="preserve">  </t>
        </r>
        <r>
          <rPr>
            <sz val="9"/>
            <color indexed="12"/>
            <rFont val="ＭＳ Ｐゴシック"/>
            <family val="3"/>
            <charset val="128"/>
          </rPr>
          <t>下段：</t>
        </r>
        <r>
          <rPr>
            <sz val="9"/>
            <color indexed="14"/>
            <rFont val="ＭＳ Ｐゴシック"/>
            <family val="3"/>
            <charset val="128"/>
          </rPr>
          <t>定常時</t>
        </r>
        <r>
          <rPr>
            <sz val="9"/>
            <color indexed="12"/>
            <rFont val="ＭＳ Ｐゴシック"/>
            <family val="3"/>
            <charset val="128"/>
          </rPr>
          <t>の配電側電圧［V］</t>
        </r>
      </text>
    </comment>
    <comment ref="AP11" authorId="0">
      <text>
        <r>
          <rPr>
            <sz val="16"/>
            <color indexed="81"/>
            <rFont val="ＭＳ Ｐゴシック"/>
            <family val="3"/>
            <charset val="128"/>
          </rPr>
          <t xml:space="preserve">  </t>
        </r>
        <r>
          <rPr>
            <b/>
            <sz val="11"/>
            <color indexed="81"/>
            <rFont val="ＭＳ Ｐゴシック"/>
            <family val="3"/>
            <charset val="128"/>
          </rPr>
          <t>求めたい</t>
        </r>
        <r>
          <rPr>
            <b/>
            <sz val="11"/>
            <color indexed="10"/>
            <rFont val="ＭＳ Ｐゴシック"/>
            <family val="3"/>
            <charset val="128"/>
          </rPr>
          <t>導体温度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　を</t>
        </r>
        <r>
          <rPr>
            <b/>
            <sz val="11"/>
            <color indexed="10"/>
            <rFont val="ＭＳ Ｐゴシック"/>
            <family val="3"/>
            <charset val="128"/>
          </rPr>
          <t>入力</t>
        </r>
        <r>
          <rPr>
            <b/>
            <sz val="11"/>
            <color indexed="81"/>
            <rFont val="ＭＳ Ｐゴシック"/>
            <family val="3"/>
            <charset val="128"/>
          </rPr>
          <t>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   </t>
        </r>
        <r>
          <rPr>
            <sz val="14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12"/>
            <rFont val="ＭＳ Ｐゴシック"/>
            <family val="3"/>
            <charset val="128"/>
          </rPr>
          <t>--半角入力です。--</t>
        </r>
        <r>
          <rPr>
            <sz val="9"/>
            <color indexed="81"/>
            <rFont val="ＭＳ Ｐゴシック"/>
            <family val="3"/>
            <charset val="128"/>
          </rPr>
          <t xml:space="preserve">
    -100[℃] ～ +300[℃]
</t>
        </r>
        <r>
          <rPr>
            <sz val="14"/>
            <color indexed="81"/>
            <rFont val="ＭＳ Ｐゴシック"/>
            <family val="3"/>
            <charset val="128"/>
          </rPr>
          <t xml:space="preserve">  </t>
        </r>
        <r>
          <rPr>
            <sz val="9"/>
            <color indexed="14"/>
            <rFont val="ＭＳ Ｐゴシック"/>
            <family val="3"/>
            <charset val="128"/>
          </rPr>
          <t>ご注意</t>
        </r>
        <r>
          <rPr>
            <sz val="9"/>
            <color indexed="81"/>
            <rFont val="ＭＳ Ｐゴシック"/>
            <family val="3"/>
            <charset val="128"/>
          </rPr>
          <t>：入力をしないと、
　    ０ [℃] で計算します。</t>
        </r>
      </text>
    </comment>
    <comment ref="AQ11" authorId="0">
      <text>
        <r>
          <rPr>
            <sz val="18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1"/>
            <color indexed="81"/>
            <rFont val="ＭＳ Ｐゴシック"/>
            <family val="3"/>
            <charset val="128"/>
          </rPr>
          <t>……</t>
        </r>
        <r>
          <rPr>
            <b/>
            <sz val="12"/>
            <color indexed="10"/>
            <rFont val="ＭＳ Ｐゴシック"/>
            <family val="3"/>
            <charset val="128"/>
          </rPr>
          <t>線路電圧降下</t>
        </r>
        <r>
          <rPr>
            <b/>
            <sz val="11"/>
            <color indexed="81"/>
            <rFont val="ＭＳ Ｐゴシック"/>
            <family val="3"/>
            <charset val="128"/>
          </rPr>
          <t>……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 xml:space="preserve">  </t>
        </r>
        <r>
          <rPr>
            <sz val="10"/>
            <color indexed="81"/>
            <rFont val="ＭＳ Ｐゴシック"/>
            <family val="3"/>
            <charset val="128"/>
          </rPr>
          <t>上段：</t>
        </r>
        <r>
          <rPr>
            <sz val="10"/>
            <color indexed="12"/>
            <rFont val="ＭＳ Ｐゴシック"/>
            <family val="3"/>
            <charset val="128"/>
          </rPr>
          <t>始動時</t>
        </r>
        <r>
          <rPr>
            <sz val="10"/>
            <color indexed="81"/>
            <rFont val="ＭＳ Ｐゴシック"/>
            <family val="3"/>
            <charset val="128"/>
          </rPr>
          <t xml:space="preserve">線路電圧降下
</t>
        </r>
        <r>
          <rPr>
            <sz val="16"/>
            <color indexed="81"/>
            <rFont val="ＭＳ Ｐゴシック"/>
            <family val="3"/>
            <charset val="128"/>
          </rPr>
          <t xml:space="preserve">  </t>
        </r>
        <r>
          <rPr>
            <sz val="10"/>
            <color indexed="81"/>
            <rFont val="ＭＳ Ｐゴシック"/>
            <family val="3"/>
            <charset val="128"/>
          </rPr>
          <t>下段：</t>
        </r>
        <r>
          <rPr>
            <sz val="10"/>
            <color indexed="12"/>
            <rFont val="ＭＳ Ｐゴシック"/>
            <family val="3"/>
            <charset val="128"/>
          </rPr>
          <t>定常時</t>
        </r>
        <r>
          <rPr>
            <sz val="10"/>
            <color indexed="81"/>
            <rFont val="ＭＳ Ｐゴシック"/>
            <family val="3"/>
            <charset val="128"/>
          </rPr>
          <t>線路電圧降下</t>
        </r>
      </text>
    </comment>
    <comment ref="AU11" authorId="0">
      <text>
        <r>
          <rPr>
            <sz val="18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1"/>
            <color indexed="81"/>
            <rFont val="ＭＳ Ｐゴシック"/>
            <family val="3"/>
            <charset val="128"/>
          </rPr>
          <t>………</t>
        </r>
        <r>
          <rPr>
            <b/>
            <sz val="12"/>
            <color indexed="10"/>
            <rFont val="ＭＳ Ｐゴシック"/>
            <family val="3"/>
            <charset val="128"/>
          </rPr>
          <t>電動機端子電圧</t>
        </r>
        <r>
          <rPr>
            <b/>
            <sz val="10"/>
            <color indexed="81"/>
            <rFont val="ＭＳ Ｐゴシック"/>
            <family val="3"/>
            <charset val="128"/>
          </rPr>
          <t>………</t>
        </r>
        <r>
          <rPr>
            <sz val="9"/>
            <color indexed="81"/>
            <rFont val="ＭＳ Ｐゴシック"/>
            <family val="3"/>
            <charset val="128"/>
          </rPr>
          <t xml:space="preserve">
            </t>
        </r>
        <r>
          <rPr>
            <sz val="16"/>
            <color indexed="81"/>
            <rFont val="ＭＳ Ｐゴシック"/>
            <family val="3"/>
            <charset val="128"/>
          </rPr>
          <t xml:space="preserve"> </t>
        </r>
        <r>
          <rPr>
            <sz val="10"/>
            <color indexed="81"/>
            <rFont val="ＭＳ Ｐゴシック"/>
            <family val="3"/>
            <charset val="128"/>
          </rPr>
          <t>上段：</t>
        </r>
        <r>
          <rPr>
            <sz val="10"/>
            <color indexed="12"/>
            <rFont val="ＭＳ Ｐゴシック"/>
            <family val="3"/>
            <charset val="128"/>
          </rPr>
          <t>始動時</t>
        </r>
        <r>
          <rPr>
            <sz val="10"/>
            <color indexed="81"/>
            <rFont val="ＭＳ Ｐゴシック"/>
            <family val="3"/>
            <charset val="128"/>
          </rPr>
          <t xml:space="preserve">端子電圧
</t>
        </r>
        <r>
          <rPr>
            <sz val="16"/>
            <color indexed="81"/>
            <rFont val="ＭＳ Ｐゴシック"/>
            <family val="3"/>
            <charset val="128"/>
          </rPr>
          <t xml:space="preserve">         </t>
        </r>
        <r>
          <rPr>
            <sz val="10"/>
            <color indexed="81"/>
            <rFont val="ＭＳ Ｐゴシック"/>
            <family val="3"/>
            <charset val="128"/>
          </rPr>
          <t>下段：</t>
        </r>
        <r>
          <rPr>
            <sz val="10"/>
            <color indexed="12"/>
            <rFont val="ＭＳ Ｐゴシック"/>
            <family val="3"/>
            <charset val="128"/>
          </rPr>
          <t>定常時</t>
        </r>
        <r>
          <rPr>
            <sz val="10"/>
            <color indexed="81"/>
            <rFont val="ＭＳ Ｐゴシック"/>
            <family val="3"/>
            <charset val="128"/>
          </rPr>
          <t xml:space="preserve">端子電圧
   </t>
        </r>
        <r>
          <rPr>
            <sz val="10"/>
            <color indexed="14"/>
            <rFont val="ＭＳ 明朝"/>
            <family val="1"/>
            <charset val="128"/>
          </rPr>
          <t>(注)一般的に電動機端子電圧は、定格
　　　電圧の85％以上必要です。無負荷
　　　始動の場合でも電動機端子電圧は､
　　　定格電圧の65％以上が望ましい。
　　  65％以下になると、MCの自己保持
　　　ができなくなります。</t>
        </r>
      </text>
    </comment>
    <comment ref="S12" authorId="0">
      <text>
        <r>
          <rPr>
            <sz val="16"/>
            <color indexed="81"/>
            <rFont val="ＭＳ Ｐゴシック"/>
            <family val="3"/>
            <charset val="128"/>
          </rPr>
          <t>　</t>
        </r>
        <r>
          <rPr>
            <b/>
            <sz val="11"/>
            <color indexed="81"/>
            <rFont val="ＭＳ Ｐゴシック"/>
            <family val="3"/>
            <charset val="128"/>
          </rPr>
          <t>………</t>
        </r>
        <r>
          <rPr>
            <b/>
            <sz val="11"/>
            <color indexed="10"/>
            <rFont val="ＭＳ Ｐゴシック"/>
            <family val="3"/>
            <charset val="128"/>
          </rPr>
          <t>配電側進相コンデンサ</t>
        </r>
        <r>
          <rPr>
            <b/>
            <sz val="11"/>
            <color indexed="81"/>
            <rFont val="ＭＳ Ｐゴシック"/>
            <family val="3"/>
            <charset val="128"/>
          </rPr>
          <t>………</t>
        </r>
        <r>
          <rPr>
            <sz val="9"/>
            <color indexed="81"/>
            <rFont val="ＭＳ Ｐゴシック"/>
            <family val="3"/>
            <charset val="128"/>
          </rPr>
          <t xml:space="preserve">
　　  　　   　</t>
        </r>
        <r>
          <rPr>
            <sz val="10"/>
            <color indexed="14"/>
            <rFont val="ＭＳ Ｐゴシック"/>
            <family val="3"/>
            <charset val="128"/>
          </rPr>
          <t>［Ｓｅｒｉｅｓ Ｐｏｗｅｒ Ｃａｐａｃｉｔｏｒ］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sz val="20"/>
            <color indexed="81"/>
            <rFont val="ＭＳ Ｐゴシック"/>
            <family val="3"/>
            <charset val="128"/>
          </rPr>
          <t xml:space="preserve"> </t>
        </r>
        <r>
          <rPr>
            <sz val="10"/>
            <color indexed="12"/>
            <rFont val="ＭＳ Ｐゴシック"/>
            <family val="3"/>
            <charset val="128"/>
          </rPr>
          <t>全負荷平均力率が悪い（遅れ力率）場合には、
　力率を改善して、配電側の電力変圧器を効率
　よく運転する目的で設置します。</t>
        </r>
      </text>
    </comment>
    <comment ref="U12" authorId="0">
      <text>
        <r>
          <rPr>
            <sz val="16"/>
            <color indexed="81"/>
            <rFont val="ＭＳ Ｐゴシック"/>
            <family val="3"/>
            <charset val="128"/>
          </rPr>
          <t xml:space="preserve">  </t>
        </r>
        <r>
          <rPr>
            <b/>
            <sz val="11"/>
            <color indexed="81"/>
            <rFont val="ＭＳ Ｐゴシック"/>
            <family val="3"/>
            <charset val="128"/>
          </rPr>
          <t>……</t>
        </r>
        <r>
          <rPr>
            <b/>
            <sz val="11"/>
            <color indexed="10"/>
            <rFont val="ＭＳ Ｐゴシック"/>
            <family val="3"/>
            <charset val="128"/>
          </rPr>
          <t>ご注意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……
 </t>
        </r>
        <r>
          <rPr>
            <sz val="10"/>
            <color indexed="12"/>
            <rFont val="ＭＳ Ｐゴシック"/>
            <family val="3"/>
            <charset val="128"/>
          </rPr>
          <t>左下の回路図を参考に、
　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F12" authorId="0">
      <text>
        <r>
          <rPr>
            <b/>
            <sz val="16"/>
            <color indexed="10"/>
            <rFont val="ＭＳ Ｐゴシック"/>
            <family val="3"/>
            <charset val="128"/>
          </rPr>
          <t xml:space="preserve"> </t>
        </r>
        <r>
          <rPr>
            <b/>
            <sz val="11"/>
            <color indexed="10"/>
            <rFont val="ＭＳ Ｐゴシック"/>
            <family val="3"/>
            <charset val="128"/>
          </rPr>
          <t>ドロップダウンリストから選んで下さい。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 xml:space="preserve"> </t>
        </r>
        <r>
          <rPr>
            <sz val="10"/>
            <color indexed="12"/>
            <rFont val="ＭＳ Ｐゴシック"/>
            <family val="3"/>
            <charset val="128"/>
          </rPr>
          <t>上段：変圧器から動力盤までの</t>
        </r>
        <r>
          <rPr>
            <sz val="10"/>
            <color indexed="81"/>
            <rFont val="ＭＳ Ｐゴシック"/>
            <family val="3"/>
            <charset val="128"/>
          </rPr>
          <t>動力幹線</t>
        </r>
        <r>
          <rPr>
            <sz val="10"/>
            <color indexed="12"/>
            <rFont val="ＭＳ Ｐゴシック"/>
            <family val="3"/>
            <charset val="128"/>
          </rPr>
          <t>を入力
 　　　　して下さい。</t>
        </r>
        <r>
          <rPr>
            <sz val="10"/>
            <color indexed="14"/>
            <rFont val="ＭＳ Ｐゴシック"/>
            <family val="3"/>
            <charset val="128"/>
          </rPr>
          <t>（省略可）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 xml:space="preserve"> </t>
        </r>
        <r>
          <rPr>
            <sz val="10"/>
            <color indexed="12"/>
            <rFont val="ＭＳ Ｐゴシック"/>
            <family val="3"/>
            <charset val="128"/>
          </rPr>
          <t>下段：動力盤から電動機までの</t>
        </r>
        <r>
          <rPr>
            <sz val="10"/>
            <color indexed="81"/>
            <rFont val="ＭＳ Ｐゴシック"/>
            <family val="3"/>
            <charset val="128"/>
          </rPr>
          <t>分岐配線</t>
        </r>
        <r>
          <rPr>
            <sz val="10"/>
            <color indexed="12"/>
            <rFont val="ＭＳ Ｐゴシック"/>
            <family val="3"/>
            <charset val="128"/>
          </rPr>
          <t>を入力
　 　　　して下さい。</t>
        </r>
        <r>
          <rPr>
            <sz val="10"/>
            <color indexed="14"/>
            <rFont val="ＭＳ Ｐゴシック"/>
            <family val="3"/>
            <charset val="128"/>
          </rPr>
          <t>（省略不可）</t>
        </r>
        <r>
          <rPr>
            <sz val="10"/>
            <color indexed="81"/>
            <rFont val="ＭＳ Ｐゴシック"/>
            <family val="3"/>
            <charset val="128"/>
          </rPr>
          <t>　</t>
        </r>
      </text>
    </comment>
    <comment ref="AI12" authorId="0">
      <text>
        <r>
          <rPr>
            <sz val="14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1"/>
            <color indexed="10"/>
            <rFont val="ＭＳ Ｐゴシック"/>
            <family val="3"/>
            <charset val="128"/>
          </rPr>
          <t>亘長 Ｌ</t>
        </r>
        <r>
          <rPr>
            <sz val="9"/>
            <color indexed="81"/>
            <rFont val="ＭＳ Ｐゴシック"/>
            <family val="3"/>
            <charset val="128"/>
          </rPr>
          <t>（</t>
        </r>
        <r>
          <rPr>
            <sz val="9"/>
            <color indexed="14"/>
            <rFont val="ＭＳ Ｐゴシック"/>
            <family val="3"/>
            <charset val="128"/>
          </rPr>
          <t>Ｃａｂｌｅ　Ｓｐａｎ）</t>
        </r>
        <r>
          <rPr>
            <sz val="9"/>
            <color indexed="81"/>
            <rFont val="ＭＳ Ｐゴシック"/>
            <family val="3"/>
            <charset val="128"/>
          </rPr>
          <t>　
　布設ケ－ブルの実長ｍ数
　を入力してください。</t>
        </r>
      </text>
    </comment>
    <comment ref="AL12" authorId="0">
      <text>
        <r>
          <rPr>
            <sz val="14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1"/>
            <color indexed="81"/>
            <rFont val="ＭＳ Ｐゴシック"/>
            <family val="3"/>
            <charset val="128"/>
          </rPr>
          <t>ドロップダウンリスト
 から選んで下さい。</t>
        </r>
      </text>
    </comment>
    <comment ref="AM12" authorId="0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0"/>
            <color indexed="81"/>
            <rFont val="ＭＳ Ｐゴシック"/>
            <family val="3"/>
            <charset val="128"/>
          </rPr>
          <t>別紙「</t>
        </r>
        <r>
          <rPr>
            <b/>
            <sz val="10"/>
            <color indexed="12"/>
            <rFont val="ＭＳ Ｐゴシック"/>
            <family val="3"/>
            <charset val="128"/>
          </rPr>
          <t>許容電流計算書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」
　により算出して下さい。
</t>
        </r>
        <r>
          <rPr>
            <b/>
            <sz val="16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>または、電線技術資料等に
　より 入力して下さい。</t>
        </r>
      </text>
    </comment>
    <comment ref="AN12" authorId="0">
      <text>
        <r>
          <rPr>
            <sz val="16"/>
            <color indexed="81"/>
            <rFont val="ＭＳ Ｐゴシック"/>
            <family val="3"/>
            <charset val="128"/>
          </rPr>
          <t xml:space="preserve">  </t>
        </r>
        <r>
          <rPr>
            <b/>
            <sz val="12"/>
            <color indexed="81"/>
            <rFont val="ＭＳ Ｐゴシック"/>
            <family val="3"/>
            <charset val="128"/>
          </rPr>
          <t>………</t>
        </r>
        <r>
          <rPr>
            <b/>
            <sz val="12"/>
            <color indexed="10"/>
            <rFont val="ＭＳ Ｐゴシック"/>
            <family val="3"/>
            <charset val="128"/>
          </rPr>
          <t>始動時電流</t>
        </r>
        <r>
          <rPr>
            <b/>
            <sz val="12"/>
            <color indexed="81"/>
            <rFont val="ＭＳ Ｐゴシック"/>
            <family val="3"/>
            <charset val="128"/>
          </rPr>
          <t>………</t>
        </r>
        <r>
          <rPr>
            <sz val="9"/>
            <color indexed="81"/>
            <rFont val="ＭＳ Ｐゴシック"/>
            <family val="3"/>
            <charset val="128"/>
          </rPr>
          <t xml:space="preserve">
 </t>
        </r>
        <r>
          <rPr>
            <sz val="16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ベ－ス負荷電流と始動電動機の
　</t>
        </r>
        <r>
          <rPr>
            <sz val="11"/>
            <color indexed="12"/>
            <rFont val="ＭＳ Ｐゴシック"/>
            <family val="3"/>
            <charset val="128"/>
          </rPr>
          <t>始動電流</t>
        </r>
        <r>
          <rPr>
            <sz val="11"/>
            <color indexed="81"/>
            <rFont val="ＭＳ Ｐゴシック"/>
            <family val="3"/>
            <charset val="128"/>
          </rPr>
          <t>の合算値です。</t>
        </r>
      </text>
    </comment>
    <comment ref="AO12" authorId="0">
      <text>
        <r>
          <rPr>
            <sz val="18"/>
            <color indexed="8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8"/>
            <rFont val="ＭＳ Ｐゴシック"/>
            <family val="3"/>
            <charset val="128"/>
          </rPr>
          <t>……………</t>
        </r>
        <r>
          <rPr>
            <b/>
            <sz val="12"/>
            <color indexed="10"/>
            <rFont val="ＭＳ Ｐゴシック"/>
            <family val="3"/>
            <charset val="128"/>
          </rPr>
          <t>定常時電流</t>
        </r>
        <r>
          <rPr>
            <b/>
            <sz val="12"/>
            <color indexed="8"/>
            <rFont val="ＭＳ Ｐゴシック"/>
            <family val="3"/>
            <charset val="128"/>
          </rPr>
          <t>……………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4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ベ－ス負荷電流と始動電動機の</t>
        </r>
        <r>
          <rPr>
            <sz val="11"/>
            <color indexed="12"/>
            <rFont val="ＭＳ Ｐゴシック"/>
            <family val="3"/>
            <charset val="128"/>
          </rPr>
          <t>定常電流</t>
        </r>
        <r>
          <rPr>
            <sz val="11"/>
            <color indexed="81"/>
            <rFont val="ＭＳ Ｐゴシック"/>
            <family val="3"/>
            <charset val="128"/>
          </rPr>
          <t>の
  合算値です。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 xml:space="preserve">    </t>
        </r>
        <r>
          <rPr>
            <sz val="10"/>
            <color indexed="12"/>
            <rFont val="ＭＳ Ｐゴシック"/>
            <family val="3"/>
            <charset val="128"/>
          </rPr>
          <t>始動電動機の定常電流は、下記による。</t>
        </r>
        <r>
          <rPr>
            <sz val="10"/>
            <color indexed="81"/>
            <rFont val="ＭＳ Ｐゴシック"/>
            <family val="3"/>
            <charset val="128"/>
          </rPr>
          <t xml:space="preserve">
　　 定格電流 ｘ 1.17Ｖ／（Ｖ</t>
        </r>
        <r>
          <rPr>
            <vertAlign val="superscript"/>
            <sz val="10"/>
            <color indexed="81"/>
            <rFont val="ＭＳ Ｐゴシック"/>
            <family val="3"/>
            <charset val="128"/>
          </rPr>
          <t>２</t>
        </r>
        <r>
          <rPr>
            <sz val="10"/>
            <color indexed="81"/>
            <rFont val="ＭＳ Ｐゴシック"/>
            <family val="3"/>
            <charset val="128"/>
          </rPr>
          <t xml:space="preserve"> ＋ 0.17）　[A]
　  　</t>
        </r>
        <r>
          <rPr>
            <sz val="10"/>
            <color indexed="12"/>
            <rFont val="ＭＳ Ｐゴシック"/>
            <family val="3"/>
            <charset val="128"/>
          </rPr>
          <t>ただし、誘導電動機のすべり S=5％ の場合
　　  　　　　　Ｖ=電動機端子電圧／基準電圧　　　</t>
        </r>
      </text>
    </comment>
    <comment ref="I13" authorId="0">
      <text>
        <r>
          <rPr>
            <sz val="16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1"/>
            <color indexed="14"/>
            <rFont val="ＭＳ Ｐゴシック"/>
            <family val="3"/>
            <charset val="128"/>
          </rPr>
          <t xml:space="preserve">（ご注意）
   </t>
        </r>
        <r>
          <rPr>
            <b/>
            <sz val="11"/>
            <color indexed="12"/>
            <rFont val="ＭＳ Ｐゴシック"/>
            <family val="3"/>
            <charset val="128"/>
          </rPr>
          <t xml:space="preserve">電源電圧とは､変圧器
    ２次側定格電圧です。
</t>
        </r>
      </text>
    </comment>
    <comment ref="N13" authorId="0">
      <text>
        <r>
          <rPr>
            <sz val="16"/>
            <color indexed="81"/>
            <rFont val="ＭＳ Ｐゴシック"/>
            <family val="3"/>
            <charset val="128"/>
          </rPr>
          <t xml:space="preserve">  </t>
        </r>
        <r>
          <rPr>
            <b/>
            <sz val="11"/>
            <color indexed="81"/>
            <rFont val="ＭＳ Ｐゴシック"/>
            <family val="3"/>
            <charset val="128"/>
          </rPr>
          <t>ドロップダウンリストから選ん　
  で下さい。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 xml:space="preserve">  </t>
        </r>
        <r>
          <rPr>
            <sz val="10"/>
            <color indexed="12"/>
            <rFont val="ＭＳ Ｐゴシック"/>
            <family val="3"/>
            <charset val="128"/>
          </rPr>
          <t xml:space="preserve">リストにない場合（油入自冷，モ－
  ルド絶縁以外）は、ＤＡＴＡ Ｔａｂｌｅの
  </t>
        </r>
        <r>
          <rPr>
            <sz val="10"/>
            <color indexed="10"/>
            <rFont val="ＭＳ Ｐゴシック"/>
            <family val="3"/>
            <charset val="128"/>
          </rPr>
          <t>「変圧器ＵＳＥＲ」</t>
        </r>
        <r>
          <rPr>
            <sz val="10"/>
            <color indexed="12"/>
            <rFont val="ＭＳ Ｐゴシック"/>
            <family val="3"/>
            <charset val="128"/>
          </rPr>
          <t>にデ－タを入力し
  てから実行して下さい。</t>
        </r>
      </text>
    </comment>
    <comment ref="O13" authorId="0">
      <text>
        <r>
          <rPr>
            <sz val="1"/>
            <color indexed="81"/>
            <rFont val="ＭＳ Ｐゴシック"/>
            <family val="3"/>
            <charset val="128"/>
          </rPr>
          <t xml:space="preserve">     </t>
        </r>
        <r>
          <rPr>
            <sz val="18"/>
            <color indexed="81"/>
            <rFont val="ＭＳ Ｐゴシック"/>
            <family val="3"/>
            <charset val="128"/>
          </rPr>
          <t xml:space="preserve">  </t>
        </r>
        <r>
          <rPr>
            <b/>
            <sz val="11"/>
            <color indexed="81"/>
            <rFont val="ＭＳ Ｐゴシック"/>
            <family val="3"/>
            <charset val="128"/>
          </rPr>
          <t>…</t>
        </r>
        <r>
          <rPr>
            <b/>
            <sz val="11"/>
            <color indexed="14"/>
            <rFont val="ＭＳ Ｐゴシック"/>
            <family val="3"/>
            <charset val="128"/>
          </rPr>
          <t>（注）</t>
        </r>
        <r>
          <rPr>
            <b/>
            <sz val="11"/>
            <color indexed="12"/>
            <rFont val="ＭＳ Ｐゴシック"/>
            <family val="3"/>
            <charset val="128"/>
          </rPr>
          <t>半角入力とする。</t>
        </r>
        <r>
          <rPr>
            <b/>
            <sz val="11"/>
            <color indexed="8"/>
            <rFont val="ＭＳ Ｐゴシック"/>
            <family val="3"/>
            <charset val="128"/>
          </rPr>
          <t>…</t>
        </r>
        <r>
          <rPr>
            <sz val="11"/>
            <rFont val="ＭＳ Ｐゴシック"/>
            <family val="3"/>
            <charset val="128"/>
          </rPr>
          <t xml:space="preserve">
　</t>
        </r>
        <r>
          <rPr>
            <sz val="10"/>
            <color indexed="81"/>
            <rFont val="ＭＳ Ｐゴシック"/>
            <family val="3"/>
            <charset val="128"/>
          </rPr>
          <t>ＤＡＴＡ Ｔａｂｌｅ には、下記のデ－タが
　登録されています。</t>
        </r>
        <r>
          <rPr>
            <sz val="10"/>
            <color indexed="12"/>
            <rFont val="ＭＳ Ｐゴシック"/>
            <family val="3"/>
            <charset val="128"/>
          </rPr>
          <t>（50/60Hz）</t>
        </r>
        <r>
          <rPr>
            <sz val="1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　  ３φ３Ｗ－</t>
        </r>
        <r>
          <rPr>
            <b/>
            <sz val="9"/>
            <color indexed="81"/>
            <rFont val="ＭＳ Ｐゴシック"/>
            <family val="3"/>
            <charset val="128"/>
          </rPr>
          <t>２０　～　１０００</t>
        </r>
        <r>
          <rPr>
            <sz val="9"/>
            <color indexed="81"/>
            <rFont val="ＭＳ Ｐゴシック"/>
            <family val="3"/>
            <charset val="128"/>
          </rPr>
          <t>［ＫＶＡ］
　　１φ３Ｗ－</t>
        </r>
        <r>
          <rPr>
            <b/>
            <sz val="9"/>
            <color indexed="81"/>
            <rFont val="ＭＳ Ｐゴシック"/>
            <family val="3"/>
            <charset val="128"/>
          </rPr>
          <t>１０　～　  ５００</t>
        </r>
        <r>
          <rPr>
            <sz val="9"/>
            <color indexed="81"/>
            <rFont val="ＭＳ Ｐゴシック"/>
            <family val="3"/>
            <charset val="128"/>
          </rPr>
          <t>［ＫＶＡ］
　ご使用変圧器の</t>
        </r>
        <r>
          <rPr>
            <sz val="9"/>
            <color indexed="10"/>
            <rFont val="ＭＳ Ｐゴシック"/>
            <family val="3"/>
            <charset val="128"/>
          </rPr>
          <t xml:space="preserve"> ％Ｒ</t>
        </r>
        <r>
          <rPr>
            <sz val="9"/>
            <color indexed="81"/>
            <rFont val="ＭＳ Ｐゴシック"/>
            <family val="3"/>
            <charset val="128"/>
          </rPr>
          <t>，</t>
        </r>
        <r>
          <rPr>
            <sz val="9"/>
            <color indexed="10"/>
            <rFont val="ＭＳ Ｐゴシック"/>
            <family val="3"/>
            <charset val="128"/>
          </rPr>
          <t>％Ｘ</t>
        </r>
        <r>
          <rPr>
            <sz val="9"/>
            <color indexed="81"/>
            <rFont val="ＭＳ Ｐゴシック"/>
            <family val="3"/>
            <charset val="128"/>
          </rPr>
          <t xml:space="preserve"> をお確かめ
　のうえ、</t>
        </r>
        <r>
          <rPr>
            <sz val="9"/>
            <color indexed="12"/>
            <rFont val="ＭＳ Ｐゴシック"/>
            <family val="3"/>
            <charset val="128"/>
          </rPr>
          <t>ＤＡＴＡ　Ｔａｂｌｅ</t>
        </r>
        <r>
          <rPr>
            <sz val="9"/>
            <color indexed="81"/>
            <rFont val="ＭＳ Ｐゴシック"/>
            <family val="3"/>
            <charset val="128"/>
          </rPr>
          <t xml:space="preserve"> を修正して計算
　されると正確な値が求められます。</t>
        </r>
      </text>
    </comment>
    <comment ref="P13" authorId="0">
      <text>
        <r>
          <rPr>
            <sz val="16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1"/>
            <color indexed="81"/>
            <rFont val="ＭＳ Ｐゴシック"/>
            <family val="3"/>
            <charset val="128"/>
          </rPr>
          <t>……</t>
        </r>
        <r>
          <rPr>
            <b/>
            <sz val="12"/>
            <color indexed="10"/>
            <rFont val="ＭＳ Ｐゴシック"/>
            <family val="3"/>
            <charset val="128"/>
          </rPr>
          <t>ご注意</t>
        </r>
        <r>
          <rPr>
            <b/>
            <sz val="11"/>
            <color indexed="81"/>
            <rFont val="ＭＳ Ｐゴシック"/>
            <family val="3"/>
            <charset val="128"/>
          </rPr>
          <t>……</t>
        </r>
        <r>
          <rPr>
            <sz val="9"/>
            <color indexed="81"/>
            <rFont val="ＭＳ Ｐゴシック"/>
            <family val="3"/>
            <charset val="128"/>
          </rPr>
          <t xml:space="preserve">
  </t>
        </r>
        <r>
          <rPr>
            <sz val="10"/>
            <color indexed="81"/>
            <rFont val="ＭＳ Ｐゴシック"/>
            <family val="3"/>
            <charset val="128"/>
          </rPr>
          <t>並列運転の場合には、
　並列</t>
        </r>
        <r>
          <rPr>
            <sz val="10"/>
            <color indexed="12"/>
            <rFont val="ＭＳ Ｐゴシック"/>
            <family val="3"/>
            <charset val="128"/>
          </rPr>
          <t>変圧器の台数</t>
        </r>
        <r>
          <rPr>
            <sz val="10"/>
            <color indexed="81"/>
            <rFont val="ＭＳ Ｐゴシック"/>
            <family val="3"/>
            <charset val="128"/>
          </rPr>
          <t>を
　入力して下さい。</t>
        </r>
      </text>
    </comment>
    <comment ref="Q13" authorId="0">
      <text>
        <r>
          <rPr>
            <sz val="16"/>
            <color indexed="81"/>
            <rFont val="ＭＳ Ｐゴシック"/>
            <family val="3"/>
            <charset val="128"/>
          </rPr>
          <t xml:space="preserve">  </t>
        </r>
        <r>
          <rPr>
            <b/>
            <sz val="11"/>
            <color indexed="10"/>
            <rFont val="ＭＳ Ｐゴシック"/>
            <family val="3"/>
            <charset val="128"/>
          </rPr>
          <t>……ご注意……</t>
        </r>
        <r>
          <rPr>
            <sz val="9"/>
            <color indexed="81"/>
            <rFont val="ＭＳ Ｐゴシック"/>
            <family val="3"/>
            <charset val="128"/>
          </rPr>
          <t xml:space="preserve">
　</t>
        </r>
        <r>
          <rPr>
            <b/>
            <sz val="10"/>
            <color indexed="12"/>
            <rFont val="ＭＳ Ｐゴシック"/>
            <family val="3"/>
            <charset val="128"/>
          </rPr>
          <t>＃Ｎ/Ａ</t>
        </r>
        <r>
          <rPr>
            <sz val="10"/>
            <color indexed="81"/>
            <rFont val="ＭＳ Ｐゴシック"/>
            <family val="3"/>
            <charset val="128"/>
          </rPr>
          <t xml:space="preserve"> が表示された
　ときは､DATA Table に
　必要デ－タを</t>
        </r>
        <r>
          <rPr>
            <sz val="10"/>
            <color indexed="10"/>
            <rFont val="ＭＳ Ｐゴシック"/>
            <family val="3"/>
            <charset val="128"/>
          </rPr>
          <t>入力</t>
        </r>
        <r>
          <rPr>
            <sz val="10"/>
            <color indexed="81"/>
            <rFont val="ＭＳ Ｐゴシック"/>
            <family val="3"/>
            <charset val="128"/>
          </rPr>
          <t>して
　下さい。</t>
        </r>
      </text>
    </comment>
    <comment ref="R13" authorId="0">
      <text>
        <r>
          <rPr>
            <b/>
            <sz val="16"/>
            <color indexed="10"/>
            <rFont val="ＭＳ Ｐゴシック"/>
            <family val="3"/>
            <charset val="128"/>
          </rPr>
          <t xml:space="preserve">  </t>
        </r>
        <r>
          <rPr>
            <b/>
            <sz val="12"/>
            <color indexed="10"/>
            <rFont val="ＭＳ Ｐゴシック"/>
            <family val="3"/>
            <charset val="128"/>
          </rPr>
          <t>自動計算</t>
        </r>
        <r>
          <rPr>
            <sz val="11"/>
            <color indexed="81"/>
            <rFont val="ＭＳ Ｐゴシック"/>
            <family val="3"/>
            <charset val="128"/>
          </rPr>
          <t>（変圧器定格電流）</t>
        </r>
        <r>
          <rPr>
            <sz val="9"/>
            <color indexed="81"/>
            <rFont val="ＭＳ Ｐゴシック"/>
            <family val="3"/>
            <charset val="128"/>
          </rPr>
          <t xml:space="preserve">
　</t>
        </r>
        <r>
          <rPr>
            <sz val="10"/>
            <color indexed="12"/>
            <rFont val="ＭＳ Ｐゴシック"/>
            <family val="3"/>
            <charset val="128"/>
          </rPr>
          <t>３φの場合</t>
        </r>
        <r>
          <rPr>
            <sz val="10"/>
            <color indexed="81"/>
            <rFont val="ＭＳ Ｐゴシック"/>
            <family val="3"/>
            <charset val="128"/>
          </rPr>
          <t xml:space="preserve">
　　容量［ＫＶＡ］／（√３ ｘ 二次電圧）
　</t>
        </r>
        <r>
          <rPr>
            <sz val="10"/>
            <color indexed="12"/>
            <rFont val="ＭＳ Ｐゴシック"/>
            <family val="3"/>
            <charset val="128"/>
          </rPr>
          <t>１φの場合</t>
        </r>
        <r>
          <rPr>
            <sz val="10"/>
            <color indexed="81"/>
            <rFont val="ＭＳ Ｐゴシック"/>
            <family val="3"/>
            <charset val="128"/>
          </rPr>
          <t xml:space="preserve">
　　容量［ＫＶＡ］／二次電圧</t>
        </r>
      </text>
    </comment>
    <comment ref="W13" authorId="0">
      <text>
        <r>
          <rPr>
            <sz val="18"/>
            <color indexed="10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10"/>
            <rFont val="ＭＳ Ｐゴシック"/>
            <family val="3"/>
            <charset val="128"/>
          </rPr>
          <t>入力ＫＶＡ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4"/>
            <color indexed="81"/>
            <rFont val="ＭＳ Ｐゴシック"/>
            <family val="3"/>
            <charset val="128"/>
          </rPr>
          <t xml:space="preserve"> </t>
        </r>
        <r>
          <rPr>
            <sz val="10"/>
            <color indexed="81"/>
            <rFont val="ＭＳ Ｐゴシック"/>
            <family val="3"/>
            <charset val="128"/>
          </rPr>
          <t xml:space="preserve"> 入力ＫＶＡ＝出力ＫＷ ｘ ｃｏｓφ
　</t>
        </r>
        <r>
          <rPr>
            <sz val="10"/>
            <color indexed="12"/>
            <rFont val="ＭＳ Ｐゴシック"/>
            <family val="3"/>
            <charset val="128"/>
          </rPr>
          <t>進み力率の場合は、左の平均
　力率欄で、”</t>
        </r>
        <r>
          <rPr>
            <sz val="10"/>
            <color indexed="10"/>
            <rFont val="ＭＳ Ｐゴシック"/>
            <family val="3"/>
            <charset val="128"/>
          </rPr>
          <t>－</t>
        </r>
        <r>
          <rPr>
            <sz val="10"/>
            <color indexed="12"/>
            <rFont val="ＭＳ Ｐゴシック"/>
            <family val="3"/>
            <charset val="128"/>
          </rPr>
          <t>”の後に数値を
　入力して下さい。</t>
        </r>
      </text>
    </comment>
    <comment ref="Y13" authorId="0">
      <text>
        <r>
          <rPr>
            <sz val="16"/>
            <color indexed="81"/>
            <rFont val="ＭＳ Ｐゴシック"/>
            <family val="3"/>
            <charset val="128"/>
          </rPr>
          <t xml:space="preserve">  </t>
        </r>
        <r>
          <rPr>
            <b/>
            <sz val="11"/>
            <color indexed="10"/>
            <rFont val="ＭＳ Ｐゴシック"/>
            <family val="3"/>
            <charset val="128"/>
          </rPr>
          <t>……ご注意……</t>
        </r>
        <r>
          <rPr>
            <sz val="9"/>
            <color indexed="81"/>
            <rFont val="ＭＳ Ｐゴシック"/>
            <family val="3"/>
            <charset val="128"/>
          </rPr>
          <t xml:space="preserve">
　</t>
        </r>
        <r>
          <rPr>
            <b/>
            <sz val="10"/>
            <color indexed="12"/>
            <rFont val="ＭＳ Ｐゴシック"/>
            <family val="3"/>
            <charset val="128"/>
          </rPr>
          <t>＃Ｎ/Ａ</t>
        </r>
        <r>
          <rPr>
            <sz val="10"/>
            <color indexed="81"/>
            <rFont val="ＭＳ Ｐゴシック"/>
            <family val="3"/>
            <charset val="128"/>
          </rPr>
          <t xml:space="preserve"> が表示された
　ときは､DATA Table に
　必要デ－タを</t>
        </r>
        <r>
          <rPr>
            <sz val="10"/>
            <color indexed="10"/>
            <rFont val="ＭＳ Ｐゴシック"/>
            <family val="3"/>
            <charset val="128"/>
          </rPr>
          <t>入力</t>
        </r>
        <r>
          <rPr>
            <sz val="10"/>
            <color indexed="81"/>
            <rFont val="ＭＳ Ｐゴシック"/>
            <family val="3"/>
            <charset val="128"/>
          </rPr>
          <t>して
　下さい。</t>
        </r>
      </text>
    </comment>
    <comment ref="Z13" authorId="0">
      <text>
        <r>
          <rPr>
            <sz val="16"/>
            <color indexed="81"/>
            <rFont val="ＭＳ Ｐゴシック"/>
            <family val="3"/>
            <charset val="128"/>
          </rPr>
          <t xml:space="preserve">  </t>
        </r>
        <r>
          <rPr>
            <b/>
            <sz val="11"/>
            <color indexed="10"/>
            <rFont val="ＭＳ Ｐゴシック"/>
            <family val="3"/>
            <charset val="128"/>
          </rPr>
          <t>……ご注意……</t>
        </r>
        <r>
          <rPr>
            <sz val="9"/>
            <color indexed="81"/>
            <rFont val="ＭＳ Ｐゴシック"/>
            <family val="3"/>
            <charset val="128"/>
          </rPr>
          <t xml:space="preserve">
　</t>
        </r>
        <r>
          <rPr>
            <b/>
            <sz val="10"/>
            <color indexed="12"/>
            <rFont val="ＭＳ Ｐゴシック"/>
            <family val="3"/>
            <charset val="128"/>
          </rPr>
          <t>＃Ｎ/Ａ</t>
        </r>
        <r>
          <rPr>
            <sz val="10"/>
            <color indexed="81"/>
            <rFont val="ＭＳ Ｐゴシック"/>
            <family val="3"/>
            <charset val="128"/>
          </rPr>
          <t xml:space="preserve"> が表示された
　ときは､DATA Table に
　必要デ－タを</t>
        </r>
        <r>
          <rPr>
            <sz val="10"/>
            <color indexed="10"/>
            <rFont val="ＭＳ Ｐゴシック"/>
            <family val="3"/>
            <charset val="128"/>
          </rPr>
          <t>入力</t>
        </r>
        <r>
          <rPr>
            <sz val="10"/>
            <color indexed="81"/>
            <rFont val="ＭＳ Ｐゴシック"/>
            <family val="3"/>
            <charset val="128"/>
          </rPr>
          <t>して
　下さい。</t>
        </r>
      </text>
    </comment>
    <comment ref="AA13" authorId="0">
      <text>
        <r>
          <rPr>
            <sz val="14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1"/>
            <color indexed="8"/>
            <rFont val="ＭＳ Ｐゴシック"/>
            <family val="3"/>
            <charset val="128"/>
          </rPr>
          <t>……</t>
        </r>
        <r>
          <rPr>
            <b/>
            <sz val="11"/>
            <color indexed="10"/>
            <rFont val="ＭＳ Ｐゴシック"/>
            <family val="3"/>
            <charset val="128"/>
          </rPr>
          <t>電動機の始動時力率</t>
        </r>
        <r>
          <rPr>
            <b/>
            <sz val="11"/>
            <color indexed="8"/>
            <rFont val="ＭＳ Ｐゴシック"/>
            <family val="3"/>
            <charset val="128"/>
          </rPr>
          <t>……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sz val="14"/>
            <color indexed="81"/>
            <rFont val="ＭＳ Ｐゴシック"/>
            <family val="3"/>
            <charset val="128"/>
          </rPr>
          <t xml:space="preserve">   </t>
        </r>
        <r>
          <rPr>
            <sz val="10"/>
            <color indexed="12"/>
            <rFont val="ＭＳ Ｐゴシック"/>
            <family val="3"/>
            <charset val="128"/>
          </rPr>
          <t>一般的には、</t>
        </r>
        <r>
          <rPr>
            <b/>
            <sz val="10"/>
            <color indexed="12"/>
            <rFont val="ＭＳ Ｐゴシック"/>
            <family val="3"/>
            <charset val="128"/>
          </rPr>
          <t>COSφ</t>
        </r>
        <r>
          <rPr>
            <sz val="8"/>
            <color indexed="12"/>
            <rFont val="ＭＳ Ｐゴシック"/>
            <family val="3"/>
            <charset val="128"/>
          </rPr>
          <t>Ｓ</t>
        </r>
        <r>
          <rPr>
            <sz val="10"/>
            <color indexed="12"/>
            <rFont val="ＭＳ Ｐゴシック"/>
            <family val="3"/>
            <charset val="128"/>
          </rPr>
          <t>≒</t>
        </r>
        <r>
          <rPr>
            <b/>
            <sz val="10"/>
            <color indexed="12"/>
            <rFont val="ＭＳ Ｐゴシック"/>
            <family val="3"/>
            <charset val="128"/>
          </rPr>
          <t>０．４</t>
        </r>
        <r>
          <rPr>
            <sz val="9"/>
            <color indexed="81"/>
            <rFont val="ＭＳ Ｐゴシック"/>
            <family val="3"/>
            <charset val="128"/>
          </rPr>
          <t xml:space="preserve">
　</t>
        </r>
        <r>
          <rPr>
            <sz val="10"/>
            <color indexed="81"/>
            <rFont val="ＭＳ Ｐゴシック"/>
            <family val="3"/>
            <charset val="128"/>
          </rPr>
          <t>正確な値は、メ－カ－にお確かめ下さい。</t>
        </r>
      </text>
    </comment>
    <comment ref="AB13" authorId="0">
      <text>
        <r>
          <rPr>
            <b/>
            <sz val="14"/>
            <color indexed="10"/>
            <rFont val="ＭＳ Ｐゴシック"/>
            <family val="3"/>
            <charset val="128"/>
          </rPr>
          <t>↓</t>
        </r>
        <r>
          <rPr>
            <b/>
            <sz val="11"/>
            <color indexed="81"/>
            <rFont val="ＭＳ Ｐゴシック"/>
            <family val="3"/>
            <charset val="128"/>
          </rPr>
          <t>ドロップダウンリスト
　  から選んで下さい。</t>
        </r>
      </text>
    </comment>
    <comment ref="AC13" authorId="0">
      <text>
        <r>
          <rPr>
            <sz val="14"/>
            <color indexed="8"/>
            <rFont val="ＭＳ Ｐゴシック"/>
            <family val="3"/>
            <charset val="128"/>
          </rPr>
          <t xml:space="preserve"> </t>
        </r>
        <r>
          <rPr>
            <b/>
            <sz val="11"/>
            <color indexed="8"/>
            <rFont val="ＭＳ Ｐゴシック"/>
            <family val="3"/>
            <charset val="128"/>
          </rPr>
          <t>……</t>
        </r>
        <r>
          <rPr>
            <b/>
            <sz val="11"/>
            <color indexed="10"/>
            <rFont val="ＭＳ Ｐゴシック"/>
            <family val="3"/>
            <charset val="128"/>
          </rPr>
          <t>電動機の始動電流</t>
        </r>
        <r>
          <rPr>
            <b/>
            <sz val="11"/>
            <color indexed="8"/>
            <rFont val="ＭＳ Ｐゴシック"/>
            <family val="3"/>
            <charset val="128"/>
          </rPr>
          <t>……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4"/>
            <color indexed="81"/>
            <rFont val="ＭＳ Ｐゴシック"/>
            <family val="3"/>
            <charset val="128"/>
          </rPr>
          <t xml:space="preserve"> </t>
        </r>
        <r>
          <rPr>
            <sz val="10"/>
            <color indexed="81"/>
            <rFont val="ＭＳ Ｐゴシック"/>
            <family val="3"/>
            <charset val="128"/>
          </rPr>
          <t xml:space="preserve">［出力KW］ｘ始動階級 ｘ 始動方式／√3 Ｅ
</t>
        </r>
        <r>
          <rPr>
            <sz val="2"/>
            <color indexed="81"/>
            <rFont val="ＭＳ Ｐゴシック"/>
            <family val="3"/>
            <charset val="128"/>
          </rPr>
          <t xml:space="preserve">
　　</t>
        </r>
        <r>
          <rPr>
            <sz val="10"/>
            <color indexed="81"/>
            <rFont val="ＭＳ Ｐゴシック"/>
            <family val="3"/>
            <charset val="128"/>
          </rPr>
          <t>　</t>
        </r>
        <r>
          <rPr>
            <sz val="10"/>
            <color indexed="12"/>
            <rFont val="ＭＳ Ｐゴシック"/>
            <family val="3"/>
            <charset val="128"/>
          </rPr>
          <t>上の「</t>
        </r>
        <r>
          <rPr>
            <sz val="10"/>
            <color indexed="81"/>
            <rFont val="ＭＳ Ｐゴシック"/>
            <family val="3"/>
            <charset val="128"/>
          </rPr>
          <t>始動階級</t>
        </r>
        <r>
          <rPr>
            <sz val="10"/>
            <color indexed="12"/>
            <rFont val="ＭＳ Ｐゴシック"/>
            <family val="3"/>
            <charset val="128"/>
          </rPr>
          <t>」を参照して下さい。</t>
        </r>
      </text>
    </comment>
    <comment ref="AD13" authorId="0">
      <text>
        <r>
          <rPr>
            <sz val="14"/>
            <color indexed="8"/>
            <rFont val="ＭＳ Ｐゴシック"/>
            <family val="3"/>
            <charset val="128"/>
          </rPr>
          <t xml:space="preserve"> </t>
        </r>
        <r>
          <rPr>
            <b/>
            <sz val="11"/>
            <color indexed="8"/>
            <rFont val="ＭＳ Ｐゴシック"/>
            <family val="3"/>
            <charset val="128"/>
          </rPr>
          <t>……</t>
        </r>
        <r>
          <rPr>
            <b/>
            <sz val="11"/>
            <color indexed="10"/>
            <rFont val="ＭＳ Ｐゴシック"/>
            <family val="3"/>
            <charset val="128"/>
          </rPr>
          <t>電動機側進相コンデンサ</t>
        </r>
        <r>
          <rPr>
            <b/>
            <sz val="11"/>
            <color indexed="8"/>
            <rFont val="ＭＳ Ｐゴシック"/>
            <family val="3"/>
            <charset val="128"/>
          </rPr>
          <t>……</t>
        </r>
        <r>
          <rPr>
            <sz val="9"/>
            <color indexed="81"/>
            <rFont val="ＭＳ Ｐゴシック"/>
            <family val="3"/>
            <charset val="128"/>
          </rPr>
          <t xml:space="preserve">
　　　　</t>
        </r>
        <r>
          <rPr>
            <sz val="9"/>
            <color indexed="14"/>
            <rFont val="ＭＳ Ｐゴシック"/>
            <family val="3"/>
            <charset val="128"/>
          </rPr>
          <t>　</t>
        </r>
        <r>
          <rPr>
            <sz val="10"/>
            <color indexed="14"/>
            <rFont val="ＭＳ Ｐゴシック"/>
            <family val="3"/>
            <charset val="128"/>
          </rPr>
          <t>［Ｓｅｒｉｅｓ Ｐｏｗｅｒ Ｃａｐａｃｉｔｏｒ］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 xml:space="preserve">  </t>
        </r>
        <r>
          <rPr>
            <sz val="10"/>
            <color indexed="12"/>
            <rFont val="ＭＳ ゴシック"/>
            <family val="3"/>
            <charset val="128"/>
          </rPr>
          <t>電動機の遅れ力率を改善して、配線の電圧
　降下を低減し､電動機端子電圧の低下を防止
　する目的で設置します。</t>
        </r>
      </text>
    </comment>
    <comment ref="AE13" authorId="0">
      <text>
        <r>
          <rPr>
            <sz val="14"/>
            <color indexed="8"/>
            <rFont val="ＭＳ Ｐゴシック"/>
            <family val="3"/>
            <charset val="128"/>
          </rPr>
          <t xml:space="preserve">　 </t>
        </r>
        <r>
          <rPr>
            <b/>
            <sz val="11"/>
            <color indexed="8"/>
            <rFont val="ＭＳ Ｐゴシック"/>
            <family val="3"/>
            <charset val="128"/>
          </rPr>
          <t>……</t>
        </r>
        <r>
          <rPr>
            <b/>
            <sz val="11"/>
            <color indexed="10"/>
            <rFont val="ＭＳ Ｐゴシック"/>
            <family val="3"/>
            <charset val="128"/>
          </rPr>
          <t>電動機側進相コンデンサ</t>
        </r>
        <r>
          <rPr>
            <b/>
            <sz val="11"/>
            <color indexed="8"/>
            <rFont val="ＭＳ Ｐゴシック"/>
            <family val="3"/>
            <charset val="128"/>
          </rPr>
          <t>……</t>
        </r>
        <r>
          <rPr>
            <sz val="9"/>
            <color indexed="81"/>
            <rFont val="ＭＳ Ｐゴシック"/>
            <family val="3"/>
            <charset val="128"/>
          </rPr>
          <t xml:space="preserve">
　　　　</t>
        </r>
        <r>
          <rPr>
            <sz val="10"/>
            <color indexed="81"/>
            <rFont val="ＭＳ Ｐゴシック"/>
            <family val="3"/>
            <charset val="128"/>
          </rPr>
          <t xml:space="preserve">　 </t>
        </r>
        <r>
          <rPr>
            <sz val="10"/>
            <color indexed="14"/>
            <rFont val="ＭＳ Ｐゴシック"/>
            <family val="3"/>
            <charset val="128"/>
          </rPr>
          <t xml:space="preserve">  ［Ｓｅｒｉｅｓ Ｐｏｗｅｒ Ｃａｐａｃｉｔｏｒ］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 xml:space="preserve">　 </t>
        </r>
        <r>
          <rPr>
            <sz val="10"/>
            <color indexed="12"/>
            <rFont val="ＭＳ Ｐゴシック"/>
            <family val="3"/>
            <charset val="128"/>
          </rPr>
          <t>左欄の</t>
        </r>
        <r>
          <rPr>
            <sz val="10"/>
            <color indexed="81"/>
            <rFont val="ＭＳ Ｐゴシック"/>
            <family val="3"/>
            <charset val="128"/>
          </rPr>
          <t>ＳＣ</t>
        </r>
        <r>
          <rPr>
            <sz val="7"/>
            <color indexed="81"/>
            <rFont val="ＭＳ Ｐゴシック"/>
            <family val="3"/>
            <charset val="128"/>
          </rPr>
          <t xml:space="preserve">Ｍ </t>
        </r>
        <r>
          <rPr>
            <sz val="10"/>
            <color indexed="81"/>
            <rFont val="ＭＳ Ｐゴシック"/>
            <family val="3"/>
            <charset val="128"/>
          </rPr>
          <t xml:space="preserve">[μF] </t>
        </r>
        <r>
          <rPr>
            <sz val="10"/>
            <color indexed="12"/>
            <rFont val="ＭＳ Ｐゴシック"/>
            <family val="3"/>
            <charset val="128"/>
          </rPr>
          <t>が､表示されてないとき</t>
        </r>
        <r>
          <rPr>
            <sz val="10"/>
            <color indexed="81"/>
            <rFont val="ＭＳ Ｐゴシック"/>
            <family val="3"/>
            <charset val="128"/>
          </rPr>
          <t xml:space="preserve">
　   </t>
        </r>
        <r>
          <rPr>
            <sz val="10"/>
            <color indexed="14"/>
            <rFont val="ＭＳ Ｐゴシック"/>
            <family val="3"/>
            <charset val="128"/>
          </rPr>
          <t xml:space="preserve">(DATA Table に該当しない出力[KW] ) </t>
        </r>
        <r>
          <rPr>
            <sz val="10"/>
            <color indexed="81"/>
            <rFont val="ＭＳ Ｐゴシック"/>
            <family val="3"/>
            <charset val="128"/>
          </rPr>
          <t>に、
   　</t>
        </r>
        <r>
          <rPr>
            <sz val="10"/>
            <color indexed="12"/>
            <rFont val="ＭＳ Ｐゴシック"/>
            <family val="3"/>
            <charset val="128"/>
          </rPr>
          <t>[ＫＶar]単位で任意の値が入力できます。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 xml:space="preserve">　 </t>
        </r>
        <r>
          <rPr>
            <sz val="10"/>
            <color indexed="14"/>
            <rFont val="ＭＳ Ｐゴシック"/>
            <family val="3"/>
            <charset val="128"/>
          </rPr>
          <t>左欄の</t>
        </r>
        <r>
          <rPr>
            <sz val="10"/>
            <color indexed="81"/>
            <rFont val="ＭＳ Ｐゴシック"/>
            <family val="3"/>
            <charset val="128"/>
          </rPr>
          <t>ＳＣ</t>
        </r>
        <r>
          <rPr>
            <sz val="7"/>
            <color indexed="81"/>
            <rFont val="ＭＳ Ｐゴシック"/>
            <family val="3"/>
            <charset val="128"/>
          </rPr>
          <t xml:space="preserve">Ｍ </t>
        </r>
        <r>
          <rPr>
            <sz val="10"/>
            <color indexed="81"/>
            <rFont val="ＭＳ Ｐゴシック"/>
            <family val="3"/>
            <charset val="128"/>
          </rPr>
          <t xml:space="preserve">[μF] </t>
        </r>
        <r>
          <rPr>
            <sz val="10"/>
            <color indexed="14"/>
            <rFont val="ＭＳ Ｐゴシック"/>
            <family val="3"/>
            <charset val="128"/>
          </rPr>
          <t xml:space="preserve">が､表示されているとき
     は、入力しないで下さい。 </t>
        </r>
      </text>
    </comment>
    <comment ref="AR13" authorId="0">
      <text>
        <r>
          <rPr>
            <b/>
            <sz val="18"/>
            <color indexed="12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12"/>
            <rFont val="ＭＳ Ｐゴシック"/>
            <family val="3"/>
            <charset val="128"/>
          </rPr>
          <t>電源電圧に
　対する [％]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T13" authorId="0">
      <text>
        <r>
          <rPr>
            <b/>
            <sz val="18"/>
            <color indexed="12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12"/>
            <rFont val="ＭＳ Ｐゴシック"/>
            <family val="3"/>
            <charset val="128"/>
          </rPr>
          <t>電源電圧に
　対する [％]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0">
      <text>
        <r>
          <rPr>
            <b/>
            <sz val="18"/>
            <color indexed="12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12"/>
            <rFont val="ＭＳ Ｐゴシック"/>
            <family val="3"/>
            <charset val="128"/>
          </rPr>
          <t>電源電圧に
　対する [％]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佐海 恭三</author>
  </authors>
  <commentList>
    <comment ref="B2" authorId="0">
      <text>
        <r>
          <rPr>
            <b/>
            <sz val="20"/>
            <color indexed="81"/>
            <rFont val="ＭＳ Ｐゴシック"/>
            <family val="3"/>
            <charset val="128"/>
          </rPr>
          <t xml:space="preserve"> この ＤＡＴＡ Ｔａｂｌｅ は、
 </t>
        </r>
        <r>
          <rPr>
            <b/>
            <sz val="20"/>
            <color indexed="10"/>
            <rFont val="ＭＳ Ｐゴシック"/>
            <family val="3"/>
            <charset val="128"/>
          </rPr>
          <t>セルの保護</t>
        </r>
        <r>
          <rPr>
            <b/>
            <sz val="20"/>
            <color indexed="81"/>
            <rFont val="ＭＳ Ｐゴシック"/>
            <family val="3"/>
            <charset val="128"/>
          </rPr>
          <t>をしてない
 のでデ－タの管理には
 十分</t>
        </r>
        <r>
          <rPr>
            <b/>
            <sz val="20"/>
            <color indexed="10"/>
            <rFont val="ＭＳ Ｐゴシック"/>
            <family val="3"/>
            <charset val="128"/>
          </rPr>
          <t>注意</t>
        </r>
        <r>
          <rPr>
            <b/>
            <sz val="20"/>
            <color indexed="81"/>
            <rFont val="ＭＳ Ｐゴシック"/>
            <family val="3"/>
            <charset val="128"/>
          </rPr>
          <t xml:space="preserve">して下さい。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" authorId="0">
      <text>
        <r>
          <rPr>
            <sz val="2"/>
            <color indexed="10"/>
            <rFont val="ＭＳ Ｐゴシック"/>
            <family val="3"/>
            <charset val="128"/>
          </rPr>
          <t>　　　　　　　　　　　　　　　　　　　　　　　　　　　　　　　　　　　　　　　　　　　　　　　　　　　　　　　　　　　　　　　　　
　　　　</t>
        </r>
        <r>
          <rPr>
            <sz val="3"/>
            <color indexed="10"/>
            <rFont val="ＭＳ Ｐゴシック"/>
            <family val="3"/>
            <charset val="128"/>
          </rPr>
          <t xml:space="preserve">　　 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下の空欄に
 登録できます </t>
        </r>
        <r>
          <rPr>
            <sz val="9"/>
            <color indexed="81"/>
            <rFont val="ＭＳ Ｐゴシック"/>
            <family val="3"/>
            <charset val="128"/>
          </rPr>
          <t xml:space="preserve">
　 </t>
        </r>
        <r>
          <rPr>
            <sz val="12"/>
            <color indexed="12"/>
            <rFont val="ＭＳ Ｐゴシック"/>
            <family val="3"/>
            <charset val="128"/>
          </rPr>
          <t>％Ｚは、自動
　表示します。
　三菱電機(株)
　名古屋製作所</t>
        </r>
      </text>
    </comment>
    <comment ref="J3" authorId="0">
      <text>
        <r>
          <rPr>
            <sz val="2"/>
            <color indexed="10"/>
            <rFont val="ＭＳ Ｐゴシック"/>
            <family val="3"/>
            <charset val="128"/>
          </rPr>
          <t>　　　　　　　　　　　　　　　　　　　　　　　　　　　　　　　　　　　　　　　　　　　　　　　　　　　　　　　　　　　　　　　　　
　　　　</t>
        </r>
        <r>
          <rPr>
            <sz val="3"/>
            <color indexed="10"/>
            <rFont val="ＭＳ Ｐゴシック"/>
            <family val="3"/>
            <charset val="128"/>
          </rPr>
          <t xml:space="preserve">　　 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下の空欄に
 登録できます </t>
        </r>
        <r>
          <rPr>
            <sz val="9"/>
            <color indexed="81"/>
            <rFont val="ＭＳ Ｐゴシック"/>
            <family val="3"/>
            <charset val="128"/>
          </rPr>
          <t xml:space="preserve">
　 </t>
        </r>
        <r>
          <rPr>
            <sz val="12"/>
            <color indexed="12"/>
            <rFont val="ＭＳ Ｐゴシック"/>
            <family val="3"/>
            <charset val="128"/>
          </rPr>
          <t>％Ｚは、自動
　表示します。
　三菱電機(株)
　名古屋製作所</t>
        </r>
      </text>
    </comment>
    <comment ref="O3" authorId="0">
      <text>
        <r>
          <rPr>
            <sz val="2"/>
            <color indexed="10"/>
            <rFont val="ＭＳ Ｐゴシック"/>
            <family val="3"/>
            <charset val="128"/>
          </rPr>
          <t>　　　　　　　　　　　　　　　　　　　　　　　　　　　　　　　　　　　　　　　　　　　　　　　　　　　　　　　　　　　　　　　　　
　　　　</t>
        </r>
        <r>
          <rPr>
            <sz val="3"/>
            <color indexed="10"/>
            <rFont val="ＭＳ Ｐゴシック"/>
            <family val="3"/>
            <charset val="128"/>
          </rPr>
          <t xml:space="preserve">　　 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下の空欄に
 登録できます </t>
        </r>
        <r>
          <rPr>
            <sz val="9"/>
            <color indexed="81"/>
            <rFont val="ＭＳ Ｐゴシック"/>
            <family val="3"/>
            <charset val="128"/>
          </rPr>
          <t xml:space="preserve">
　 </t>
        </r>
        <r>
          <rPr>
            <sz val="12"/>
            <color indexed="12"/>
            <rFont val="ＭＳ Ｐゴシック"/>
            <family val="3"/>
            <charset val="128"/>
          </rPr>
          <t>％Ｚは、自動
　表示します。
　三菱電機(株)
　名古屋製作所</t>
        </r>
      </text>
    </comment>
    <comment ref="T3" authorId="0">
      <text>
        <r>
          <rPr>
            <sz val="2"/>
            <color indexed="10"/>
            <rFont val="ＭＳ Ｐゴシック"/>
            <family val="3"/>
            <charset val="128"/>
          </rPr>
          <t>　　　　　　　　　　　　　　　　　　　　　　　　　　　　　　　　　　　　　　　　　　　　　　　　　　　　　　　　　　　　　　　　　
　　　　</t>
        </r>
        <r>
          <rPr>
            <sz val="3"/>
            <color indexed="10"/>
            <rFont val="ＭＳ Ｐゴシック"/>
            <family val="3"/>
            <charset val="128"/>
          </rPr>
          <t xml:space="preserve">　　 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下の空欄に
 登録できます </t>
        </r>
        <r>
          <rPr>
            <sz val="9"/>
            <color indexed="81"/>
            <rFont val="ＭＳ Ｐゴシック"/>
            <family val="3"/>
            <charset val="128"/>
          </rPr>
          <t xml:space="preserve">
　 </t>
        </r>
        <r>
          <rPr>
            <sz val="12"/>
            <color indexed="12"/>
            <rFont val="ＭＳ Ｐゴシック"/>
            <family val="3"/>
            <charset val="128"/>
          </rPr>
          <t>％Ｚは、自動
　表示します。
　三菱電機(株)
　名古屋製作所</t>
        </r>
      </text>
    </comment>
    <comment ref="X3" authorId="0">
      <text>
        <r>
          <rPr>
            <sz val="2"/>
            <color indexed="10"/>
            <rFont val="ＭＳ Ｐゴシック"/>
            <family val="3"/>
            <charset val="128"/>
          </rPr>
          <t>　　　　　　　　　　　　　　　　　　　　　　　　　　　　　　　　　　　　　　　　　　　　　　　　　　　　　　　　　　　　　　　　　
　　　　</t>
        </r>
        <r>
          <rPr>
            <sz val="3"/>
            <color indexed="10"/>
            <rFont val="ＭＳ Ｐゴシック"/>
            <family val="3"/>
            <charset val="128"/>
          </rPr>
          <t xml:space="preserve">　　 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下の空欄に
 登録できます </t>
        </r>
        <r>
          <rPr>
            <sz val="9"/>
            <color indexed="81"/>
            <rFont val="ＭＳ Ｐゴシック"/>
            <family val="3"/>
            <charset val="128"/>
          </rPr>
          <t xml:space="preserve">
　 </t>
        </r>
        <r>
          <rPr>
            <sz val="12"/>
            <color indexed="12"/>
            <rFont val="ＭＳ Ｐゴシック"/>
            <family val="3"/>
            <charset val="128"/>
          </rPr>
          <t>住友電工(株)
　電線技術資料
　</t>
        </r>
        <r>
          <rPr>
            <sz val="9"/>
            <color indexed="12"/>
            <rFont val="ＭＳ Ｐゴシック"/>
            <family val="3"/>
            <charset val="128"/>
          </rPr>
          <t>１９９１．３ &lt;</t>
        </r>
        <r>
          <rPr>
            <sz val="10"/>
            <color indexed="12"/>
            <rFont val="ＭＳ Ｐゴシック"/>
            <family val="3"/>
            <charset val="128"/>
          </rPr>
          <t>P475</t>
        </r>
        <r>
          <rPr>
            <sz val="9"/>
            <color indexed="12"/>
            <rFont val="ＭＳ Ｐゴシック"/>
            <family val="3"/>
            <charset val="128"/>
          </rPr>
          <t>)</t>
        </r>
      </text>
    </comment>
    <comment ref="AB3" authorId="0">
      <text>
        <r>
          <rPr>
            <sz val="2"/>
            <color indexed="10"/>
            <rFont val="ＭＳ Ｐゴシック"/>
            <family val="3"/>
            <charset val="128"/>
          </rPr>
          <t>　　　　　　　　　　　　　　　　　　　　　　　　　　　　　　　　　　　　　　　　　　　　　　　　　　　　　　　　　　　　　　　　　
　　　　</t>
        </r>
        <r>
          <rPr>
            <sz val="3"/>
            <color indexed="10"/>
            <rFont val="ＭＳ Ｐゴシック"/>
            <family val="3"/>
            <charset val="128"/>
          </rPr>
          <t xml:space="preserve">　　 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下の空欄に
 登録できます </t>
        </r>
        <r>
          <rPr>
            <sz val="9"/>
            <color indexed="81"/>
            <rFont val="ＭＳ Ｐゴシック"/>
            <family val="3"/>
            <charset val="128"/>
          </rPr>
          <t xml:space="preserve">
　 </t>
        </r>
        <r>
          <rPr>
            <sz val="12"/>
            <color indexed="12"/>
            <rFont val="ＭＳ Ｐゴシック"/>
            <family val="3"/>
            <charset val="128"/>
          </rPr>
          <t>住友電工(株)
　電線技術資料
　</t>
        </r>
        <r>
          <rPr>
            <sz val="9"/>
            <color indexed="12"/>
            <rFont val="ＭＳ Ｐゴシック"/>
            <family val="3"/>
            <charset val="128"/>
          </rPr>
          <t>１９９１．３ (</t>
        </r>
        <r>
          <rPr>
            <sz val="10"/>
            <color indexed="12"/>
            <rFont val="ＭＳ Ｐゴシック"/>
            <family val="3"/>
            <charset val="128"/>
          </rPr>
          <t>P478</t>
        </r>
        <r>
          <rPr>
            <sz val="9"/>
            <color indexed="12"/>
            <rFont val="ＭＳ Ｐゴシック"/>
            <family val="3"/>
            <charset val="128"/>
          </rPr>
          <t>)</t>
        </r>
      </text>
    </comment>
    <comment ref="AF3" authorId="0">
      <text>
        <r>
          <rPr>
            <sz val="2"/>
            <color indexed="10"/>
            <rFont val="ＭＳ Ｐゴシック"/>
            <family val="3"/>
            <charset val="128"/>
          </rPr>
          <t>　　　　　　　　　　　　　　　　　　　　　　　　　　　　　　　　　　　　　　　　　　　　　　　　　　　　　　　　　　　　　　　　　
　　　　</t>
        </r>
        <r>
          <rPr>
            <sz val="3"/>
            <color indexed="10"/>
            <rFont val="ＭＳ Ｐゴシック"/>
            <family val="3"/>
            <charset val="128"/>
          </rPr>
          <t xml:space="preserve">　　 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下の空欄に
 登録できます </t>
        </r>
        <r>
          <rPr>
            <sz val="9"/>
            <color indexed="81"/>
            <rFont val="ＭＳ Ｐゴシック"/>
            <family val="3"/>
            <charset val="128"/>
          </rPr>
          <t xml:space="preserve">
　 </t>
        </r>
        <r>
          <rPr>
            <sz val="12"/>
            <color indexed="12"/>
            <rFont val="ＭＳ Ｐゴシック"/>
            <family val="3"/>
            <charset val="128"/>
          </rPr>
          <t>JIS C 4210</t>
        </r>
      </text>
    </comment>
    <comment ref="AO3" authorId="0">
      <text>
        <r>
          <rPr>
            <sz val="2"/>
            <color indexed="10"/>
            <rFont val="ＭＳ Ｐゴシック"/>
            <family val="3"/>
            <charset val="128"/>
          </rPr>
          <t>　　　　　　　　　　　　　　　　　　　　　　　　　　　　　　　　　　　　　　　　　　　　　　　　　　　　　　　　　　　　　　　　　
　　　　</t>
        </r>
        <r>
          <rPr>
            <sz val="3"/>
            <color indexed="10"/>
            <rFont val="ＭＳ Ｐゴシック"/>
            <family val="3"/>
            <charset val="128"/>
          </rPr>
          <t xml:space="preserve">　　 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下の空欄に
 登録できます </t>
        </r>
        <r>
          <rPr>
            <sz val="9"/>
            <color indexed="81"/>
            <rFont val="ＭＳ Ｐゴシック"/>
            <family val="3"/>
            <charset val="128"/>
          </rPr>
          <t xml:space="preserve">
　    </t>
        </r>
        <r>
          <rPr>
            <sz val="12"/>
            <color indexed="12"/>
            <rFont val="ＭＳ Ｐゴシック"/>
            <family val="3"/>
            <charset val="128"/>
          </rPr>
          <t xml:space="preserve">ﾆﾁｺﾝ(株)
　電力コンデンサ
　    </t>
        </r>
        <r>
          <rPr>
            <sz val="9"/>
            <color indexed="12"/>
            <rFont val="ＭＳ Ｐゴシック"/>
            <family val="3"/>
            <charset val="128"/>
          </rPr>
          <t>１９９１．５</t>
        </r>
      </text>
    </comment>
    <comment ref="E19" authorId="0">
      <text>
        <r>
          <rPr>
            <sz val="2"/>
            <color indexed="10"/>
            <rFont val="ＭＳ Ｐゴシック"/>
            <family val="3"/>
            <charset val="128"/>
          </rPr>
          <t>　　　　　　　　　　　　　　　　　　　　　　　　　　　　　　　　　　　　　　　　　　　　　　　　　　　　　　　　　　　　　　　　　
　　　　</t>
        </r>
        <r>
          <rPr>
            <sz val="3"/>
            <color indexed="10"/>
            <rFont val="ＭＳ Ｐゴシック"/>
            <family val="3"/>
            <charset val="128"/>
          </rPr>
          <t xml:space="preserve">　　 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下の空欄に
 登録できます </t>
        </r>
        <r>
          <rPr>
            <sz val="9"/>
            <color indexed="81"/>
            <rFont val="ＭＳ Ｐゴシック"/>
            <family val="3"/>
            <charset val="128"/>
          </rPr>
          <t xml:space="preserve">
　 </t>
        </r>
        <r>
          <rPr>
            <sz val="12"/>
            <color indexed="12"/>
            <rFont val="ＭＳ Ｐゴシック"/>
            <family val="3"/>
            <charset val="128"/>
          </rPr>
          <t>％Ｚは、自動
　表示します。
　三菱電機(株)
　名古屋製作所</t>
        </r>
      </text>
    </comment>
    <comment ref="J19" authorId="0">
      <text>
        <r>
          <rPr>
            <sz val="2"/>
            <color indexed="10"/>
            <rFont val="ＭＳ Ｐゴシック"/>
            <family val="3"/>
            <charset val="128"/>
          </rPr>
          <t>　　　　　　　　　　　　　　　　　　　　　　　　　　　　　　　　　　　　　　　　　　　　　　　　　　　　　　　　　　　　　　　　　
　　　　</t>
        </r>
        <r>
          <rPr>
            <sz val="3"/>
            <color indexed="10"/>
            <rFont val="ＭＳ Ｐゴシック"/>
            <family val="3"/>
            <charset val="128"/>
          </rPr>
          <t xml:space="preserve">　　 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下の空欄に
 登録できます </t>
        </r>
        <r>
          <rPr>
            <sz val="9"/>
            <color indexed="81"/>
            <rFont val="ＭＳ Ｐゴシック"/>
            <family val="3"/>
            <charset val="128"/>
          </rPr>
          <t xml:space="preserve">
　 </t>
        </r>
        <r>
          <rPr>
            <sz val="12"/>
            <color indexed="12"/>
            <rFont val="ＭＳ Ｐゴシック"/>
            <family val="3"/>
            <charset val="128"/>
          </rPr>
          <t>％Ｚは、自動
　表示します。
　三菱電機(株)
　名古屋製作所</t>
        </r>
      </text>
    </comment>
    <comment ref="O19" authorId="0">
      <text>
        <r>
          <rPr>
            <sz val="2"/>
            <color indexed="10"/>
            <rFont val="ＭＳ Ｐゴシック"/>
            <family val="3"/>
            <charset val="128"/>
          </rPr>
          <t>　　　　　　　　　　　　　　　　　　　　　　　　　　　　　　　　　　　　　　　　　　　　　　　　　　　　　　　　　　　　　　　　　
　　　　</t>
        </r>
        <r>
          <rPr>
            <sz val="3"/>
            <color indexed="10"/>
            <rFont val="ＭＳ Ｐゴシック"/>
            <family val="3"/>
            <charset val="128"/>
          </rPr>
          <t xml:space="preserve">　　 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下の空欄に
 登録できます </t>
        </r>
        <r>
          <rPr>
            <sz val="9"/>
            <color indexed="81"/>
            <rFont val="ＭＳ Ｐゴシック"/>
            <family val="3"/>
            <charset val="128"/>
          </rPr>
          <t xml:space="preserve">
　 </t>
        </r>
        <r>
          <rPr>
            <sz val="12"/>
            <color indexed="12"/>
            <rFont val="ＭＳ Ｐゴシック"/>
            <family val="3"/>
            <charset val="128"/>
          </rPr>
          <t>％Ｚは、自動
　表示します。
　三菱電機(株)
　名古屋製作所</t>
        </r>
      </text>
    </comment>
    <comment ref="T19" authorId="0">
      <text>
        <r>
          <rPr>
            <sz val="2"/>
            <color indexed="10"/>
            <rFont val="ＭＳ Ｐゴシック"/>
            <family val="3"/>
            <charset val="128"/>
          </rPr>
          <t>　　　　　　　　　　　　　　　　　　　　　　　　　　　　　　　　　　　　　　　　　　　　　　　　　　　　　　　　　　　　　　　　　
　　　　</t>
        </r>
        <r>
          <rPr>
            <sz val="3"/>
            <color indexed="10"/>
            <rFont val="ＭＳ Ｐゴシック"/>
            <family val="3"/>
            <charset val="128"/>
          </rPr>
          <t xml:space="preserve">　　 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下の空欄に
 登録できます </t>
        </r>
        <r>
          <rPr>
            <sz val="9"/>
            <color indexed="81"/>
            <rFont val="ＭＳ Ｐゴシック"/>
            <family val="3"/>
            <charset val="128"/>
          </rPr>
          <t xml:space="preserve">
　 </t>
        </r>
        <r>
          <rPr>
            <sz val="12"/>
            <color indexed="12"/>
            <rFont val="ＭＳ Ｐゴシック"/>
            <family val="3"/>
            <charset val="128"/>
          </rPr>
          <t>％Ｚは、自動
　表示します。
　三菱電機(株)
　名古屋製作所</t>
        </r>
      </text>
    </comment>
    <comment ref="X24" authorId="0">
      <text>
        <r>
          <rPr>
            <sz val="2"/>
            <color indexed="10"/>
            <rFont val="ＭＳ Ｐゴシック"/>
            <family val="3"/>
            <charset val="128"/>
          </rPr>
          <t>　　　　　　　　　　　　　　　　　　　　　　　　　　　　　　　　　　　　　　　　　　　　　　　　　　　　　　　　　　　　　　　　　
　　　　</t>
        </r>
        <r>
          <rPr>
            <sz val="3"/>
            <color indexed="10"/>
            <rFont val="ＭＳ Ｐゴシック"/>
            <family val="3"/>
            <charset val="128"/>
          </rPr>
          <t xml:space="preserve">　　 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下の空欄に
 登録できます </t>
        </r>
        <r>
          <rPr>
            <sz val="9"/>
            <color indexed="81"/>
            <rFont val="ＭＳ Ｐゴシック"/>
            <family val="3"/>
            <charset val="128"/>
          </rPr>
          <t xml:space="preserve">
　 </t>
        </r>
        <r>
          <rPr>
            <sz val="12"/>
            <color indexed="12"/>
            <rFont val="ＭＳ Ｐゴシック"/>
            <family val="3"/>
            <charset val="128"/>
          </rPr>
          <t>住友電工(株)
　電線技術資料
　</t>
        </r>
        <r>
          <rPr>
            <sz val="9"/>
            <color indexed="12"/>
            <rFont val="ＭＳ Ｐゴシック"/>
            <family val="3"/>
            <charset val="128"/>
          </rPr>
          <t>１９９１．３ (</t>
        </r>
        <r>
          <rPr>
            <sz val="10"/>
            <color indexed="12"/>
            <rFont val="ＭＳ Ｐゴシック"/>
            <family val="3"/>
            <charset val="128"/>
          </rPr>
          <t>P478</t>
        </r>
        <r>
          <rPr>
            <sz val="9"/>
            <color indexed="12"/>
            <rFont val="ＭＳ Ｐゴシック"/>
            <family val="3"/>
            <charset val="128"/>
          </rPr>
          <t>)</t>
        </r>
      </text>
    </comment>
    <comment ref="AB24" authorId="0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 </t>
        </r>
        <r>
          <rPr>
            <b/>
            <sz val="14"/>
            <color indexed="10"/>
            <rFont val="ＭＳ Ｐゴシック"/>
            <family val="3"/>
            <charset val="128"/>
          </rPr>
          <t>USER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
 登録用 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7" authorId="0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 </t>
        </r>
        <r>
          <rPr>
            <b/>
            <sz val="14"/>
            <color indexed="10"/>
            <rFont val="ＭＳ Ｐゴシック"/>
            <family val="3"/>
            <charset val="128"/>
          </rPr>
          <t>USER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
 登録用 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<sst xmlns="http://schemas.openxmlformats.org/spreadsheetml/2006/main" count="377" uniqueCount="158">
  <si>
    <t>コピ－用デ－タ（参考）</t>
    <rPh sb="3" eb="4">
      <t>ヨウ</t>
    </rPh>
    <rPh sb="8" eb="10">
      <t>サンコウ</t>
    </rPh>
    <phoneticPr fontId="4"/>
  </si>
  <si>
    <t>系統番号</t>
    <rPh sb="0" eb="2">
      <t>ケイトウ</t>
    </rPh>
    <rPh sb="2" eb="4">
      <t>バンゴウ</t>
    </rPh>
    <phoneticPr fontId="4"/>
  </si>
  <si>
    <t>適用区間</t>
    <rPh sb="0" eb="2">
      <t>テキヨウ</t>
    </rPh>
    <rPh sb="2" eb="4">
      <t>クカン</t>
    </rPh>
    <phoneticPr fontId="4"/>
  </si>
  <si>
    <t>電 気 方 式</t>
  </si>
  <si>
    <t>W</t>
    <phoneticPr fontId="4"/>
  </si>
  <si>
    <t>コピ－用デ－タ</t>
    <rPh sb="3" eb="4">
      <t>ヨウ</t>
    </rPh>
    <phoneticPr fontId="4"/>
  </si>
  <si>
    <t xml:space="preserve"> No.</t>
    <phoneticPr fontId="4"/>
  </si>
  <si>
    <t>検印</t>
    <rPh sb="0" eb="2">
      <t>ケンイン</t>
    </rPh>
    <phoneticPr fontId="4"/>
  </si>
  <si>
    <t>[m]</t>
    <phoneticPr fontId="4"/>
  </si>
  <si>
    <t>[A]</t>
    <phoneticPr fontId="4"/>
  </si>
  <si>
    <t>[℃]</t>
    <phoneticPr fontId="4"/>
  </si>
  <si>
    <t>[V]</t>
    <phoneticPr fontId="4"/>
  </si>
  <si>
    <t>条数</t>
    <rPh sb="0" eb="1">
      <t>ジョウ</t>
    </rPh>
    <rPh sb="1" eb="2">
      <t>スウ</t>
    </rPh>
    <phoneticPr fontId="4"/>
  </si>
  <si>
    <t>φ</t>
    <phoneticPr fontId="4"/>
  </si>
  <si>
    <t>［Ｈｚ］</t>
    <phoneticPr fontId="4"/>
  </si>
  <si>
    <t>[KVA]</t>
    <phoneticPr fontId="4"/>
  </si>
  <si>
    <t>[A]</t>
    <phoneticPr fontId="4"/>
  </si>
  <si>
    <t>[Kvar]</t>
    <phoneticPr fontId="4"/>
  </si>
  <si>
    <t>[KW]</t>
    <phoneticPr fontId="4"/>
  </si>
  <si>
    <t>周波</t>
    <rPh sb="0" eb="2">
      <t>シュウハスウ</t>
    </rPh>
    <phoneticPr fontId="4"/>
  </si>
  <si>
    <t xml:space="preserve"> 数</t>
    <rPh sb="1" eb="2">
      <t>カズ</t>
    </rPh>
    <phoneticPr fontId="4"/>
  </si>
  <si>
    <t>V</t>
    <phoneticPr fontId="4"/>
  </si>
  <si>
    <t>負　　　荷　　　側　　　機　　　器</t>
    <rPh sb="0" eb="5">
      <t>フカ</t>
    </rPh>
    <rPh sb="8" eb="9">
      <t>カワ</t>
    </rPh>
    <rPh sb="12" eb="17">
      <t>キキ</t>
    </rPh>
    <phoneticPr fontId="4"/>
  </si>
  <si>
    <t>断面</t>
    <rPh sb="0" eb="2">
      <t>ダンメン</t>
    </rPh>
    <phoneticPr fontId="4"/>
  </si>
  <si>
    <t>公称</t>
    <rPh sb="0" eb="2">
      <t>コウショウ</t>
    </rPh>
    <phoneticPr fontId="4"/>
  </si>
  <si>
    <t>交流導体</t>
    <rPh sb="0" eb="2">
      <t>コウリュウ</t>
    </rPh>
    <rPh sb="2" eb="4">
      <t>ドウタイ</t>
    </rPh>
    <phoneticPr fontId="4"/>
  </si>
  <si>
    <t>ﾘｱｸﾀﾝｽ</t>
    <phoneticPr fontId="4"/>
  </si>
  <si>
    <t>(５０Hz)</t>
    <phoneticPr fontId="4"/>
  </si>
  <si>
    <t>[Ω/Km]</t>
    <phoneticPr fontId="4"/>
  </si>
  <si>
    <t>抵抗(90℃)</t>
    <rPh sb="0" eb="2">
      <t>テイコウ</t>
    </rPh>
    <phoneticPr fontId="4"/>
  </si>
  <si>
    <t>　　　⇒</t>
    <phoneticPr fontId="4"/>
  </si>
  <si>
    <t>　　　⇒</t>
    <phoneticPr fontId="4"/>
  </si>
  <si>
    <t>容 量</t>
    <rPh sb="0" eb="3">
      <t>ヨウリョウ</t>
    </rPh>
    <phoneticPr fontId="4"/>
  </si>
  <si>
    <t>％ Ｒ</t>
    <phoneticPr fontId="4"/>
  </si>
  <si>
    <t>％ Ｘ</t>
    <phoneticPr fontId="4"/>
  </si>
  <si>
    <t>％ Ｚ</t>
    <phoneticPr fontId="4"/>
  </si>
  <si>
    <t>ＵＳＥＲ</t>
    <phoneticPr fontId="4"/>
  </si>
  <si>
    <t>変圧器</t>
    <rPh sb="0" eb="3">
      <t>ヘンアツキ</t>
    </rPh>
    <phoneticPr fontId="4"/>
  </si>
  <si>
    <r>
      <t xml:space="preserve">ご注意 </t>
    </r>
    <r>
      <rPr>
        <sz val="14"/>
        <color indexed="10"/>
        <rFont val="ＭＳ Ｐゴシック"/>
        <family val="3"/>
        <charset val="128"/>
      </rPr>
      <t>⇒</t>
    </r>
    <rPh sb="1" eb="3">
      <t>チュウイ</t>
    </rPh>
    <phoneticPr fontId="4"/>
  </si>
  <si>
    <t>2M-03-        2-F01</t>
    <phoneticPr fontId="4"/>
  </si>
  <si>
    <t>210V動力盤(2M-03) 　　　　　～ F01(FE-01-02)</t>
    <rPh sb="4" eb="6">
      <t>ドウリョク</t>
    </rPh>
    <rPh sb="6" eb="7">
      <t>バン</t>
    </rPh>
    <phoneticPr fontId="4"/>
  </si>
  <si>
    <t>容 量</t>
    <rPh sb="0" eb="3">
      <t>ヨウリョウ</t>
    </rPh>
    <phoneticPr fontId="4"/>
  </si>
  <si>
    <t>出力</t>
    <rPh sb="0" eb="2">
      <t>シュツリョク</t>
    </rPh>
    <phoneticPr fontId="4"/>
  </si>
  <si>
    <t>平 均</t>
    <rPh sb="0" eb="3">
      <t>ヘイキン</t>
    </rPh>
    <phoneticPr fontId="4"/>
  </si>
  <si>
    <t>力 率</t>
    <rPh sb="0" eb="1">
      <t>リキ</t>
    </rPh>
    <rPh sb="2" eb="3">
      <t>リツ</t>
    </rPh>
    <phoneticPr fontId="4"/>
  </si>
  <si>
    <t>[μF]</t>
    <phoneticPr fontId="4"/>
  </si>
  <si>
    <t>効 率</t>
    <rPh sb="0" eb="3">
      <t>コウリツ</t>
    </rPh>
    <phoneticPr fontId="4"/>
  </si>
  <si>
    <t>効率</t>
    <rPh sb="0" eb="2">
      <t>コウリツ</t>
    </rPh>
    <phoneticPr fontId="4"/>
  </si>
  <si>
    <t>力率</t>
    <rPh sb="0" eb="1">
      <t>リキ</t>
    </rPh>
    <rPh sb="1" eb="2">
      <t>リツ</t>
    </rPh>
    <phoneticPr fontId="4"/>
  </si>
  <si>
    <t>[A]</t>
    <phoneticPr fontId="4"/>
  </si>
  <si>
    <t>電　　線　・　ケ　　－　　ブ　　ル</t>
    <rPh sb="0" eb="4">
      <t>デンセン</t>
    </rPh>
    <phoneticPr fontId="4"/>
  </si>
  <si>
    <r>
      <t>Ｅ</t>
    </r>
    <r>
      <rPr>
        <sz val="6"/>
        <rFont val="ＭＳ ゴシック"/>
        <family val="3"/>
        <charset val="128"/>
      </rPr>
      <t>Ｍ</t>
    </r>
    <phoneticPr fontId="4"/>
  </si>
  <si>
    <r>
      <t>電　 力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　変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　圧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　器</t>
    </r>
    <rPh sb="0" eb="4">
      <t>デンリョク</t>
    </rPh>
    <rPh sb="6" eb="13">
      <t>ヘンアツキ</t>
    </rPh>
    <phoneticPr fontId="4"/>
  </si>
  <si>
    <t>配　　電　　側　　機　　器</t>
    <rPh sb="0" eb="1">
      <t>ハイソウ</t>
    </rPh>
    <rPh sb="1" eb="4">
      <t>ソウデン</t>
    </rPh>
    <rPh sb="6" eb="7">
      <t>カワ</t>
    </rPh>
    <rPh sb="9" eb="13">
      <t>キキ</t>
    </rPh>
    <phoneticPr fontId="4"/>
  </si>
  <si>
    <t>公　称　　断　面</t>
    <rPh sb="0" eb="3">
      <t>コウショウ</t>
    </rPh>
    <rPh sb="5" eb="8">
      <t>ダンメン</t>
    </rPh>
    <phoneticPr fontId="4"/>
  </si>
  <si>
    <t>cosφ</t>
    <phoneticPr fontId="4"/>
  </si>
  <si>
    <t>η</t>
    <phoneticPr fontId="4"/>
  </si>
  <si>
    <r>
      <t>3φ油入</t>
    </r>
    <r>
      <rPr>
        <sz val="12"/>
        <color indexed="10"/>
        <rFont val="ＭＳ Ｐゴシック"/>
        <family val="3"/>
        <charset val="128"/>
      </rPr>
      <t>[50Hz]</t>
    </r>
    <rPh sb="2" eb="3">
      <t>アブラ</t>
    </rPh>
    <rPh sb="3" eb="4">
      <t>イ</t>
    </rPh>
    <phoneticPr fontId="4"/>
  </si>
  <si>
    <r>
      <t>1φ油入</t>
    </r>
    <r>
      <rPr>
        <sz val="12"/>
        <color indexed="10"/>
        <rFont val="ＭＳ Ｐゴシック"/>
        <family val="3"/>
        <charset val="128"/>
      </rPr>
      <t>[50Hz]</t>
    </r>
    <rPh sb="2" eb="3">
      <t>アブラ</t>
    </rPh>
    <rPh sb="3" eb="4">
      <t>イ</t>
    </rPh>
    <phoneticPr fontId="4"/>
  </si>
  <si>
    <r>
      <t>1φモ－ルド</t>
    </r>
    <r>
      <rPr>
        <sz val="12"/>
        <color indexed="10"/>
        <rFont val="ＭＳ Ｐゴシック"/>
        <family val="3"/>
        <charset val="128"/>
      </rPr>
      <t>[50Hz]</t>
    </r>
    <phoneticPr fontId="4"/>
  </si>
  <si>
    <r>
      <t>3φモ－ルド</t>
    </r>
    <r>
      <rPr>
        <sz val="12"/>
        <color indexed="10"/>
        <rFont val="ＭＳ Ｐゴシック"/>
        <family val="3"/>
        <charset val="128"/>
      </rPr>
      <t>[50Hz]</t>
    </r>
    <phoneticPr fontId="4"/>
  </si>
  <si>
    <r>
      <t>1φ油入</t>
    </r>
    <r>
      <rPr>
        <sz val="12"/>
        <color indexed="10"/>
        <rFont val="ＭＳ Ｐゴシック"/>
        <family val="3"/>
        <charset val="128"/>
      </rPr>
      <t>[60Hz]</t>
    </r>
    <rPh sb="2" eb="3">
      <t>アブラ</t>
    </rPh>
    <rPh sb="3" eb="4">
      <t>イ</t>
    </rPh>
    <phoneticPr fontId="4"/>
  </si>
  <si>
    <r>
      <t>3φ油入</t>
    </r>
    <r>
      <rPr>
        <sz val="12"/>
        <color indexed="10"/>
        <rFont val="ＭＳ Ｐゴシック"/>
        <family val="3"/>
        <charset val="128"/>
      </rPr>
      <t>[60Hz]</t>
    </r>
    <rPh sb="2" eb="3">
      <t>アブラ</t>
    </rPh>
    <rPh sb="3" eb="4">
      <t>イ</t>
    </rPh>
    <phoneticPr fontId="4"/>
  </si>
  <si>
    <r>
      <t>1φモ－ルド</t>
    </r>
    <r>
      <rPr>
        <sz val="12"/>
        <color indexed="10"/>
        <rFont val="ＭＳ Ｐゴシック"/>
        <family val="3"/>
        <charset val="128"/>
      </rPr>
      <t>[60Hz]</t>
    </r>
    <phoneticPr fontId="4"/>
  </si>
  <si>
    <r>
      <t>3φモ－ルド</t>
    </r>
    <r>
      <rPr>
        <sz val="12"/>
        <color indexed="10"/>
        <rFont val="ＭＳ Ｐゴシック"/>
        <family val="3"/>
        <charset val="128"/>
      </rPr>
      <t>[60Hz]</t>
    </r>
    <phoneticPr fontId="4"/>
  </si>
  <si>
    <t>始　　動　　電　　動　　機</t>
    <rPh sb="0" eb="4">
      <t>シドウ</t>
    </rPh>
    <rPh sb="6" eb="13">
      <t>デンドウキ</t>
    </rPh>
    <phoneticPr fontId="4"/>
  </si>
  <si>
    <t>ＩＶ（電線管）</t>
    <rPh sb="3" eb="5">
      <t>デンセン</t>
    </rPh>
    <rPh sb="5" eb="6">
      <t>カン</t>
    </rPh>
    <phoneticPr fontId="4"/>
  </si>
  <si>
    <t>抵抗(60℃)</t>
    <rPh sb="0" eb="2">
      <t>テイコウ</t>
    </rPh>
    <phoneticPr fontId="4"/>
  </si>
  <si>
    <t>　　　⇒</t>
    <phoneticPr fontId="4"/>
  </si>
  <si>
    <t>3φＵＳＥＲ[50Hz]</t>
    <phoneticPr fontId="4"/>
  </si>
  <si>
    <t>600V CV-T</t>
    <phoneticPr fontId="4"/>
  </si>
  <si>
    <t>600V CV-2C/3C</t>
    <phoneticPr fontId="4"/>
  </si>
  <si>
    <t xml:space="preserve">備　　　　　考 </t>
    <rPh sb="0" eb="7">
      <t>ビコウ</t>
    </rPh>
    <phoneticPr fontId="4"/>
  </si>
  <si>
    <t>CV-T</t>
  </si>
  <si>
    <t>定格</t>
    <rPh sb="0" eb="2">
      <t>テイカク</t>
    </rPh>
    <phoneticPr fontId="4"/>
  </si>
  <si>
    <t>出力</t>
    <rPh sb="0" eb="2">
      <t>シュツリョク</t>
    </rPh>
    <phoneticPr fontId="4"/>
  </si>
  <si>
    <t>１φ１００Ｖ</t>
    <phoneticPr fontId="4"/>
  </si>
  <si>
    <t>電動機</t>
    <rPh sb="0" eb="3">
      <t>デンドウキ</t>
    </rPh>
    <phoneticPr fontId="4"/>
  </si>
  <si>
    <r>
      <t>ＳＣ</t>
    </r>
    <r>
      <rPr>
        <sz val="9"/>
        <color indexed="12"/>
        <rFont val="ＭＳ Ｐゴシック"/>
        <family val="3"/>
        <charset val="128"/>
      </rPr>
      <t>Ｍ</t>
    </r>
    <phoneticPr fontId="4"/>
  </si>
  <si>
    <r>
      <t>50</t>
    </r>
    <r>
      <rPr>
        <sz val="9"/>
        <color indexed="12"/>
        <rFont val="ＭＳ Ｐゴシック"/>
        <family val="3"/>
        <charset val="128"/>
      </rPr>
      <t>Ｈｚ</t>
    </r>
    <phoneticPr fontId="4"/>
  </si>
  <si>
    <r>
      <t>60</t>
    </r>
    <r>
      <rPr>
        <sz val="9"/>
        <color indexed="12"/>
        <rFont val="ＭＳ Ｐゴシック"/>
        <family val="3"/>
        <charset val="128"/>
      </rPr>
      <t>Ｈｚ</t>
    </r>
    <phoneticPr fontId="4"/>
  </si>
  <si>
    <t>[μF]</t>
    <phoneticPr fontId="4"/>
  </si>
  <si>
    <t>η</t>
    <phoneticPr fontId="4"/>
  </si>
  <si>
    <t>１φ２００Ｖ</t>
    <phoneticPr fontId="4"/>
  </si>
  <si>
    <t>３φ２００Ｖ</t>
    <phoneticPr fontId="4"/>
  </si>
  <si>
    <t>３φ４００Ｖ</t>
    <phoneticPr fontId="4"/>
  </si>
  <si>
    <t>３φ４４０Ｖ</t>
    <phoneticPr fontId="4"/>
  </si>
  <si>
    <t>出力 KW</t>
    <rPh sb="0" eb="2">
      <t>シュツリョク</t>
    </rPh>
    <phoneticPr fontId="4"/>
  </si>
  <si>
    <t>定格電流</t>
    <rPh sb="0" eb="2">
      <t>テイカク</t>
    </rPh>
    <rPh sb="2" eb="4">
      <t>デンリュウ</t>
    </rPh>
    <phoneticPr fontId="4"/>
  </si>
  <si>
    <t>　⇒</t>
    <phoneticPr fontId="4"/>
  </si>
  <si>
    <t>始動階級</t>
    <rPh sb="0" eb="2">
      <t>シドウ</t>
    </rPh>
    <rPh sb="2" eb="4">
      <t>カイキュウ</t>
    </rPh>
    <phoneticPr fontId="4"/>
  </si>
  <si>
    <t>始動ﾄﾙｸ</t>
    <rPh sb="0" eb="2">
      <t>シドウ</t>
    </rPh>
    <phoneticPr fontId="4"/>
  </si>
  <si>
    <t>3</t>
  </si>
  <si>
    <t>油入自冷</t>
  </si>
  <si>
    <t>直 入</t>
  </si>
  <si>
    <r>
      <t>Ｚ</t>
    </r>
    <r>
      <rPr>
        <sz val="8"/>
        <rFont val="ＭＳ Ｐゴシック"/>
        <family val="3"/>
        <charset val="128"/>
      </rPr>
      <t>Ｃ</t>
    </r>
    <phoneticPr fontId="4"/>
  </si>
  <si>
    <r>
      <t>Ｒ</t>
    </r>
    <r>
      <rPr>
        <sz val="8"/>
        <rFont val="ＭＳ Ｐゴシック"/>
        <family val="3"/>
        <charset val="128"/>
      </rPr>
      <t>Ｃ</t>
    </r>
    <phoneticPr fontId="4"/>
  </si>
  <si>
    <r>
      <t>Ｘ</t>
    </r>
    <r>
      <rPr>
        <sz val="8"/>
        <rFont val="ＭＳ Ｐゴシック"/>
        <family val="3"/>
        <charset val="128"/>
      </rPr>
      <t>Ｃ</t>
    </r>
    <phoneticPr fontId="4"/>
  </si>
  <si>
    <t>[mΩ]</t>
    <phoneticPr fontId="4"/>
  </si>
  <si>
    <t>[mΩ]</t>
    <phoneticPr fontId="4"/>
  </si>
  <si>
    <t>動力幹線</t>
    <rPh sb="0" eb="2">
      <t>ドウリョク</t>
    </rPh>
    <rPh sb="2" eb="4">
      <t>カンセン</t>
    </rPh>
    <phoneticPr fontId="4"/>
  </si>
  <si>
    <t>分岐配線</t>
    <rPh sb="0" eb="2">
      <t>ブンキ</t>
    </rPh>
    <rPh sb="2" eb="4">
      <t>ハイセン</t>
    </rPh>
    <phoneticPr fontId="4"/>
  </si>
  <si>
    <t>(定常時)</t>
    <rPh sb="1" eb="3">
      <t>テイジョウ</t>
    </rPh>
    <rPh sb="3" eb="4">
      <t>ジ</t>
    </rPh>
    <phoneticPr fontId="4"/>
  </si>
  <si>
    <t>気中配管</t>
  </si>
  <si>
    <t>ケ－ブルラック</t>
  </si>
  <si>
    <t>　　 ⇒</t>
    <phoneticPr fontId="4"/>
  </si>
  <si>
    <t>'99  08/20-Ver 1.0</t>
    <phoneticPr fontId="4"/>
  </si>
  <si>
    <t>　　　⇒</t>
    <phoneticPr fontId="4"/>
  </si>
  <si>
    <t>系統 番号</t>
    <rPh sb="0" eb="2">
      <t>ケイトウ</t>
    </rPh>
    <phoneticPr fontId="4"/>
  </si>
  <si>
    <t>適　　用　　区　　間</t>
    <phoneticPr fontId="4"/>
  </si>
  <si>
    <t>容　量</t>
    <rPh sb="0" eb="3">
      <t>ヨウリョウ</t>
    </rPh>
    <phoneticPr fontId="4"/>
  </si>
  <si>
    <t>台数</t>
    <rPh sb="0" eb="2">
      <t>ダイスウ</t>
    </rPh>
    <phoneticPr fontId="4"/>
  </si>
  <si>
    <t>定格電流</t>
    <rPh sb="0" eb="2">
      <t>テイカク</t>
    </rPh>
    <rPh sb="2" eb="4">
      <t>デンリュウ</t>
    </rPh>
    <phoneticPr fontId="4"/>
  </si>
  <si>
    <t>配電側　　　電　圧</t>
    <rPh sb="0" eb="2">
      <t>ハイデン</t>
    </rPh>
    <rPh sb="2" eb="3">
      <t>ガワ</t>
    </rPh>
    <rPh sb="6" eb="9">
      <t>デンアツ</t>
    </rPh>
    <phoneticPr fontId="4"/>
  </si>
  <si>
    <t>ベ－ス負荷容量</t>
    <rPh sb="3" eb="5">
      <t>フカ</t>
    </rPh>
    <rPh sb="5" eb="7">
      <t>ヨウリョウ</t>
    </rPh>
    <phoneticPr fontId="4"/>
  </si>
  <si>
    <t>入力</t>
    <rPh sb="0" eb="2">
      <t>ニュウリョク</t>
    </rPh>
    <phoneticPr fontId="4"/>
  </si>
  <si>
    <t>始 動</t>
    <rPh sb="0" eb="3">
      <t>シドウ</t>
    </rPh>
    <phoneticPr fontId="4"/>
  </si>
  <si>
    <t>始動方式</t>
    <rPh sb="0" eb="2">
      <t>シドウ</t>
    </rPh>
    <rPh sb="2" eb="4">
      <t>ホウシキ</t>
    </rPh>
    <phoneticPr fontId="4"/>
  </si>
  <si>
    <t>始動電流</t>
    <rPh sb="0" eb="2">
      <t>シドウ</t>
    </rPh>
    <rPh sb="2" eb="4">
      <t>デンリュウ</t>
    </rPh>
    <phoneticPr fontId="4"/>
  </si>
  <si>
    <t>始動ﾄﾙｸ</t>
    <rPh sb="0" eb="2">
      <t>シドウ</t>
    </rPh>
    <phoneticPr fontId="4"/>
  </si>
  <si>
    <r>
      <t>ＳＣ</t>
    </r>
    <r>
      <rPr>
        <sz val="6"/>
        <rFont val="ＭＳ Ｐゴシック"/>
        <family val="3"/>
        <charset val="128"/>
      </rPr>
      <t>M</t>
    </r>
    <phoneticPr fontId="4"/>
  </si>
  <si>
    <t>名 称</t>
    <rPh sb="0" eb="3">
      <t>メイショウ</t>
    </rPh>
    <phoneticPr fontId="4"/>
  </si>
  <si>
    <t>亘 長</t>
    <phoneticPr fontId="4"/>
  </si>
  <si>
    <t>布 設　　方 法</t>
    <rPh sb="0" eb="3">
      <t>フセツ</t>
    </rPh>
    <rPh sb="5" eb="8">
      <t>ホウホウ</t>
    </rPh>
    <phoneticPr fontId="4"/>
  </si>
  <si>
    <t>許 容　電 流</t>
    <rPh sb="0" eb="3">
      <t>キョヨウ</t>
    </rPh>
    <rPh sb="4" eb="7">
      <t>デンリュウ</t>
    </rPh>
    <phoneticPr fontId="4"/>
  </si>
  <si>
    <t>始動時　電　流</t>
    <rPh sb="0" eb="3">
      <t>シドウジ</t>
    </rPh>
    <rPh sb="4" eb="7">
      <t>デンリュウ</t>
    </rPh>
    <phoneticPr fontId="4"/>
  </si>
  <si>
    <t>定常時　電　流</t>
    <rPh sb="0" eb="2">
      <t>テイジョウ</t>
    </rPh>
    <rPh sb="2" eb="3">
      <t>シドウジ</t>
    </rPh>
    <rPh sb="4" eb="7">
      <t>デンリュウ</t>
    </rPh>
    <phoneticPr fontId="4"/>
  </si>
  <si>
    <t>計 算　温 度</t>
    <rPh sb="0" eb="3">
      <t>ケイサン</t>
    </rPh>
    <rPh sb="4" eb="7">
      <t>オンド</t>
    </rPh>
    <phoneticPr fontId="4"/>
  </si>
  <si>
    <t>[％]</t>
    <phoneticPr fontId="4"/>
  </si>
  <si>
    <r>
      <t>線 路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電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圧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降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下</t>
    </r>
    <rPh sb="0" eb="3">
      <t>センロ</t>
    </rPh>
    <rPh sb="4" eb="7">
      <t>デンアツ</t>
    </rPh>
    <rPh sb="8" eb="11">
      <t>コウカ</t>
    </rPh>
    <phoneticPr fontId="4"/>
  </si>
  <si>
    <t>電 動 機　       端子電圧</t>
    <rPh sb="0" eb="5">
      <t>デンドウキ</t>
    </rPh>
    <rPh sb="13" eb="15">
      <t>タンシ</t>
    </rPh>
    <rPh sb="15" eb="17">
      <t>デンアツ</t>
    </rPh>
    <phoneticPr fontId="4"/>
  </si>
  <si>
    <t>型　式</t>
    <rPh sb="0" eb="1">
      <t>カタ</t>
    </rPh>
    <rPh sb="1" eb="3">
      <t>ケイシキ</t>
    </rPh>
    <phoneticPr fontId="4"/>
  </si>
  <si>
    <r>
      <t>電源電圧</t>
    </r>
    <r>
      <rPr>
        <b/>
        <sz val="9"/>
        <rFont val="ＭＳ Ｐゴシック"/>
        <family val="3"/>
        <charset val="128"/>
      </rPr>
      <t>Ｅ</t>
    </r>
    <r>
      <rPr>
        <sz val="6"/>
        <rFont val="ＭＳ Ｐゴシック"/>
        <family val="3"/>
        <charset val="128"/>
      </rPr>
      <t>Ｓ</t>
    </r>
    <rPh sb="0" eb="2">
      <t>デンゲン</t>
    </rPh>
    <rPh sb="2" eb="4">
      <t>デンアツ</t>
    </rPh>
    <phoneticPr fontId="4"/>
  </si>
  <si>
    <r>
      <t>Ｅ</t>
    </r>
    <r>
      <rPr>
        <sz val="6"/>
        <rFont val="ＭＳ Ｐゴシック"/>
        <family val="3"/>
        <charset val="128"/>
      </rPr>
      <t>Ｒ</t>
    </r>
    <phoneticPr fontId="4"/>
  </si>
  <si>
    <r>
      <t>ＳＣ</t>
    </r>
    <r>
      <rPr>
        <sz val="6"/>
        <rFont val="ＭＳ Ｐゴシック"/>
        <family val="3"/>
        <charset val="128"/>
      </rPr>
      <t>Ｒ</t>
    </r>
    <phoneticPr fontId="4"/>
  </si>
  <si>
    <r>
      <t>ｅ</t>
    </r>
    <r>
      <rPr>
        <sz val="6"/>
        <rFont val="ＭＳ Ｐゴシック"/>
        <family val="3"/>
        <charset val="128"/>
      </rPr>
      <t>Ｃ２</t>
    </r>
    <phoneticPr fontId="4"/>
  </si>
  <si>
    <r>
      <t>％</t>
    </r>
    <r>
      <rPr>
        <sz val="10"/>
        <rFont val="ＭＳ Ｐゴシック"/>
        <family val="3"/>
        <charset val="128"/>
      </rPr>
      <t>Ｚ</t>
    </r>
    <phoneticPr fontId="4"/>
  </si>
  <si>
    <r>
      <t>ｅ</t>
    </r>
    <r>
      <rPr>
        <sz val="6"/>
        <rFont val="ＭＳ Ｐゴシック"/>
        <family val="3"/>
        <charset val="128"/>
      </rPr>
      <t>Ｃ１</t>
    </r>
    <phoneticPr fontId="4"/>
  </si>
  <si>
    <t>低圧コンデンサ容量</t>
    <rPh sb="0" eb="2">
      <t>テイアツ</t>
    </rPh>
    <rPh sb="2" eb="5">
      <t>シンコウ</t>
    </rPh>
    <rPh sb="7" eb="9">
      <t>ヨウリョウ</t>
    </rPh>
    <phoneticPr fontId="4"/>
  </si>
  <si>
    <t>M1-1</t>
    <phoneticPr fontId="4"/>
  </si>
  <si>
    <t>(Inv.始動時)</t>
    <rPh sb="5" eb="8">
      <t>シドウジ</t>
    </rPh>
    <phoneticPr fontId="4"/>
  </si>
  <si>
    <t>M1-1
M1-2</t>
    <phoneticPr fontId="4"/>
  </si>
  <si>
    <t>M1-1
M1-2
M1-3</t>
    <phoneticPr fontId="4"/>
  </si>
  <si>
    <t xml:space="preserve"> ２階電気室空調動力盤
 ～Ｐ-１-１～RH-1-1,-2
 RH:１台定常,２台目始動
　Cable size：元設計</t>
    <rPh sb="2" eb="3">
      <t>カイ</t>
    </rPh>
    <rPh sb="3" eb="5">
      <t>デンキ</t>
    </rPh>
    <rPh sb="5" eb="6">
      <t>シツ</t>
    </rPh>
    <rPh sb="6" eb="8">
      <t>クウチョウ</t>
    </rPh>
    <rPh sb="8" eb="10">
      <t>ドウリョク</t>
    </rPh>
    <rPh sb="10" eb="11">
      <t>バン</t>
    </rPh>
    <rPh sb="35" eb="36">
      <t>ダイ</t>
    </rPh>
    <rPh sb="36" eb="38">
      <t>テイジョウ</t>
    </rPh>
    <rPh sb="40" eb="41">
      <t>ダイ</t>
    </rPh>
    <rPh sb="41" eb="42">
      <t>メ</t>
    </rPh>
    <rPh sb="42" eb="44">
      <t>シドウ</t>
    </rPh>
    <rPh sb="57" eb="58">
      <t>モト</t>
    </rPh>
    <rPh sb="58" eb="60">
      <t>セッケイ</t>
    </rPh>
    <phoneticPr fontId="94"/>
  </si>
  <si>
    <t xml:space="preserve"> ２階電気室空調動力盤
 ～ Ｐ-１-１ ～ RH-1-1
 (RH：１台のみ運転)
　Cable size：元設計</t>
    <rPh sb="2" eb="3">
      <t>カイ</t>
    </rPh>
    <rPh sb="3" eb="5">
      <t>デンキ</t>
    </rPh>
    <rPh sb="5" eb="6">
      <t>シツ</t>
    </rPh>
    <rPh sb="6" eb="8">
      <t>クウチョウ</t>
    </rPh>
    <rPh sb="8" eb="10">
      <t>ドウリョク</t>
    </rPh>
    <rPh sb="10" eb="11">
      <t>バン</t>
    </rPh>
    <rPh sb="36" eb="37">
      <t>ダイ</t>
    </rPh>
    <rPh sb="39" eb="41">
      <t>ウンテン</t>
    </rPh>
    <rPh sb="55" eb="56">
      <t>モト</t>
    </rPh>
    <rPh sb="56" eb="58">
      <t>セッケイ</t>
    </rPh>
    <phoneticPr fontId="94"/>
  </si>
  <si>
    <t xml:space="preserve"> ２階電気室空調動力盤
 ～ Ｐ-１-１ ～ RH-1-1
 (RH：１台のみ運転)
　Cable size：変更設計</t>
    <rPh sb="2" eb="3">
      <t>カイ</t>
    </rPh>
    <rPh sb="3" eb="5">
      <t>デンキ</t>
    </rPh>
    <rPh sb="5" eb="6">
      <t>シツ</t>
    </rPh>
    <rPh sb="6" eb="8">
      <t>クウチョウ</t>
    </rPh>
    <rPh sb="8" eb="10">
      <t>ドウリョク</t>
    </rPh>
    <rPh sb="10" eb="11">
      <t>バン</t>
    </rPh>
    <rPh sb="36" eb="37">
      <t>ダイ</t>
    </rPh>
    <rPh sb="39" eb="41">
      <t>ウンテン</t>
    </rPh>
    <rPh sb="55" eb="57">
      <t>ヘンコウ</t>
    </rPh>
    <rPh sb="57" eb="59">
      <t>セッケイ</t>
    </rPh>
    <phoneticPr fontId="94"/>
  </si>
  <si>
    <t xml:space="preserve"> ２階電気室空調動力盤
 ～Ｐ-１-１～RH-1-1,-2
 RH:１台定常,２台目始動
　Cable size：変更設計</t>
    <rPh sb="2" eb="3">
      <t>カイ</t>
    </rPh>
    <rPh sb="3" eb="5">
      <t>デンキ</t>
    </rPh>
    <rPh sb="5" eb="6">
      <t>シツ</t>
    </rPh>
    <rPh sb="6" eb="8">
      <t>クウチョウ</t>
    </rPh>
    <rPh sb="8" eb="10">
      <t>ドウリョク</t>
    </rPh>
    <rPh sb="10" eb="11">
      <t>バン</t>
    </rPh>
    <rPh sb="35" eb="36">
      <t>ダイ</t>
    </rPh>
    <rPh sb="36" eb="38">
      <t>テイジョウ</t>
    </rPh>
    <rPh sb="40" eb="41">
      <t>ダイ</t>
    </rPh>
    <rPh sb="41" eb="42">
      <t>メ</t>
    </rPh>
    <rPh sb="42" eb="44">
      <t>シドウ</t>
    </rPh>
    <rPh sb="57" eb="59">
      <t>ヘンコウ</t>
    </rPh>
    <rPh sb="59" eb="61">
      <t>セッケイ</t>
    </rPh>
    <phoneticPr fontId="94"/>
  </si>
  <si>
    <t xml:space="preserve"> ２階電気室空調動力盤
 ～Ｐ-１-１～RH-1-1,2,3
 RH:２台定常,３台目始動
　Cable size：元設計</t>
    <rPh sb="2" eb="3">
      <t>カイ</t>
    </rPh>
    <rPh sb="3" eb="5">
      <t>デンキ</t>
    </rPh>
    <rPh sb="5" eb="6">
      <t>シツ</t>
    </rPh>
    <rPh sb="6" eb="8">
      <t>クウチョウ</t>
    </rPh>
    <rPh sb="8" eb="10">
      <t>ドウリョク</t>
    </rPh>
    <rPh sb="10" eb="11">
      <t>バン</t>
    </rPh>
    <rPh sb="36" eb="37">
      <t>ダイ</t>
    </rPh>
    <rPh sb="37" eb="39">
      <t>テイジョウ</t>
    </rPh>
    <rPh sb="41" eb="42">
      <t>ダイ</t>
    </rPh>
    <rPh sb="42" eb="43">
      <t>メ</t>
    </rPh>
    <rPh sb="43" eb="45">
      <t>シドウ</t>
    </rPh>
    <rPh sb="58" eb="59">
      <t>モト</t>
    </rPh>
    <rPh sb="59" eb="61">
      <t>セッケイ</t>
    </rPh>
    <phoneticPr fontId="94"/>
  </si>
  <si>
    <t xml:space="preserve"> ２階電気室空調動力盤
 ～Ｐ-１-１～RH-1-1,2,3
 RH:２台定常,３台目始動
　Cable size：変更設計</t>
    <rPh sb="2" eb="3">
      <t>カイ</t>
    </rPh>
    <rPh sb="3" eb="5">
      <t>デンキ</t>
    </rPh>
    <rPh sb="5" eb="6">
      <t>シツ</t>
    </rPh>
    <rPh sb="6" eb="8">
      <t>クウチョウ</t>
    </rPh>
    <rPh sb="8" eb="10">
      <t>ドウリョク</t>
    </rPh>
    <rPh sb="10" eb="11">
      <t>バン</t>
    </rPh>
    <rPh sb="36" eb="37">
      <t>ダイ</t>
    </rPh>
    <rPh sb="37" eb="39">
      <t>テイジョウ</t>
    </rPh>
    <rPh sb="41" eb="42">
      <t>ダイ</t>
    </rPh>
    <rPh sb="42" eb="43">
      <t>メ</t>
    </rPh>
    <rPh sb="43" eb="45">
      <t>シドウ</t>
    </rPh>
    <rPh sb="58" eb="60">
      <t>ヘンコウ</t>
    </rPh>
    <rPh sb="60" eb="62">
      <t>セッケイ</t>
    </rPh>
    <phoneticPr fontId="94"/>
  </si>
  <si>
    <r>
      <t>ＥＳＥ</t>
    </r>
    <r>
      <rPr>
        <b/>
        <sz val="14"/>
        <rFont val="ＭＳ ゴシック"/>
        <family val="3"/>
        <charset val="128"/>
      </rPr>
      <t xml:space="preserve"> </t>
    </r>
    <r>
      <rPr>
        <b/>
        <sz val="12"/>
        <rFont val="HGPｺﾞｼｯｸE"/>
        <family val="3"/>
        <charset val="128"/>
      </rPr>
      <t>SERVICE</t>
    </r>
    <r>
      <rPr>
        <b/>
        <sz val="14"/>
        <rFont val="ＭＳ ゴシック"/>
        <family val="3"/>
        <charset val="128"/>
      </rPr>
      <t xml:space="preserve">
電</t>
    </r>
    <r>
      <rPr>
        <b/>
        <sz val="14"/>
        <rFont val="HGPｺﾞｼｯｸE"/>
        <family val="3"/>
        <charset val="128"/>
      </rPr>
      <t xml:space="preserve"> </t>
    </r>
    <r>
      <rPr>
        <b/>
        <sz val="14"/>
        <rFont val="ＭＳ ゴシック"/>
        <family val="3"/>
        <charset val="128"/>
      </rPr>
      <t>動</t>
    </r>
    <r>
      <rPr>
        <b/>
        <sz val="14"/>
        <rFont val="HGPｺﾞｼｯｸE"/>
        <family val="3"/>
        <charset val="128"/>
      </rPr>
      <t xml:space="preserve"> </t>
    </r>
    <r>
      <rPr>
        <b/>
        <sz val="14"/>
        <rFont val="ＭＳ ゴシック"/>
        <family val="3"/>
        <charset val="128"/>
      </rPr>
      <t>機</t>
    </r>
    <r>
      <rPr>
        <b/>
        <sz val="14"/>
        <rFont val="HGPｺﾞｼｯｸE"/>
        <family val="3"/>
        <charset val="128"/>
      </rPr>
      <t xml:space="preserve"> </t>
    </r>
    <r>
      <rPr>
        <b/>
        <sz val="14"/>
        <rFont val="ＭＳ ゴシック"/>
        <family val="3"/>
        <charset val="128"/>
      </rPr>
      <t>回</t>
    </r>
    <r>
      <rPr>
        <b/>
        <sz val="14"/>
        <rFont val="HGPｺﾞｼｯｸE"/>
        <family val="3"/>
        <charset val="128"/>
      </rPr>
      <t xml:space="preserve"> </t>
    </r>
    <r>
      <rPr>
        <b/>
        <sz val="14"/>
        <rFont val="ＭＳ ゴシック"/>
        <family val="3"/>
        <charset val="128"/>
      </rPr>
      <t>路</t>
    </r>
    <r>
      <rPr>
        <b/>
        <sz val="14"/>
        <rFont val="HGPｺﾞｼｯｸE"/>
        <family val="3"/>
        <charset val="128"/>
      </rPr>
      <t xml:space="preserve"> </t>
    </r>
    <r>
      <rPr>
        <b/>
        <sz val="14"/>
        <rFont val="ＭＳ ゴシック"/>
        <family val="3"/>
        <charset val="128"/>
      </rPr>
      <t>解</t>
    </r>
    <r>
      <rPr>
        <b/>
        <sz val="14"/>
        <rFont val="HGPｺﾞｼｯｸE"/>
        <family val="3"/>
        <charset val="128"/>
      </rPr>
      <t xml:space="preserve"> </t>
    </r>
    <r>
      <rPr>
        <b/>
        <sz val="14"/>
        <rFont val="ＭＳ ゴシック"/>
        <family val="3"/>
        <charset val="128"/>
      </rPr>
      <t>析</t>
    </r>
    <rPh sb="12" eb="13">
      <t>デン</t>
    </rPh>
    <rPh sb="14" eb="15">
      <t>ドウ</t>
    </rPh>
    <rPh sb="16" eb="17">
      <t>キ</t>
    </rPh>
    <rPh sb="18" eb="19">
      <t>カイ</t>
    </rPh>
    <rPh sb="20" eb="21">
      <t>ロ</t>
    </rPh>
    <rPh sb="22" eb="23">
      <t>カイ</t>
    </rPh>
    <rPh sb="24" eb="25">
      <t>セキ</t>
    </rPh>
    <phoneticPr fontId="4"/>
  </si>
  <si>
    <t>名 称</t>
    <rPh sb="0" eb="1">
      <t>ナ</t>
    </rPh>
    <rPh sb="2" eb="3">
      <t>ショウ</t>
    </rPh>
    <phoneticPr fontId="4"/>
  </si>
  <si>
    <t>担当</t>
    <rPh sb="0" eb="2">
      <t>タントウ</t>
    </rPh>
    <phoneticPr fontId="4"/>
  </si>
  <si>
    <t>2008/6/18  9:56</t>
    <phoneticPr fontId="4"/>
  </si>
  <si>
    <t>　 物件名を入力して下さい。</t>
    <rPh sb="2" eb="4">
      <t>ブッケン</t>
    </rPh>
    <rPh sb="4" eb="5">
      <t>メイ</t>
    </rPh>
    <rPh sb="6" eb="8">
      <t>ニュウリョク</t>
    </rPh>
    <rPh sb="10" eb="11">
      <t>クダ</t>
    </rPh>
    <phoneticPr fontId="4"/>
  </si>
  <si>
    <t>貴社名を入力して下さい</t>
    <rPh sb="0" eb="2">
      <t>キシャ</t>
    </rPh>
    <rPh sb="2" eb="3">
      <t>メイ</t>
    </rPh>
    <rPh sb="4" eb="6">
      <t>ニュウリョク</t>
    </rPh>
    <rPh sb="8" eb="9">
      <t>クダ</t>
    </rPh>
    <phoneticPr fontId="73"/>
  </si>
  <si>
    <t>①</t>
    <phoneticPr fontId="4"/>
  </si>
  <si>
    <t>②</t>
    <phoneticPr fontId="4"/>
  </si>
  <si>
    <t>③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</si>
</sst>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0_ "/>
    <numFmt numFmtId="177" formatCode="0.0_ "/>
    <numFmt numFmtId="182" formatCode="0;[Red]0"/>
    <numFmt numFmtId="183" formatCode="0_ ;[Red]\-0\ "/>
    <numFmt numFmtId="184" formatCode="0.0_ ;[Red]\-0.0\ "/>
    <numFmt numFmtId="185" formatCode="0.00;[Red]0.00"/>
    <numFmt numFmtId="186" formatCode="0.000;[Red]0.000"/>
    <numFmt numFmtId="191" formatCode="####&quot;[℃]&quot;"/>
    <numFmt numFmtId="193" formatCode="0.0000;[Red]0.0000"/>
    <numFmt numFmtId="194" formatCode="0.0;[Red]0.0"/>
    <numFmt numFmtId="196" formatCode="0.000_ ;[Red]\-0.000\ "/>
    <numFmt numFmtId="199" formatCode="####.#\ \A"/>
    <numFmt numFmtId="203" formatCode="#.##\ %"/>
    <numFmt numFmtId="204" formatCode="0.00_);[Red]\(0.00\)"/>
  </numFmts>
  <fonts count="9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vertAlign val="superscript"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6"/>
      <color indexed="47"/>
      <name val="ＭＳ Ｐゴシック"/>
      <family val="3"/>
      <charset val="128"/>
    </font>
    <font>
      <sz val="2"/>
      <color indexed="81"/>
      <name val="ＭＳ Ｐゴシック"/>
      <family val="3"/>
      <charset val="128"/>
    </font>
    <font>
      <sz val="16"/>
      <color indexed="44"/>
      <name val="ＭＳ Ｐゴシック"/>
      <family val="3"/>
      <charset val="128"/>
    </font>
    <font>
      <sz val="16"/>
      <color indexed="26"/>
      <name val="ＭＳ Ｐゴシック"/>
      <family val="3"/>
      <charset val="128"/>
    </font>
    <font>
      <sz val="16"/>
      <color indexed="43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14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9"/>
      <color indexed="81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color indexed="81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3"/>
      <color indexed="10"/>
      <name val="ＭＳ Ｐゴシック"/>
      <family val="3"/>
      <charset val="128"/>
    </font>
    <font>
      <sz val="2"/>
      <color indexed="10"/>
      <name val="ＭＳ Ｐゴシック"/>
      <family val="3"/>
      <charset val="128"/>
    </font>
    <font>
      <b/>
      <sz val="20"/>
      <color indexed="81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8.5"/>
      <name val="ＭＳ 明朝"/>
      <family val="1"/>
      <charset val="128"/>
    </font>
    <font>
      <b/>
      <sz val="16"/>
      <color indexed="12"/>
      <name val="ＭＳ 明朝"/>
      <family val="1"/>
      <charset val="128"/>
    </font>
    <font>
      <b/>
      <sz val="9"/>
      <color indexed="81"/>
      <name val="ＭＳ 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8"/>
      <color indexed="81"/>
      <name val="ＭＳ ゴシック"/>
      <family val="3"/>
      <charset val="128"/>
    </font>
    <font>
      <b/>
      <sz val="10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sz val="10"/>
      <color indexed="57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12"/>
      <name val="ＭＳ ゴシック"/>
      <family val="3"/>
      <charset val="128"/>
    </font>
    <font>
      <sz val="11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4"/>
      <name val="ＭＳ 明朝"/>
      <family val="1"/>
      <charset val="128"/>
    </font>
    <font>
      <sz val="16"/>
      <color indexed="81"/>
      <name val="ＭＳ Ｐゴシック"/>
      <family val="3"/>
      <charset val="128"/>
    </font>
    <font>
      <b/>
      <sz val="20"/>
      <color indexed="12"/>
      <name val="ＭＳ 明朝"/>
      <family val="1"/>
      <charset val="128"/>
    </font>
    <font>
      <b/>
      <u/>
      <sz val="11"/>
      <color indexed="10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18"/>
      <color indexed="81"/>
      <name val="ＭＳ Ｐゴシック"/>
      <family val="3"/>
      <charset val="128"/>
    </font>
    <font>
      <sz val="1"/>
      <color indexed="8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20"/>
      <color indexed="81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7"/>
      <color indexed="8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vertAlign val="superscript"/>
      <sz val="10"/>
      <color indexed="81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sz val="10"/>
      <color indexed="81"/>
      <name val="ＭＳ ゴシック"/>
      <family val="3"/>
      <charset val="128"/>
    </font>
    <font>
      <sz val="6"/>
      <name val="ＭＳ 明朝"/>
      <family val="1"/>
      <charset val="128"/>
    </font>
    <font>
      <b/>
      <sz val="14"/>
      <name val="HGPｺﾞｼｯｸE"/>
      <family val="3"/>
      <charset val="128"/>
    </font>
    <font>
      <b/>
      <sz val="12"/>
      <name val="HGPｺﾞｼｯｸE"/>
      <family val="3"/>
      <charset val="128"/>
    </font>
    <font>
      <b/>
      <sz val="16"/>
      <color theme="9" tint="-0.249977111117893"/>
      <name val="ＭＳ 明朝"/>
      <family val="1"/>
      <charset val="128"/>
    </font>
    <font>
      <b/>
      <sz val="13"/>
      <color theme="9" tint="-0.249977111117893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84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3">
    <xf numFmtId="0" fontId="0" fillId="0" borderId="0" xfId="0"/>
    <xf numFmtId="0" fontId="3" fillId="2" borderId="0" xfId="0" applyFont="1" applyFill="1" applyBorder="1" applyAlignment="1" applyProtection="1">
      <alignment horizontal="left" vertical="center"/>
      <protection hidden="1"/>
    </xf>
    <xf numFmtId="0" fontId="0" fillId="2" borderId="0" xfId="0" applyFill="1"/>
    <xf numFmtId="0" fontId="24" fillId="3" borderId="1" xfId="0" applyNumberFormat="1" applyFont="1" applyFill="1" applyBorder="1" applyAlignment="1" applyProtection="1">
      <alignment horizontal="center"/>
      <protection hidden="1"/>
    </xf>
    <xf numFmtId="0" fontId="24" fillId="3" borderId="2" xfId="0" applyNumberFormat="1" applyFont="1" applyFill="1" applyBorder="1" applyAlignment="1" applyProtection="1">
      <alignment horizontal="center"/>
      <protection hidden="1"/>
    </xf>
    <xf numFmtId="0" fontId="24" fillId="3" borderId="3" xfId="0" applyNumberFormat="1" applyFont="1" applyFill="1" applyBorder="1" applyAlignment="1" applyProtection="1">
      <alignment horizontal="center"/>
      <protection hidden="1"/>
    </xf>
    <xf numFmtId="0" fontId="19" fillId="2" borderId="0" xfId="0" applyFont="1" applyFill="1"/>
    <xf numFmtId="0" fontId="35" fillId="2" borderId="0" xfId="0" applyFont="1" applyFill="1" applyAlignment="1">
      <alignment horizontal="center"/>
    </xf>
    <xf numFmtId="0" fontId="19" fillId="2" borderId="4" xfId="0" quotePrefix="1" applyFont="1" applyFill="1" applyBorder="1" applyAlignment="1" applyProtection="1">
      <alignment horizontal="right" vertical="center"/>
      <protection locked="0"/>
    </xf>
    <xf numFmtId="0" fontId="47" fillId="3" borderId="5" xfId="0" applyFont="1" applyFill="1" applyBorder="1" applyAlignment="1" applyProtection="1">
      <alignment horizontal="center" vertical="center"/>
      <protection hidden="1"/>
    </xf>
    <xf numFmtId="0" fontId="47" fillId="3" borderId="6" xfId="0" applyFont="1" applyFill="1" applyBorder="1" applyAlignment="1" applyProtection="1">
      <alignment horizontal="center" vertical="center"/>
      <protection hidden="1"/>
    </xf>
    <xf numFmtId="0" fontId="1" fillId="3" borderId="7" xfId="0" applyFont="1" applyFill="1" applyBorder="1" applyAlignment="1" applyProtection="1">
      <alignment horizontal="center" vertical="center"/>
      <protection hidden="1"/>
    </xf>
    <xf numFmtId="182" fontId="32" fillId="2" borderId="0" xfId="0" applyNumberFormat="1" applyFont="1" applyFill="1" applyBorder="1" applyAlignment="1" applyProtection="1">
      <alignment horizontal="right" vertical="center"/>
      <protection hidden="1"/>
    </xf>
    <xf numFmtId="193" fontId="19" fillId="2" borderId="0" xfId="0" applyNumberFormat="1" applyFont="1" applyFill="1" applyBorder="1" applyAlignment="1" applyProtection="1">
      <alignment horizontal="right" vertical="center"/>
      <protection hidden="1"/>
    </xf>
    <xf numFmtId="182" fontId="19" fillId="2" borderId="0" xfId="0" applyNumberFormat="1" applyFont="1" applyFill="1" applyBorder="1" applyAlignment="1" applyProtection="1">
      <alignment horizontal="right" vertical="center"/>
      <protection hidden="1"/>
    </xf>
    <xf numFmtId="182" fontId="47" fillId="3" borderId="8" xfId="0" applyNumberFormat="1" applyFont="1" applyFill="1" applyBorder="1" applyAlignment="1" applyProtection="1">
      <alignment horizontal="right" vertical="center"/>
      <protection hidden="1"/>
    </xf>
    <xf numFmtId="193" fontId="30" fillId="3" borderId="8" xfId="0" applyNumberFormat="1" applyFont="1" applyFill="1" applyBorder="1" applyAlignment="1" applyProtection="1">
      <alignment horizontal="center" vertical="center"/>
      <protection hidden="1"/>
    </xf>
    <xf numFmtId="193" fontId="26" fillId="0" borderId="0" xfId="0" applyNumberFormat="1" applyFont="1" applyFill="1" applyBorder="1" applyAlignment="1" applyProtection="1">
      <alignment vertical="center"/>
      <protection hidden="1"/>
    </xf>
    <xf numFmtId="0" fontId="30" fillId="4" borderId="9" xfId="0" applyFont="1" applyFill="1" applyBorder="1" applyAlignment="1" applyProtection="1">
      <alignment horizontal="center" vertical="center"/>
      <protection hidden="1"/>
    </xf>
    <xf numFmtId="193" fontId="19" fillId="0" borderId="0" xfId="0" applyNumberFormat="1" applyFont="1" applyFill="1" applyBorder="1" applyAlignment="1" applyProtection="1">
      <alignment horizontal="right" vertical="center"/>
      <protection locked="0"/>
    </xf>
    <xf numFmtId="193" fontId="1" fillId="0" borderId="0" xfId="0" applyNumberFormat="1" applyFont="1" applyFill="1" applyBorder="1" applyAlignment="1" applyProtection="1">
      <alignment horizontal="right" vertical="center"/>
      <protection locked="0"/>
    </xf>
    <xf numFmtId="182" fontId="32" fillId="0" borderId="0" xfId="0" applyNumberFormat="1" applyFont="1" applyFill="1" applyBorder="1" applyAlignment="1" applyProtection="1">
      <alignment horizontal="right" vertical="center"/>
      <protection locked="0"/>
    </xf>
    <xf numFmtId="0" fontId="19" fillId="5" borderId="10" xfId="0" applyFont="1" applyFill="1" applyBorder="1" applyAlignment="1" applyProtection="1">
      <alignment horizontal="center"/>
      <protection hidden="1"/>
    </xf>
    <xf numFmtId="0" fontId="19" fillId="5" borderId="11" xfId="0" applyFont="1" applyFill="1" applyBorder="1" applyAlignment="1" applyProtection="1">
      <alignment horizontal="center" vertical="top" wrapText="1"/>
      <protection hidden="1"/>
    </xf>
    <xf numFmtId="0" fontId="37" fillId="5" borderId="12" xfId="0" applyFont="1" applyFill="1" applyBorder="1" applyAlignment="1" applyProtection="1">
      <alignment horizontal="center" vertical="center" wrapText="1"/>
      <protection hidden="1"/>
    </xf>
    <xf numFmtId="0" fontId="43" fillId="5" borderId="13" xfId="0" applyFont="1" applyFill="1" applyBorder="1" applyAlignment="1" applyProtection="1">
      <alignment horizontal="center" vertical="center" wrapText="1"/>
      <protection hidden="1"/>
    </xf>
    <xf numFmtId="0" fontId="37" fillId="5" borderId="14" xfId="0" applyFont="1" applyFill="1" applyBorder="1" applyAlignment="1" applyProtection="1">
      <alignment horizontal="center" vertical="center" shrinkToFit="1"/>
      <protection hidden="1"/>
    </xf>
    <xf numFmtId="0" fontId="37" fillId="5" borderId="13" xfId="0" applyFont="1" applyFill="1" applyBorder="1" applyAlignment="1" applyProtection="1">
      <alignment horizontal="center" vertical="center" shrinkToFit="1"/>
      <protection hidden="1"/>
    </xf>
    <xf numFmtId="0" fontId="41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Border="1" applyAlignment="1" applyProtection="1">
      <alignment horizontal="center" vertical="center" shrinkToFit="1"/>
      <protection hidden="1"/>
    </xf>
    <xf numFmtId="0" fontId="19" fillId="3" borderId="16" xfId="0" quotePrefix="1" applyFont="1" applyFill="1" applyBorder="1" applyAlignment="1" applyProtection="1">
      <alignment horizontal="right" vertical="center"/>
      <protection locked="0"/>
    </xf>
    <xf numFmtId="49" fontId="19" fillId="3" borderId="0" xfId="0" applyNumberFormat="1" applyFont="1" applyFill="1" applyBorder="1" applyAlignment="1" applyProtection="1">
      <alignment horizontal="right" vertical="center"/>
      <protection locked="0"/>
    </xf>
    <xf numFmtId="183" fontId="0" fillId="2" borderId="0" xfId="0" applyNumberFormat="1" applyFill="1"/>
    <xf numFmtId="0" fontId="24" fillId="3" borderId="8" xfId="0" applyNumberFormat="1" applyFont="1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horizontal="center" wrapText="1"/>
      <protection locked="0"/>
    </xf>
    <xf numFmtId="0" fontId="37" fillId="5" borderId="18" xfId="0" applyFont="1" applyFill="1" applyBorder="1" applyAlignment="1" applyProtection="1">
      <alignment horizontal="center" vertical="center" wrapText="1"/>
      <protection hidden="1"/>
    </xf>
    <xf numFmtId="0" fontId="37" fillId="5" borderId="17" xfId="0" applyFont="1" applyFill="1" applyBorder="1" applyAlignment="1" applyProtection="1">
      <alignment horizontal="center" vertical="center" shrinkToFit="1"/>
      <protection hidden="1"/>
    </xf>
    <xf numFmtId="0" fontId="24" fillId="2" borderId="0" xfId="0" applyNumberFormat="1" applyFont="1" applyFill="1" applyBorder="1" applyProtection="1">
      <protection locked="0"/>
    </xf>
    <xf numFmtId="0" fontId="24" fillId="2" borderId="0" xfId="0" applyNumberFormat="1" applyFont="1" applyFill="1" applyBorder="1" applyAlignment="1" applyProtection="1">
      <alignment wrapText="1"/>
      <protection locked="0"/>
    </xf>
    <xf numFmtId="0" fontId="19" fillId="2" borderId="0" xfId="0" applyFont="1" applyFill="1" applyBorder="1" applyAlignment="1" applyProtection="1">
      <alignment horizontal="center" wrapText="1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0" fillId="2" borderId="0" xfId="0" applyFill="1" applyBorder="1" applyProtection="1">
      <protection hidden="1"/>
    </xf>
    <xf numFmtId="182" fontId="24" fillId="2" borderId="0" xfId="0" applyNumberFormat="1" applyFont="1" applyFill="1" applyBorder="1" applyAlignment="1" applyProtection="1">
      <alignment horizontal="right"/>
      <protection hidden="1"/>
    </xf>
    <xf numFmtId="176" fontId="24" fillId="2" borderId="0" xfId="0" applyNumberFormat="1" applyFont="1" applyFill="1" applyBorder="1" applyAlignment="1" applyProtection="1">
      <alignment wrapText="1"/>
      <protection hidden="1"/>
    </xf>
    <xf numFmtId="185" fontId="24" fillId="2" borderId="0" xfId="0" applyNumberFormat="1" applyFont="1" applyFill="1" applyBorder="1" applyAlignment="1" applyProtection="1">
      <alignment horizontal="right"/>
      <protection hidden="1"/>
    </xf>
    <xf numFmtId="177" fontId="24" fillId="2" borderId="0" xfId="0" applyNumberFormat="1" applyFont="1" applyFill="1" applyBorder="1" applyProtection="1">
      <protection hidden="1"/>
    </xf>
    <xf numFmtId="182" fontId="19" fillId="2" borderId="0" xfId="0" applyNumberFormat="1" applyFont="1" applyFill="1" applyBorder="1" applyAlignment="1" applyProtection="1">
      <alignment horizontal="right" vertical="center"/>
      <protection locked="0"/>
    </xf>
    <xf numFmtId="0" fontId="47" fillId="2" borderId="0" xfId="0" applyFont="1" applyFill="1" applyBorder="1" applyAlignment="1" applyProtection="1">
      <alignment horizontal="center" vertical="center" shrinkToFit="1"/>
      <protection hidden="1"/>
    </xf>
    <xf numFmtId="0" fontId="52" fillId="7" borderId="0" xfId="0" applyFont="1" applyFill="1" applyProtection="1">
      <protection hidden="1"/>
    </xf>
    <xf numFmtId="0" fontId="0" fillId="3" borderId="7" xfId="0" applyFill="1" applyBorder="1" applyAlignment="1" applyProtection="1">
      <alignment horizontal="center" vertical="center"/>
      <protection hidden="1"/>
    </xf>
    <xf numFmtId="0" fontId="19" fillId="3" borderId="19" xfId="0" applyNumberFormat="1" applyFont="1" applyFill="1" applyBorder="1" applyAlignment="1" applyProtection="1">
      <alignment horizontal="center" wrapText="1"/>
      <protection locked="0"/>
    </xf>
    <xf numFmtId="194" fontId="0" fillId="2" borderId="0" xfId="0" applyNumberFormat="1" applyFill="1"/>
    <xf numFmtId="0" fontId="0" fillId="2" borderId="0" xfId="0" applyFill="1" applyProtection="1">
      <protection locked="0"/>
    </xf>
    <xf numFmtId="0" fontId="0" fillId="5" borderId="16" xfId="0" applyFill="1" applyBorder="1" applyAlignment="1">
      <alignment horizontal="center"/>
    </xf>
    <xf numFmtId="0" fontId="19" fillId="5" borderId="20" xfId="0" applyFont="1" applyFill="1" applyBorder="1" applyAlignment="1" applyProtection="1">
      <alignment horizontal="center" vertical="center" shrinkToFit="1"/>
      <protection hidden="1"/>
    </xf>
    <xf numFmtId="0" fontId="37" fillId="5" borderId="17" xfId="0" applyFont="1" applyFill="1" applyBorder="1" applyAlignment="1" applyProtection="1">
      <alignment horizontal="center"/>
      <protection hidden="1"/>
    </xf>
    <xf numFmtId="0" fontId="24" fillId="5" borderId="18" xfId="0" applyFont="1" applyFill="1" applyBorder="1" applyAlignment="1" applyProtection="1">
      <alignment horizontal="center"/>
      <protection hidden="1"/>
    </xf>
    <xf numFmtId="0" fontId="37" fillId="5" borderId="21" xfId="0" applyFont="1" applyFill="1" applyBorder="1" applyAlignment="1" applyProtection="1">
      <alignment horizontal="center" vertical="top"/>
      <protection hidden="1"/>
    </xf>
    <xf numFmtId="0" fontId="19" fillId="5" borderId="22" xfId="0" applyFont="1" applyFill="1" applyBorder="1" applyAlignment="1" applyProtection="1">
      <alignment horizontal="center" vertical="center" shrinkToFit="1"/>
      <protection hidden="1"/>
    </xf>
    <xf numFmtId="0" fontId="19" fillId="5" borderId="5" xfId="0" applyFont="1" applyFill="1" applyBorder="1" applyAlignment="1" applyProtection="1">
      <alignment horizontal="center" vertical="center" shrinkToFit="1"/>
      <protection hidden="1"/>
    </xf>
    <xf numFmtId="0" fontId="37" fillId="5" borderId="23" xfId="0" applyFont="1" applyFill="1" applyBorder="1" applyAlignment="1" applyProtection="1">
      <alignment horizontal="center"/>
      <protection hidden="1"/>
    </xf>
    <xf numFmtId="0" fontId="65" fillId="5" borderId="21" xfId="0" applyFont="1" applyFill="1" applyBorder="1" applyAlignment="1" applyProtection="1">
      <alignment horizontal="center" vertical="top"/>
      <protection hidden="1"/>
    </xf>
    <xf numFmtId="185" fontId="32" fillId="0" borderId="0" xfId="0" applyNumberFormat="1" applyFont="1" applyFill="1" applyBorder="1" applyAlignment="1" applyProtection="1">
      <alignment horizontal="right" vertical="center"/>
      <protection locked="0"/>
    </xf>
    <xf numFmtId="194" fontId="32" fillId="0" borderId="0" xfId="0" applyNumberFormat="1" applyFont="1" applyFill="1" applyBorder="1" applyAlignment="1" applyProtection="1">
      <alignment horizontal="right" vertical="center"/>
      <protection locked="0"/>
    </xf>
    <xf numFmtId="185" fontId="0" fillId="2" borderId="0" xfId="0" applyNumberFormat="1" applyFill="1"/>
    <xf numFmtId="183" fontId="24" fillId="3" borderId="24" xfId="0" applyNumberFormat="1" applyFont="1" applyFill="1" applyBorder="1" applyAlignment="1" applyProtection="1">
      <alignment horizontal="center" vertical="center"/>
      <protection locked="0"/>
    </xf>
    <xf numFmtId="0" fontId="56" fillId="3" borderId="6" xfId="0" applyFont="1" applyFill="1" applyBorder="1" applyAlignment="1" applyProtection="1">
      <alignment horizontal="center" vertical="center"/>
      <protection hidden="1"/>
    </xf>
    <xf numFmtId="0" fontId="47" fillId="3" borderId="7" xfId="0" applyFont="1" applyFill="1" applyBorder="1" applyAlignment="1" applyProtection="1">
      <alignment horizontal="center" vertical="center"/>
      <protection hidden="1"/>
    </xf>
    <xf numFmtId="0" fontId="47" fillId="3" borderId="17" xfId="0" applyFont="1" applyFill="1" applyBorder="1" applyAlignment="1" applyProtection="1">
      <alignment horizontal="center" vertical="center"/>
      <protection hidden="1"/>
    </xf>
    <xf numFmtId="0" fontId="47" fillId="3" borderId="2" xfId="0" applyFont="1" applyFill="1" applyBorder="1" applyAlignment="1" applyProtection="1">
      <alignment horizontal="center" vertical="center"/>
      <protection hidden="1"/>
    </xf>
    <xf numFmtId="0" fontId="47" fillId="3" borderId="25" xfId="0" applyFont="1" applyFill="1" applyBorder="1" applyAlignment="1" applyProtection="1">
      <alignment horizontal="center" vertical="center"/>
      <protection hidden="1"/>
    </xf>
    <xf numFmtId="184" fontId="19" fillId="0" borderId="0" xfId="0" applyNumberFormat="1" applyFont="1" applyFill="1" applyBorder="1" applyAlignment="1" applyProtection="1">
      <alignment horizontal="right" vertical="center"/>
      <protection locked="0"/>
    </xf>
    <xf numFmtId="184" fontId="33" fillId="0" borderId="0" xfId="0" applyNumberFormat="1" applyFont="1" applyFill="1" applyBorder="1" applyAlignment="1" applyProtection="1">
      <alignment horizontal="right" vertical="center"/>
      <protection locked="0"/>
    </xf>
    <xf numFmtId="0" fontId="37" fillId="5" borderId="5" xfId="0" applyFont="1" applyFill="1" applyBorder="1" applyAlignment="1" applyProtection="1">
      <alignment horizontal="center" shrinkToFit="1"/>
      <protection hidden="1"/>
    </xf>
    <xf numFmtId="0" fontId="37" fillId="5" borderId="26" xfId="0" applyFont="1" applyFill="1" applyBorder="1" applyAlignment="1" applyProtection="1">
      <alignment horizontal="center" vertical="center" shrinkToFit="1"/>
      <protection hidden="1"/>
    </xf>
    <xf numFmtId="185" fontId="19" fillId="3" borderId="27" xfId="0" applyNumberFormat="1" applyFont="1" applyFill="1" applyBorder="1" applyAlignment="1" applyProtection="1">
      <alignment horizontal="center" vertical="center" shrinkToFit="1"/>
      <protection locked="0"/>
    </xf>
    <xf numFmtId="193" fontId="67" fillId="0" borderId="0" xfId="0" applyNumberFormat="1" applyFont="1" applyFill="1" applyBorder="1" applyAlignment="1" applyProtection="1">
      <alignment horizontal="right" vertical="center"/>
      <protection locked="0"/>
    </xf>
    <xf numFmtId="194" fontId="19" fillId="3" borderId="6" xfId="0" applyNumberFormat="1" applyFont="1" applyFill="1" applyBorder="1" applyAlignment="1" applyProtection="1">
      <alignment horizontal="center" vertical="center" shrinkToFit="1"/>
      <protection locked="0"/>
    </xf>
    <xf numFmtId="182" fontId="37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43" fillId="5" borderId="5" xfId="0" applyFont="1" applyFill="1" applyBorder="1" applyAlignment="1" applyProtection="1">
      <alignment horizontal="center" vertical="center" shrinkToFit="1"/>
      <protection hidden="1"/>
    </xf>
    <xf numFmtId="0" fontId="43" fillId="5" borderId="26" xfId="0" applyFont="1" applyFill="1" applyBorder="1" applyAlignment="1" applyProtection="1">
      <alignment horizontal="center" vertical="center" shrinkToFit="1"/>
      <protection hidden="1"/>
    </xf>
    <xf numFmtId="0" fontId="43" fillId="5" borderId="5" xfId="0" applyFont="1" applyFill="1" applyBorder="1" applyAlignment="1" applyProtection="1">
      <alignment horizontal="left" vertical="center" shrinkToFit="1"/>
      <protection hidden="1"/>
    </xf>
    <xf numFmtId="0" fontId="43" fillId="5" borderId="26" xfId="0" applyFont="1" applyFill="1" applyBorder="1" applyAlignment="1" applyProtection="1">
      <alignment horizontal="left" vertical="center" shrinkToFit="1"/>
      <protection hidden="1"/>
    </xf>
    <xf numFmtId="0" fontId="43" fillId="7" borderId="8" xfId="0" applyFont="1" applyFill="1" applyBorder="1" applyAlignment="1" applyProtection="1">
      <alignment horizontal="left" vertical="center" shrinkToFit="1"/>
      <protection hidden="1"/>
    </xf>
    <xf numFmtId="0" fontId="37" fillId="5" borderId="21" xfId="0" applyFont="1" applyFill="1" applyBorder="1" applyAlignment="1" applyProtection="1">
      <alignment horizontal="center" vertical="center"/>
      <protection hidden="1"/>
    </xf>
    <xf numFmtId="0" fontId="37" fillId="5" borderId="29" xfId="0" applyFont="1" applyFill="1" applyBorder="1" applyAlignment="1" applyProtection="1">
      <alignment horizontal="center" vertical="center"/>
      <protection hidden="1"/>
    </xf>
    <xf numFmtId="0" fontId="26" fillId="5" borderId="6" xfId="0" applyFont="1" applyFill="1" applyBorder="1" applyAlignment="1" applyProtection="1">
      <alignment horizontal="center" vertical="center" wrapText="1"/>
      <protection hidden="1"/>
    </xf>
    <xf numFmtId="185" fontId="45" fillId="3" borderId="7" xfId="0" applyNumberFormat="1" applyFont="1" applyFill="1" applyBorder="1" applyAlignment="1" applyProtection="1">
      <alignment horizontal="right" vertical="center" shrinkToFit="1"/>
      <protection locked="0"/>
    </xf>
    <xf numFmtId="182" fontId="45" fillId="3" borderId="8" xfId="0" applyNumberFormat="1" applyFont="1" applyFill="1" applyBorder="1" applyAlignment="1" applyProtection="1">
      <alignment vertical="center"/>
      <protection locked="0"/>
    </xf>
    <xf numFmtId="194" fontId="45" fillId="3" borderId="30" xfId="0" applyNumberFormat="1" applyFont="1" applyFill="1" applyBorder="1" applyAlignment="1" applyProtection="1">
      <alignment horizontal="right" vertical="center" shrinkToFit="1"/>
      <protection locked="0"/>
    </xf>
    <xf numFmtId="0" fontId="60" fillId="3" borderId="5" xfId="0" applyNumberFormat="1" applyFont="1" applyFill="1" applyBorder="1" applyAlignment="1" applyProtection="1">
      <alignment vertical="center" wrapText="1"/>
      <protection locked="0"/>
    </xf>
    <xf numFmtId="182" fontId="45" fillId="3" borderId="8" xfId="0" applyNumberFormat="1" applyFont="1" applyFill="1" applyBorder="1" applyAlignment="1" applyProtection="1">
      <alignment horizontal="right" vertical="center"/>
      <protection locked="0"/>
    </xf>
    <xf numFmtId="176" fontId="19" fillId="3" borderId="31" xfId="0" applyNumberFormat="1" applyFont="1" applyFill="1" applyBorder="1" applyAlignment="1" applyProtection="1">
      <alignment horizontal="center" vertical="center" wrapText="1"/>
      <protection locked="0"/>
    </xf>
    <xf numFmtId="185" fontId="45" fillId="3" borderId="26" xfId="0" applyNumberFormat="1" applyFont="1" applyFill="1" applyBorder="1" applyAlignment="1" applyProtection="1">
      <alignment horizontal="right" vertical="center" shrinkToFit="1"/>
      <protection locked="0"/>
    </xf>
    <xf numFmtId="182" fontId="45" fillId="3" borderId="26" xfId="0" applyNumberFormat="1" applyFont="1" applyFill="1" applyBorder="1" applyAlignment="1" applyProtection="1">
      <alignment vertical="center"/>
      <protection locked="0"/>
    </xf>
    <xf numFmtId="194" fontId="45" fillId="3" borderId="26" xfId="0" applyNumberFormat="1" applyFont="1" applyFill="1" applyBorder="1" applyAlignment="1" applyProtection="1">
      <alignment horizontal="right" vertical="center" shrinkToFit="1"/>
      <protection locked="0"/>
    </xf>
    <xf numFmtId="49" fontId="19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60" fillId="3" borderId="26" xfId="0" applyNumberFormat="1" applyFont="1" applyFill="1" applyBorder="1" applyAlignment="1" applyProtection="1">
      <alignment vertical="center" wrapText="1"/>
      <protection locked="0"/>
    </xf>
    <xf numFmtId="182" fontId="45" fillId="3" borderId="26" xfId="0" applyNumberFormat="1" applyFont="1" applyFill="1" applyBorder="1" applyAlignment="1" applyProtection="1">
      <alignment horizontal="right" vertical="center"/>
      <protection locked="0"/>
    </xf>
    <xf numFmtId="183" fontId="24" fillId="3" borderId="32" xfId="0" applyNumberFormat="1" applyFont="1" applyFill="1" applyBorder="1" applyAlignment="1" applyProtection="1">
      <alignment horizontal="center" vertical="center"/>
      <protection locked="0"/>
    </xf>
    <xf numFmtId="194" fontId="46" fillId="5" borderId="27" xfId="0" applyNumberFormat="1" applyFont="1" applyFill="1" applyBorder="1" applyAlignment="1" applyProtection="1">
      <alignment horizontal="center" vertical="center" shrinkToFit="1"/>
      <protection hidden="1"/>
    </xf>
    <xf numFmtId="194" fontId="46" fillId="5" borderId="21" xfId="0" applyNumberFormat="1" applyFont="1" applyFill="1" applyBorder="1" applyAlignment="1" applyProtection="1">
      <alignment horizontal="center" vertical="center" shrinkToFit="1"/>
      <protection hidden="1"/>
    </xf>
    <xf numFmtId="194" fontId="27" fillId="5" borderId="33" xfId="0" applyNumberFormat="1" applyFont="1" applyFill="1" applyBorder="1" applyAlignment="1" applyProtection="1">
      <alignment horizontal="center" vertical="center" shrinkToFit="1"/>
      <protection hidden="1"/>
    </xf>
    <xf numFmtId="194" fontId="27" fillId="5" borderId="29" xfId="0" applyNumberFormat="1" applyFont="1" applyFill="1" applyBorder="1" applyAlignment="1" applyProtection="1">
      <alignment horizontal="center" vertical="center" shrinkToFit="1"/>
      <protection hidden="1"/>
    </xf>
    <xf numFmtId="185" fontId="0" fillId="2" borderId="0" xfId="0" applyNumberFormat="1" applyFill="1" applyProtection="1">
      <protection hidden="1"/>
    </xf>
    <xf numFmtId="194" fontId="34" fillId="2" borderId="0" xfId="0" applyNumberFormat="1" applyFont="1" applyFill="1"/>
    <xf numFmtId="203" fontId="27" fillId="5" borderId="0" xfId="0" applyNumberFormat="1" applyFont="1" applyFill="1" applyAlignment="1" applyProtection="1">
      <alignment horizontal="right" vertical="center" shrinkToFit="1"/>
      <protection hidden="1"/>
    </xf>
    <xf numFmtId="185" fontId="69" fillId="5" borderId="27" xfId="0" applyNumberFormat="1" applyFont="1" applyFill="1" applyBorder="1" applyAlignment="1" applyProtection="1">
      <alignment horizontal="center" vertical="center"/>
      <protection hidden="1"/>
    </xf>
    <xf numFmtId="184" fontId="27" fillId="5" borderId="34" xfId="0" applyNumberFormat="1" applyFont="1" applyFill="1" applyBorder="1" applyAlignment="1" applyProtection="1">
      <alignment horizontal="right" vertical="center" shrinkToFit="1"/>
      <protection hidden="1"/>
    </xf>
    <xf numFmtId="185" fontId="69" fillId="5" borderId="26" xfId="0" applyNumberFormat="1" applyFont="1" applyFill="1" applyBorder="1" applyAlignment="1" applyProtection="1">
      <alignment horizontal="center" vertical="center"/>
      <protection hidden="1"/>
    </xf>
    <xf numFmtId="185" fontId="69" fillId="5" borderId="35" xfId="0" applyNumberFormat="1" applyFont="1" applyFill="1" applyBorder="1" applyAlignment="1" applyProtection="1">
      <alignment horizontal="center" vertical="center"/>
      <protection hidden="1"/>
    </xf>
    <xf numFmtId="184" fontId="27" fillId="5" borderId="31" xfId="0" applyNumberFormat="1" applyFont="1" applyFill="1" applyBorder="1" applyAlignment="1" applyProtection="1">
      <alignment horizontal="right" vertical="center" shrinkToFit="1"/>
      <protection hidden="1"/>
    </xf>
    <xf numFmtId="204" fontId="71" fillId="2" borderId="0" xfId="0" applyNumberFormat="1" applyFont="1" applyFill="1" applyAlignment="1" applyProtection="1">
      <alignment horizontal="right" shrinkToFit="1"/>
      <protection hidden="1"/>
    </xf>
    <xf numFmtId="0" fontId="37" fillId="3" borderId="36" xfId="0" applyFont="1" applyFill="1" applyBorder="1" applyAlignment="1" applyProtection="1">
      <alignment horizontal="left" vertical="center" wrapText="1"/>
      <protection locked="0"/>
    </xf>
    <xf numFmtId="0" fontId="37" fillId="3" borderId="37" xfId="0" applyFont="1" applyFill="1" applyBorder="1" applyAlignment="1" applyProtection="1">
      <alignment horizontal="left" vertical="center" wrapText="1"/>
      <protection locked="0"/>
    </xf>
    <xf numFmtId="204" fontId="0" fillId="2" borderId="0" xfId="0" applyNumberFormat="1" applyFill="1"/>
    <xf numFmtId="194" fontId="27" fillId="5" borderId="38" xfId="0" applyNumberFormat="1" applyFont="1" applyFill="1" applyBorder="1" applyAlignment="1" applyProtection="1">
      <alignment horizontal="center" vertical="center"/>
      <protection hidden="1"/>
    </xf>
    <xf numFmtId="194" fontId="27" fillId="5" borderId="39" xfId="0" applyNumberFormat="1" applyFont="1" applyFill="1" applyBorder="1" applyAlignment="1" applyProtection="1">
      <alignment horizontal="center" vertical="center"/>
      <protection hidden="1"/>
    </xf>
    <xf numFmtId="194" fontId="27" fillId="5" borderId="34" xfId="0" applyNumberFormat="1" applyFont="1" applyFill="1" applyBorder="1" applyAlignment="1" applyProtection="1">
      <alignment horizontal="center" vertical="center"/>
      <protection hidden="1"/>
    </xf>
    <xf numFmtId="194" fontId="27" fillId="5" borderId="31" xfId="0" applyNumberFormat="1" applyFont="1" applyFill="1" applyBorder="1" applyAlignment="1" applyProtection="1">
      <alignment horizontal="center" vertical="center"/>
      <protection hidden="1"/>
    </xf>
    <xf numFmtId="185" fontId="24" fillId="2" borderId="0" xfId="0" applyNumberFormat="1" applyFont="1" applyFill="1" applyBorder="1" applyProtection="1">
      <protection hidden="1"/>
    </xf>
    <xf numFmtId="185" fontId="0" fillId="2" borderId="0" xfId="0" applyNumberFormat="1" applyFill="1" applyBorder="1" applyProtection="1">
      <protection hidden="1"/>
    </xf>
    <xf numFmtId="0" fontId="74" fillId="2" borderId="0" xfId="0" applyFont="1" applyFill="1"/>
    <xf numFmtId="0" fontId="70" fillId="2" borderId="0" xfId="0" applyFont="1" applyFill="1"/>
    <xf numFmtId="194" fontId="46" fillId="5" borderId="32" xfId="0" applyNumberFormat="1" applyFont="1" applyFill="1" applyBorder="1" applyAlignment="1" applyProtection="1">
      <alignment horizontal="center" vertical="center"/>
      <protection hidden="1"/>
    </xf>
    <xf numFmtId="199" fontId="27" fillId="5" borderId="26" xfId="0" applyNumberFormat="1" applyFont="1" applyFill="1" applyBorder="1" applyAlignment="1" applyProtection="1">
      <alignment horizontal="right" vertical="center" shrinkToFit="1"/>
      <protection hidden="1"/>
    </xf>
    <xf numFmtId="199" fontId="27" fillId="5" borderId="28" xfId="0" applyNumberFormat="1" applyFont="1" applyFill="1" applyBorder="1" applyAlignment="1" applyProtection="1">
      <alignment horizontal="right" vertical="center" shrinkToFit="1"/>
      <protection hidden="1"/>
    </xf>
    <xf numFmtId="185" fontId="27" fillId="5" borderId="43" xfId="0" applyNumberFormat="1" applyFont="1" applyFill="1" applyBorder="1" applyAlignment="1" applyProtection="1">
      <alignment vertical="center" shrinkToFit="1"/>
      <protection hidden="1"/>
    </xf>
    <xf numFmtId="185" fontId="27" fillId="5" borderId="44" xfId="0" applyNumberFormat="1" applyFont="1" applyFill="1" applyBorder="1" applyAlignment="1" applyProtection="1">
      <alignment vertical="center" shrinkToFit="1"/>
      <protection hidden="1"/>
    </xf>
    <xf numFmtId="185" fontId="27" fillId="5" borderId="26" xfId="0" applyNumberFormat="1" applyFont="1" applyFill="1" applyBorder="1" applyAlignment="1" applyProtection="1">
      <alignment vertical="center" shrinkToFit="1"/>
      <protection hidden="1"/>
    </xf>
    <xf numFmtId="194" fontId="69" fillId="5" borderId="27" xfId="0" applyNumberFormat="1" applyFont="1" applyFill="1" applyBorder="1" applyAlignment="1" applyProtection="1">
      <alignment horizontal="center" vertical="center"/>
      <protection hidden="1"/>
    </xf>
    <xf numFmtId="194" fontId="69" fillId="5" borderId="26" xfId="0" applyNumberFormat="1" applyFont="1" applyFill="1" applyBorder="1" applyAlignment="1" applyProtection="1">
      <alignment horizontal="center" vertical="center"/>
      <protection hidden="1"/>
    </xf>
    <xf numFmtId="186" fontId="0" fillId="2" borderId="0" xfId="0" applyNumberFormat="1" applyFill="1" applyAlignment="1">
      <alignment shrinkToFit="1"/>
    </xf>
    <xf numFmtId="194" fontId="46" fillId="5" borderId="24" xfId="0" applyNumberFormat="1" applyFont="1" applyFill="1" applyBorder="1" applyAlignment="1" applyProtection="1">
      <alignment horizontal="center" vertical="center"/>
      <protection hidden="1"/>
    </xf>
    <xf numFmtId="183" fontId="70" fillId="2" borderId="0" xfId="0" applyNumberFormat="1" applyFont="1" applyFill="1"/>
    <xf numFmtId="0" fontId="19" fillId="5" borderId="45" xfId="0" applyFont="1" applyFill="1" applyBorder="1" applyAlignment="1" applyProtection="1">
      <alignment horizontal="center" vertical="center"/>
      <protection hidden="1"/>
    </xf>
    <xf numFmtId="0" fontId="1" fillId="5" borderId="11" xfId="0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0" fontId="24" fillId="5" borderId="5" xfId="0" applyFont="1" applyFill="1" applyBorder="1" applyAlignment="1" applyProtection="1">
      <alignment horizontal="center" vertical="center"/>
      <protection hidden="1"/>
    </xf>
    <xf numFmtId="0" fontId="24" fillId="5" borderId="5" xfId="0" applyFont="1" applyFill="1" applyBorder="1" applyAlignment="1" applyProtection="1">
      <alignment horizontal="center"/>
      <protection hidden="1"/>
    </xf>
    <xf numFmtId="0" fontId="37" fillId="5" borderId="5" xfId="0" applyFont="1" applyFill="1" applyBorder="1" applyAlignment="1" applyProtection="1">
      <alignment horizontal="center" vertical="center" shrinkToFit="1"/>
      <protection hidden="1"/>
    </xf>
    <xf numFmtId="0" fontId="19" fillId="5" borderId="45" xfId="0" applyFont="1" applyFill="1" applyBorder="1" applyAlignment="1" applyProtection="1">
      <alignment horizontal="center" vertical="center" shrinkToFit="1"/>
      <protection hidden="1"/>
    </xf>
    <xf numFmtId="191" fontId="57" fillId="5" borderId="6" xfId="0" applyNumberFormat="1" applyFont="1" applyFill="1" applyBorder="1" applyAlignment="1" applyProtection="1">
      <alignment horizontal="center"/>
      <protection hidden="1"/>
    </xf>
    <xf numFmtId="0" fontId="24" fillId="5" borderId="43" xfId="0" applyFont="1" applyFill="1" applyBorder="1" applyAlignment="1" applyProtection="1">
      <alignment horizontal="center" vertical="center"/>
      <protection hidden="1"/>
    </xf>
    <xf numFmtId="0" fontId="24" fillId="5" borderId="5" xfId="0" applyFont="1" applyFill="1" applyBorder="1" applyAlignment="1" applyProtection="1">
      <alignment horizontal="center" shrinkToFit="1"/>
      <protection hidden="1"/>
    </xf>
    <xf numFmtId="191" fontId="57" fillId="5" borderId="2" xfId="0" applyNumberFormat="1" applyFont="1" applyFill="1" applyBorder="1" applyAlignment="1" applyProtection="1">
      <alignment horizontal="center"/>
      <protection hidden="1"/>
    </xf>
    <xf numFmtId="0" fontId="19" fillId="5" borderId="12" xfId="0" applyFont="1" applyFill="1" applyBorder="1" applyAlignment="1" applyProtection="1">
      <alignment horizontal="center" vertical="center"/>
      <protection hidden="1"/>
    </xf>
    <xf numFmtId="0" fontId="43" fillId="5" borderId="46" xfId="0" applyFont="1" applyFill="1" applyBorder="1" applyAlignment="1" applyProtection="1">
      <alignment horizontal="center" vertical="center"/>
      <protection hidden="1"/>
    </xf>
    <xf numFmtId="0" fontId="37" fillId="5" borderId="46" xfId="0" applyFont="1" applyFill="1" applyBorder="1" applyAlignment="1" applyProtection="1">
      <alignment horizontal="center" vertical="center"/>
      <protection hidden="1"/>
    </xf>
    <xf numFmtId="0" fontId="44" fillId="5" borderId="46" xfId="0" applyFont="1" applyFill="1" applyBorder="1" applyAlignment="1" applyProtection="1">
      <alignment horizontal="center" vertical="center"/>
      <protection hidden="1"/>
    </xf>
    <xf numFmtId="0" fontId="37" fillId="5" borderId="29" xfId="0" applyFont="1" applyFill="1" applyBorder="1" applyAlignment="1" applyProtection="1">
      <alignment horizontal="center" vertical="center" shrinkToFit="1"/>
      <protection hidden="1"/>
    </xf>
    <xf numFmtId="0" fontId="37" fillId="5" borderId="12" xfId="0" applyFont="1" applyFill="1" applyBorder="1" applyAlignment="1" applyProtection="1">
      <alignment horizontal="center" vertical="center"/>
      <protection hidden="1"/>
    </xf>
    <xf numFmtId="0" fontId="37" fillId="5" borderId="47" xfId="0" applyFont="1" applyFill="1" applyBorder="1" applyAlignment="1" applyProtection="1">
      <alignment horizontal="center" vertical="center" shrinkToFit="1"/>
      <protection hidden="1"/>
    </xf>
    <xf numFmtId="0" fontId="37" fillId="5" borderId="48" xfId="0" applyFont="1" applyFill="1" applyBorder="1" applyAlignment="1" applyProtection="1">
      <alignment horizontal="center" vertical="center"/>
      <protection hidden="1"/>
    </xf>
    <xf numFmtId="0" fontId="37" fillId="5" borderId="14" xfId="0" applyFont="1" applyFill="1" applyBorder="1" applyAlignment="1" applyProtection="1">
      <alignment horizontal="center" vertical="center"/>
      <protection hidden="1"/>
    </xf>
    <xf numFmtId="0" fontId="70" fillId="2" borderId="0" xfId="0" applyFont="1" applyFill="1" applyProtection="1">
      <protection hidden="1"/>
    </xf>
    <xf numFmtId="194" fontId="70" fillId="2" borderId="0" xfId="0" applyNumberFormat="1" applyFont="1" applyFill="1" applyProtection="1">
      <protection hidden="1"/>
    </xf>
    <xf numFmtId="0" fontId="71" fillId="2" borderId="0" xfId="0" applyNumberFormat="1" applyFont="1" applyFill="1" applyBorder="1" applyProtection="1">
      <protection hidden="1"/>
    </xf>
    <xf numFmtId="0" fontId="71" fillId="2" borderId="0" xfId="0" applyNumberFormat="1" applyFont="1" applyFill="1" applyProtection="1">
      <protection hidden="1"/>
    </xf>
    <xf numFmtId="0" fontId="71" fillId="2" borderId="0" xfId="0" applyFont="1" applyFill="1" applyProtection="1">
      <protection hidden="1"/>
    </xf>
    <xf numFmtId="186" fontId="71" fillId="2" borderId="0" xfId="0" applyNumberFormat="1" applyFont="1" applyFill="1" applyAlignment="1" applyProtection="1">
      <alignment shrinkToFit="1"/>
      <protection hidden="1"/>
    </xf>
    <xf numFmtId="185" fontId="71" fillId="2" borderId="0" xfId="0" applyNumberFormat="1" applyFont="1" applyFill="1" applyProtection="1">
      <protection hidden="1"/>
    </xf>
    <xf numFmtId="185" fontId="70" fillId="2" borderId="0" xfId="0" applyNumberFormat="1" applyFont="1" applyFill="1" applyAlignment="1" applyProtection="1">
      <alignment shrinkToFit="1"/>
      <protection hidden="1"/>
    </xf>
    <xf numFmtId="186" fontId="70" fillId="2" borderId="0" xfId="0" applyNumberFormat="1" applyFont="1" applyFill="1" applyAlignment="1" applyProtection="1">
      <alignment shrinkToFit="1"/>
      <protection hidden="1"/>
    </xf>
    <xf numFmtId="176" fontId="70" fillId="2" borderId="0" xfId="0" applyNumberFormat="1" applyFont="1" applyFill="1" applyAlignment="1" applyProtection="1">
      <alignment shrinkToFit="1"/>
      <protection hidden="1"/>
    </xf>
    <xf numFmtId="194" fontId="71" fillId="2" borderId="0" xfId="0" applyNumberFormat="1" applyFont="1" applyFill="1" applyBorder="1" applyAlignment="1" applyProtection="1">
      <alignment horizontal="center" vertical="center" shrinkToFit="1"/>
      <protection hidden="1"/>
    </xf>
    <xf numFmtId="49" fontId="71" fillId="2" borderId="0" xfId="0" applyNumberFormat="1" applyFont="1" applyFill="1" applyProtection="1">
      <protection hidden="1"/>
    </xf>
    <xf numFmtId="194" fontId="71" fillId="2" borderId="0" xfId="0" applyNumberFormat="1" applyFont="1" applyFill="1" applyProtection="1">
      <protection hidden="1"/>
    </xf>
    <xf numFmtId="0" fontId="70" fillId="2" borderId="0" xfId="0" applyNumberFormat="1" applyFont="1" applyFill="1" applyProtection="1">
      <protection hidden="1"/>
    </xf>
    <xf numFmtId="176" fontId="70" fillId="2" borderId="0" xfId="0" applyNumberFormat="1" applyFont="1" applyFill="1" applyProtection="1">
      <protection hidden="1"/>
    </xf>
    <xf numFmtId="0" fontId="0" fillId="7" borderId="8" xfId="0" applyFill="1" applyBorder="1" applyAlignment="1" applyProtection="1">
      <alignment horizontal="center" vertical="center" shrinkToFit="1"/>
      <protection hidden="1"/>
    </xf>
    <xf numFmtId="191" fontId="18" fillId="5" borderId="2" xfId="0" applyNumberFormat="1" applyFont="1" applyFill="1" applyBorder="1" applyAlignment="1" applyProtection="1">
      <alignment horizontal="center"/>
      <protection hidden="1"/>
    </xf>
    <xf numFmtId="49" fontId="24" fillId="5" borderId="50" xfId="0" applyNumberFormat="1" applyFont="1" applyFill="1" applyBorder="1" applyAlignment="1" applyProtection="1">
      <alignment vertical="top"/>
      <protection locked="0"/>
    </xf>
    <xf numFmtId="0" fontId="45" fillId="5" borderId="72" xfId="0" applyFont="1" applyFill="1" applyBorder="1" applyAlignment="1" applyProtection="1">
      <alignment horizontal="center" vertical="center" wrapText="1"/>
      <protection hidden="1"/>
    </xf>
    <xf numFmtId="0" fontId="45" fillId="5" borderId="73" xfId="0" applyFont="1" applyFill="1" applyBorder="1" applyAlignment="1" applyProtection="1">
      <alignment horizontal="center" vertical="center" wrapText="1"/>
      <protection hidden="1"/>
    </xf>
    <xf numFmtId="0" fontId="1" fillId="5" borderId="64" xfId="0" applyFont="1" applyFill="1" applyBorder="1" applyAlignment="1" applyProtection="1">
      <alignment horizontal="center" vertical="center" wrapText="1"/>
      <protection hidden="1"/>
    </xf>
    <xf numFmtId="0" fontId="1" fillId="5" borderId="68" xfId="0" applyFont="1" applyFill="1" applyBorder="1" applyAlignment="1" applyProtection="1">
      <alignment horizontal="center" vertical="center" wrapText="1"/>
      <protection hidden="1"/>
    </xf>
    <xf numFmtId="0" fontId="34" fillId="0" borderId="5" xfId="0" applyFont="1" applyFill="1" applyBorder="1" applyAlignment="1" applyProtection="1">
      <alignment horizontal="center" vertical="center" wrapText="1"/>
      <protection hidden="1"/>
    </xf>
    <xf numFmtId="0" fontId="34" fillId="0" borderId="6" xfId="0" applyFont="1" applyFill="1" applyBorder="1" applyAlignment="1" applyProtection="1">
      <alignment horizontal="center" vertical="center" wrapText="1"/>
      <protection hidden="1"/>
    </xf>
    <xf numFmtId="0" fontId="19" fillId="5" borderId="5" xfId="0" applyFont="1" applyFill="1" applyBorder="1" applyAlignment="1" applyProtection="1">
      <alignment horizontal="center" vertical="center" wrapText="1"/>
      <protection hidden="1"/>
    </xf>
    <xf numFmtId="0" fontId="19" fillId="5" borderId="6" xfId="0" applyFont="1" applyFill="1" applyBorder="1" applyAlignment="1" applyProtection="1">
      <alignment horizontal="center" vertical="center" wrapText="1"/>
      <protection hidden="1"/>
    </xf>
    <xf numFmtId="0" fontId="19" fillId="5" borderId="21" xfId="0" applyFont="1" applyFill="1" applyBorder="1" applyAlignment="1" applyProtection="1">
      <alignment horizontal="center" vertical="center" wrapText="1"/>
      <protection hidden="1"/>
    </xf>
    <xf numFmtId="0" fontId="43" fillId="0" borderId="5" xfId="0" applyFont="1" applyFill="1" applyBorder="1" applyAlignment="1" applyProtection="1">
      <alignment horizontal="center" vertical="center" wrapText="1"/>
      <protection hidden="1"/>
    </xf>
    <xf numFmtId="0" fontId="43" fillId="0" borderId="6" xfId="0" applyFont="1" applyFill="1" applyBorder="1" applyAlignment="1" applyProtection="1">
      <alignment horizontal="center" vertical="center" wrapText="1"/>
      <protection hidden="1"/>
    </xf>
    <xf numFmtId="0" fontId="43" fillId="0" borderId="21" xfId="0" applyFont="1" applyFill="1" applyBorder="1" applyAlignment="1" applyProtection="1">
      <alignment horizontal="center" vertical="center" wrapText="1"/>
      <protection hidden="1"/>
    </xf>
    <xf numFmtId="0" fontId="34" fillId="5" borderId="5" xfId="0" applyFont="1" applyFill="1" applyBorder="1" applyAlignment="1" applyProtection="1">
      <alignment horizontal="center" vertical="center" wrapText="1"/>
      <protection hidden="1"/>
    </xf>
    <xf numFmtId="0" fontId="34" fillId="5" borderId="6" xfId="0" applyFont="1" applyFill="1" applyBorder="1" applyAlignment="1" applyProtection="1">
      <alignment horizontal="center" vertical="center" wrapText="1"/>
      <protection hidden="1"/>
    </xf>
    <xf numFmtId="0" fontId="34" fillId="5" borderId="21" xfId="0" applyFont="1" applyFill="1" applyBorder="1" applyAlignment="1" applyProtection="1">
      <alignment horizontal="center" vertical="center" wrapText="1"/>
      <protection hidden="1"/>
    </xf>
    <xf numFmtId="0" fontId="57" fillId="5" borderId="63" xfId="0" applyFont="1" applyFill="1" applyBorder="1" applyAlignment="1" applyProtection="1">
      <alignment horizontal="center" vertical="center"/>
      <protection hidden="1"/>
    </xf>
    <xf numFmtId="0" fontId="57" fillId="5" borderId="64" xfId="0" applyFont="1" applyFill="1" applyBorder="1" applyAlignment="1" applyProtection="1">
      <alignment horizontal="center" vertical="center"/>
      <protection hidden="1"/>
    </xf>
    <xf numFmtId="0" fontId="57" fillId="5" borderId="3" xfId="0" applyFont="1" applyFill="1" applyBorder="1" applyAlignment="1" applyProtection="1">
      <alignment horizontal="center" vertical="center"/>
      <protection hidden="1"/>
    </xf>
    <xf numFmtId="0" fontId="95" fillId="5" borderId="60" xfId="0" applyNumberFormat="1" applyFont="1" applyFill="1" applyBorder="1" applyAlignment="1" applyProtection="1">
      <alignment horizontal="center" vertical="center" wrapText="1" shrinkToFit="1"/>
      <protection locked="0"/>
    </xf>
    <xf numFmtId="0" fontId="95" fillId="5" borderId="61" xfId="0" applyNumberFormat="1" applyFont="1" applyFill="1" applyBorder="1" applyAlignment="1" applyProtection="1">
      <alignment horizontal="center" vertical="center" wrapText="1" shrinkToFit="1"/>
      <protection locked="0"/>
    </xf>
    <xf numFmtId="0" fontId="37" fillId="5" borderId="20" xfId="0" applyFont="1" applyFill="1" applyBorder="1" applyAlignment="1" applyProtection="1">
      <alignment horizontal="center" vertical="center"/>
      <protection hidden="1"/>
    </xf>
    <xf numFmtId="0" fontId="0" fillId="5" borderId="29" xfId="0" applyFill="1" applyBorder="1" applyAlignment="1" applyProtection="1">
      <alignment horizontal="center" vertical="center"/>
      <protection hidden="1"/>
    </xf>
    <xf numFmtId="0" fontId="37" fillId="5" borderId="5" xfId="0" applyFont="1" applyFill="1" applyBorder="1" applyAlignment="1" applyProtection="1">
      <alignment horizontal="center" vertical="center"/>
      <protection hidden="1"/>
    </xf>
    <xf numFmtId="0" fontId="0" fillId="5" borderId="21" xfId="0" applyFill="1" applyBorder="1" applyAlignment="1" applyProtection="1">
      <alignment horizontal="center" vertical="center"/>
      <protection hidden="1"/>
    </xf>
    <xf numFmtId="185" fontId="40" fillId="5" borderId="27" xfId="0" applyNumberFormat="1" applyFont="1" applyFill="1" applyBorder="1" applyAlignment="1" applyProtection="1">
      <alignment horizontal="center" vertical="center"/>
      <protection hidden="1"/>
    </xf>
    <xf numFmtId="185" fontId="40" fillId="5" borderId="7" xfId="0" applyNumberFormat="1" applyFont="1" applyFill="1" applyBorder="1" applyAlignment="1" applyProtection="1">
      <alignment horizontal="center" vertical="center"/>
      <protection hidden="1"/>
    </xf>
    <xf numFmtId="185" fontId="19" fillId="3" borderId="33" xfId="0" applyNumberFormat="1" applyFont="1" applyFill="1" applyBorder="1" applyAlignment="1" applyProtection="1">
      <alignment horizontal="center" vertical="center" shrinkToFit="1"/>
      <protection locked="0"/>
    </xf>
    <xf numFmtId="185" fontId="19" fillId="3" borderId="29" xfId="0" applyNumberFormat="1" applyFont="1" applyFill="1" applyBorder="1" applyAlignment="1" applyProtection="1">
      <alignment horizontal="center" vertical="center" shrinkToFit="1"/>
      <protection locked="0"/>
    </xf>
    <xf numFmtId="196" fontId="27" fillId="5" borderId="27" xfId="0" applyNumberFormat="1" applyFont="1" applyFill="1" applyBorder="1" applyAlignment="1" applyProtection="1">
      <alignment horizontal="center" vertical="center" shrinkToFit="1"/>
      <protection hidden="1"/>
    </xf>
    <xf numFmtId="196" fontId="27" fillId="5" borderId="7" xfId="0" applyNumberFormat="1" applyFont="1" applyFill="1" applyBorder="1" applyAlignment="1" applyProtection="1">
      <alignment horizontal="center" vertical="center" shrinkToFit="1"/>
      <protection hidden="1"/>
    </xf>
    <xf numFmtId="194" fontId="46" fillId="5" borderId="27" xfId="0" applyNumberFormat="1" applyFont="1" applyFill="1" applyBorder="1" applyAlignment="1" applyProtection="1">
      <alignment horizontal="center" vertical="center"/>
      <protection hidden="1"/>
    </xf>
    <xf numFmtId="194" fontId="46" fillId="5" borderId="7" xfId="0" applyNumberFormat="1" applyFont="1" applyFill="1" applyBorder="1" applyAlignment="1" applyProtection="1">
      <alignment horizontal="center" vertical="center"/>
      <protection hidden="1"/>
    </xf>
    <xf numFmtId="0" fontId="1" fillId="5" borderId="78" xfId="0" applyFont="1" applyFill="1" applyBorder="1" applyAlignment="1" applyProtection="1">
      <alignment horizontal="center" vertical="center" wrapText="1"/>
      <protection hidden="1"/>
    </xf>
    <xf numFmtId="0" fontId="1" fillId="5" borderId="79" xfId="0" applyFont="1" applyFill="1" applyBorder="1" applyAlignment="1" applyProtection="1">
      <alignment horizontal="center" vertical="center" wrapText="1"/>
      <protection hidden="1"/>
    </xf>
    <xf numFmtId="0" fontId="1" fillId="5" borderId="80" xfId="0" applyFont="1" applyFill="1" applyBorder="1" applyAlignment="1" applyProtection="1">
      <alignment horizontal="center" vertical="center" wrapText="1"/>
      <protection hidden="1"/>
    </xf>
    <xf numFmtId="0" fontId="1" fillId="5" borderId="81" xfId="0" applyFont="1" applyFill="1" applyBorder="1" applyAlignment="1" applyProtection="1">
      <alignment horizontal="center" vertical="center" wrapText="1"/>
      <protection hidden="1"/>
    </xf>
    <xf numFmtId="0" fontId="1" fillId="5" borderId="6" xfId="0" applyFont="1" applyFill="1" applyBorder="1" applyAlignment="1" applyProtection="1">
      <alignment horizontal="center" vertical="center" wrapText="1"/>
      <protection hidden="1"/>
    </xf>
    <xf numFmtId="0" fontId="1" fillId="5" borderId="21" xfId="0" applyFont="1" applyFill="1" applyBorder="1" applyAlignment="1" applyProtection="1">
      <alignment horizontal="center" vertical="center" wrapText="1"/>
      <protection hidden="1"/>
    </xf>
    <xf numFmtId="0" fontId="1" fillId="0" borderId="82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83" xfId="0" applyFont="1" applyFill="1" applyBorder="1" applyAlignment="1" applyProtection="1">
      <alignment horizontal="center" vertical="center"/>
      <protection hidden="1"/>
    </xf>
    <xf numFmtId="0" fontId="1" fillId="0" borderId="11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46" fillId="5" borderId="40" xfId="0" applyNumberFormat="1" applyFont="1" applyFill="1" applyBorder="1" applyAlignment="1" applyProtection="1">
      <alignment horizontal="center" vertical="center"/>
      <protection hidden="1"/>
    </xf>
    <xf numFmtId="0" fontId="46" fillId="5" borderId="9" xfId="0" applyNumberFormat="1" applyFont="1" applyFill="1" applyBorder="1" applyAlignment="1" applyProtection="1">
      <alignment horizontal="center" vertical="center"/>
      <protection hidden="1"/>
    </xf>
    <xf numFmtId="0" fontId="46" fillId="5" borderId="38" xfId="0" applyNumberFormat="1" applyFont="1" applyFill="1" applyBorder="1" applyAlignment="1" applyProtection="1">
      <alignment horizontal="center" vertical="center"/>
      <protection hidden="1"/>
    </xf>
    <xf numFmtId="0" fontId="46" fillId="5" borderId="25" xfId="0" applyNumberFormat="1" applyFont="1" applyFill="1" applyBorder="1" applyAlignment="1" applyProtection="1">
      <alignment horizontal="center" vertical="center"/>
      <protection hidden="1"/>
    </xf>
    <xf numFmtId="0" fontId="34" fillId="5" borderId="0" xfId="0" applyFont="1" applyFill="1" applyBorder="1" applyAlignment="1" applyProtection="1">
      <alignment horizontal="center"/>
      <protection hidden="1"/>
    </xf>
    <xf numFmtId="0" fontId="1" fillId="6" borderId="9" xfId="0" applyFont="1" applyFill="1" applyBorder="1" applyAlignment="1" applyProtection="1">
      <alignment horizontal="center" vertical="center" wrapText="1"/>
      <protection hidden="1"/>
    </xf>
    <xf numFmtId="0" fontId="19" fillId="5" borderId="69" xfId="0" applyFont="1" applyFill="1" applyBorder="1" applyAlignment="1" applyProtection="1">
      <alignment horizontal="center" vertical="center"/>
      <protection hidden="1"/>
    </xf>
    <xf numFmtId="0" fontId="0" fillId="5" borderId="70" xfId="0" applyFill="1" applyBorder="1" applyAlignment="1" applyProtection="1">
      <alignment horizontal="center" vertical="center"/>
      <protection hidden="1"/>
    </xf>
    <xf numFmtId="0" fontId="0" fillId="5" borderId="37" xfId="0" applyFill="1" applyBorder="1" applyAlignment="1" applyProtection="1">
      <alignment horizontal="center" vertical="center"/>
      <protection hidden="1"/>
    </xf>
    <xf numFmtId="0" fontId="19" fillId="5" borderId="18" xfId="0" applyFont="1" applyFill="1" applyBorder="1" applyAlignment="1" applyProtection="1">
      <alignment horizontal="center" vertical="center" wrapText="1"/>
      <protection hidden="1"/>
    </xf>
    <xf numFmtId="0" fontId="19" fillId="5" borderId="71" xfId="0" applyFont="1" applyFill="1" applyBorder="1" applyAlignment="1" applyProtection="1">
      <alignment horizontal="center" vertical="center" wrapText="1"/>
      <protection hidden="1"/>
    </xf>
    <xf numFmtId="0" fontId="19" fillId="5" borderId="13" xfId="0" applyFont="1" applyFill="1" applyBorder="1" applyAlignment="1" applyProtection="1">
      <alignment horizontal="center" vertical="center" wrapText="1"/>
      <protection hidden="1"/>
    </xf>
    <xf numFmtId="0" fontId="34" fillId="5" borderId="5" xfId="0" applyFont="1" applyFill="1" applyBorder="1" applyAlignment="1" applyProtection="1">
      <alignment horizontal="center" wrapText="1"/>
      <protection hidden="1"/>
    </xf>
    <xf numFmtId="0" fontId="34" fillId="5" borderId="6" xfId="0" applyFont="1" applyFill="1" applyBorder="1" applyAlignment="1" applyProtection="1">
      <alignment horizontal="center" wrapText="1"/>
      <protection hidden="1"/>
    </xf>
    <xf numFmtId="191" fontId="19" fillId="5" borderId="72" xfId="0" applyNumberFormat="1" applyFont="1" applyFill="1" applyBorder="1" applyAlignment="1" applyProtection="1">
      <alignment horizontal="center" vertical="center" wrapText="1"/>
      <protection hidden="1"/>
    </xf>
    <xf numFmtId="191" fontId="19" fillId="5" borderId="73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65" xfId="0" applyFont="1" applyFill="1" applyBorder="1" applyAlignment="1" applyProtection="1">
      <alignment horizontal="center" vertical="center"/>
      <protection hidden="1"/>
    </xf>
    <xf numFmtId="0" fontId="1" fillId="5" borderId="66" xfId="0" applyFont="1" applyFill="1" applyBorder="1" applyAlignment="1" applyProtection="1">
      <alignment horizontal="center" vertical="center"/>
      <protection hidden="1"/>
    </xf>
    <xf numFmtId="0" fontId="1" fillId="5" borderId="67" xfId="0" applyFont="1" applyFill="1" applyBorder="1" applyAlignment="1" applyProtection="1">
      <alignment horizontal="center" vertical="center"/>
      <protection hidden="1"/>
    </xf>
    <xf numFmtId="0" fontId="26" fillId="5" borderId="30" xfId="0" applyFont="1" applyFill="1" applyBorder="1" applyAlignment="1" applyProtection="1">
      <alignment horizontal="center" vertical="center" wrapText="1"/>
      <protection hidden="1"/>
    </xf>
    <xf numFmtId="0" fontId="19" fillId="5" borderId="3" xfId="0" applyFont="1" applyFill="1" applyBorder="1" applyAlignment="1" applyProtection="1">
      <alignment horizontal="center" vertical="center" wrapText="1"/>
      <protection hidden="1"/>
    </xf>
    <xf numFmtId="0" fontId="57" fillId="5" borderId="74" xfId="0" applyFont="1" applyFill="1" applyBorder="1" applyAlignment="1" applyProtection="1">
      <alignment horizontal="center" vertical="center" wrapText="1"/>
      <protection hidden="1"/>
    </xf>
    <xf numFmtId="0" fontId="57" fillId="5" borderId="75" xfId="0" applyFont="1" applyFill="1" applyBorder="1" applyAlignment="1" applyProtection="1">
      <alignment horizontal="center" vertical="center" wrapText="1"/>
      <protection hidden="1"/>
    </xf>
    <xf numFmtId="0" fontId="57" fillId="5" borderId="76" xfId="0" applyFont="1" applyFill="1" applyBorder="1" applyAlignment="1" applyProtection="1">
      <alignment horizontal="center" vertical="center" wrapText="1"/>
      <protection hidden="1"/>
    </xf>
    <xf numFmtId="0" fontId="57" fillId="5" borderId="77" xfId="0" applyFont="1" applyFill="1" applyBorder="1" applyAlignment="1" applyProtection="1">
      <alignment horizontal="center" vertical="center" wrapText="1"/>
      <protection hidden="1"/>
    </xf>
    <xf numFmtId="0" fontId="1" fillId="5" borderId="74" xfId="0" applyFont="1" applyFill="1" applyBorder="1" applyAlignment="1" applyProtection="1">
      <alignment horizontal="center" vertical="center" wrapText="1"/>
      <protection hidden="1"/>
    </xf>
    <xf numFmtId="0" fontId="1" fillId="5" borderId="4" xfId="0" applyFont="1" applyFill="1" applyBorder="1" applyAlignment="1" applyProtection="1">
      <alignment horizontal="center" vertical="center" wrapText="1"/>
      <protection hidden="1"/>
    </xf>
    <xf numFmtId="0" fontId="1" fillId="5" borderId="75" xfId="0" applyFont="1" applyFill="1" applyBorder="1" applyAlignment="1" applyProtection="1">
      <alignment horizontal="center" vertical="center" wrapText="1"/>
      <protection hidden="1"/>
    </xf>
    <xf numFmtId="0" fontId="1" fillId="5" borderId="63" xfId="0" applyFont="1" applyFill="1" applyBorder="1" applyAlignment="1" applyProtection="1">
      <alignment horizontal="center" vertical="center" wrapText="1"/>
      <protection hidden="1"/>
    </xf>
    <xf numFmtId="0" fontId="1" fillId="5" borderId="3" xfId="0" applyFont="1" applyFill="1" applyBorder="1" applyAlignment="1" applyProtection="1">
      <alignment horizontal="center" vertical="center" wrapText="1"/>
      <protection hidden="1"/>
    </xf>
    <xf numFmtId="0" fontId="1" fillId="5" borderId="30" xfId="0" applyFont="1" applyFill="1" applyBorder="1" applyAlignment="1" applyProtection="1">
      <alignment horizontal="center" vertical="center" shrinkToFit="1"/>
      <protection hidden="1"/>
    </xf>
    <xf numFmtId="0" fontId="1" fillId="5" borderId="64" xfId="0" applyFont="1" applyFill="1" applyBorder="1" applyAlignment="1" applyProtection="1">
      <alignment horizontal="center" vertical="center" shrinkToFit="1"/>
      <protection hidden="1"/>
    </xf>
    <xf numFmtId="0" fontId="1" fillId="5" borderId="68" xfId="0" applyFont="1" applyFill="1" applyBorder="1" applyAlignment="1" applyProtection="1">
      <alignment horizontal="center" vertical="center" shrinkToFit="1"/>
      <protection hidden="1"/>
    </xf>
    <xf numFmtId="194" fontId="27" fillId="5" borderId="27" xfId="0" applyNumberFormat="1" applyFont="1" applyFill="1" applyBorder="1" applyAlignment="1" applyProtection="1">
      <alignment horizontal="center" vertical="center" shrinkToFit="1"/>
      <protection hidden="1"/>
    </xf>
    <xf numFmtId="194" fontId="27" fillId="5" borderId="21" xfId="0" applyNumberFormat="1" applyFont="1" applyFill="1" applyBorder="1" applyAlignment="1" applyProtection="1">
      <alignment horizontal="center" vertical="center" shrinkToFit="1"/>
      <protection hidden="1"/>
    </xf>
    <xf numFmtId="194" fontId="45" fillId="3" borderId="34" xfId="0" applyNumberFormat="1" applyFont="1" applyFill="1" applyBorder="1" applyAlignment="1" applyProtection="1">
      <alignment horizontal="center" vertical="center" shrinkToFit="1"/>
      <protection locked="0"/>
    </xf>
    <xf numFmtId="194" fontId="45" fillId="3" borderId="13" xfId="0" applyNumberFormat="1" applyFont="1" applyFill="1" applyBorder="1" applyAlignment="1" applyProtection="1">
      <alignment horizontal="center" vertical="center" shrinkToFit="1"/>
      <protection locked="0"/>
    </xf>
    <xf numFmtId="185" fontId="19" fillId="3" borderId="27" xfId="0" applyNumberFormat="1" applyFont="1" applyFill="1" applyBorder="1" applyAlignment="1" applyProtection="1">
      <alignment horizontal="center" vertical="center" shrinkToFit="1"/>
      <protection locked="0"/>
    </xf>
    <xf numFmtId="185" fontId="19" fillId="3" borderId="7" xfId="0" applyNumberFormat="1" applyFont="1" applyFill="1" applyBorder="1" applyAlignment="1" applyProtection="1">
      <alignment horizontal="center" vertical="center" shrinkToFit="1"/>
      <protection locked="0"/>
    </xf>
    <xf numFmtId="196" fontId="19" fillId="3" borderId="27" xfId="0" applyNumberFormat="1" applyFont="1" applyFill="1" applyBorder="1" applyAlignment="1" applyProtection="1">
      <alignment horizontal="right" vertical="center" shrinkToFit="1"/>
      <protection locked="0"/>
    </xf>
    <xf numFmtId="196" fontId="19" fillId="3" borderId="21" xfId="0" applyNumberFormat="1" applyFont="1" applyFill="1" applyBorder="1" applyAlignment="1" applyProtection="1">
      <alignment horizontal="right" vertical="center" shrinkToFit="1"/>
      <protection locked="0"/>
    </xf>
    <xf numFmtId="182" fontId="45" fillId="3" borderId="34" xfId="0" applyNumberFormat="1" applyFont="1" applyFill="1" applyBorder="1" applyAlignment="1" applyProtection="1">
      <alignment horizontal="center" vertical="center" shrinkToFit="1"/>
      <protection locked="0"/>
    </xf>
    <xf numFmtId="182" fontId="45" fillId="3" borderId="13" xfId="0" applyNumberFormat="1" applyFont="1" applyFill="1" applyBorder="1" applyAlignment="1" applyProtection="1">
      <alignment horizontal="center" vertical="center" shrinkToFit="1"/>
      <protection locked="0"/>
    </xf>
    <xf numFmtId="49" fontId="24" fillId="5" borderId="60" xfId="0" applyNumberFormat="1" applyFont="1" applyFill="1" applyBorder="1" applyAlignment="1" applyProtection="1">
      <alignment horizontal="left" vertical="top"/>
      <protection locked="0"/>
    </xf>
    <xf numFmtId="49" fontId="24" fillId="5" borderId="61" xfId="0" applyNumberFormat="1" applyFont="1" applyFill="1" applyBorder="1" applyAlignment="1" applyProtection="1">
      <alignment horizontal="left" vertical="top"/>
      <protection locked="0"/>
    </xf>
    <xf numFmtId="49" fontId="24" fillId="5" borderId="62" xfId="0" applyNumberFormat="1" applyFont="1" applyFill="1" applyBorder="1" applyAlignment="1" applyProtection="1">
      <alignment horizontal="left" vertical="top"/>
      <protection locked="0"/>
    </xf>
    <xf numFmtId="194" fontId="27" fillId="5" borderId="27" xfId="0" applyNumberFormat="1" applyFont="1" applyFill="1" applyBorder="1" applyAlignment="1" applyProtection="1">
      <alignment horizontal="right" vertical="center" shrinkToFit="1"/>
      <protection hidden="1"/>
    </xf>
    <xf numFmtId="194" fontId="27" fillId="5" borderId="21" xfId="0" applyNumberFormat="1" applyFont="1" applyFill="1" applyBorder="1" applyAlignment="1" applyProtection="1">
      <alignment horizontal="right" vertical="center" shrinkToFit="1"/>
      <protection hidden="1"/>
    </xf>
    <xf numFmtId="0" fontId="1" fillId="7" borderId="0" xfId="0" applyFont="1" applyFill="1" applyBorder="1" applyAlignment="1" applyProtection="1">
      <alignment horizontal="center" vertical="center" shrinkToFit="1"/>
      <protection hidden="1"/>
    </xf>
    <xf numFmtId="0" fontId="0" fillId="5" borderId="51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9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52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5" borderId="53" xfId="0" applyFill="1" applyBorder="1" applyAlignment="1" applyProtection="1">
      <alignment horizontal="center"/>
      <protection locked="0"/>
    </xf>
    <xf numFmtId="0" fontId="0" fillId="5" borderId="40" xfId="0" applyFill="1" applyBorder="1" applyAlignment="1" applyProtection="1">
      <alignment horizontal="center"/>
      <protection locked="0"/>
    </xf>
    <xf numFmtId="0" fontId="0" fillId="5" borderId="41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42" xfId="0" applyFill="1" applyBorder="1" applyAlignment="1" applyProtection="1">
      <alignment horizontal="center"/>
      <protection locked="0"/>
    </xf>
    <xf numFmtId="0" fontId="0" fillId="5" borderId="12" xfId="0" applyFill="1" applyBorder="1" applyAlignment="1" applyProtection="1">
      <alignment horizontal="center"/>
      <protection locked="0"/>
    </xf>
    <xf numFmtId="0" fontId="0" fillId="5" borderId="46" xfId="0" applyFill="1" applyBorder="1" applyAlignment="1" applyProtection="1">
      <alignment horizontal="center"/>
      <protection locked="0"/>
    </xf>
    <xf numFmtId="0" fontId="0" fillId="5" borderId="54" xfId="0" applyFill="1" applyBorder="1" applyAlignment="1" applyProtection="1">
      <alignment horizontal="center"/>
      <protection locked="0"/>
    </xf>
    <xf numFmtId="0" fontId="47" fillId="4" borderId="9" xfId="0" applyFont="1" applyFill="1" applyBorder="1" applyAlignment="1" applyProtection="1">
      <alignment horizontal="center" vertical="center"/>
      <protection hidden="1"/>
    </xf>
    <xf numFmtId="0" fontId="30" fillId="4" borderId="9" xfId="0" applyFont="1" applyFill="1" applyBorder="1" applyAlignment="1" applyProtection="1">
      <alignment horizontal="center" vertical="center"/>
      <protection hidden="1"/>
    </xf>
    <xf numFmtId="0" fontId="53" fillId="8" borderId="0" xfId="0" applyFont="1" applyFill="1" applyBorder="1" applyAlignment="1" applyProtection="1">
      <alignment horizontal="center" vertical="center"/>
      <protection hidden="1"/>
    </xf>
    <xf numFmtId="0" fontId="66" fillId="4" borderId="9" xfId="0" applyFont="1" applyFill="1" applyBorder="1" applyAlignment="1" applyProtection="1">
      <alignment horizontal="center" vertical="center"/>
      <protection hidden="1"/>
    </xf>
    <xf numFmtId="0" fontId="47" fillId="3" borderId="30" xfId="0" applyFont="1" applyFill="1" applyBorder="1" applyAlignment="1" applyProtection="1">
      <alignment horizontal="center" vertical="center"/>
      <protection hidden="1"/>
    </xf>
    <xf numFmtId="0" fontId="47" fillId="3" borderId="3" xfId="0" applyFont="1" applyFill="1" applyBorder="1" applyAlignment="1" applyProtection="1">
      <alignment horizontal="center" vertical="center"/>
      <protection hidden="1"/>
    </xf>
    <xf numFmtId="0" fontId="2" fillId="4" borderId="9" xfId="0" applyFont="1" applyFill="1" applyBorder="1" applyAlignment="1" applyProtection="1">
      <alignment horizontal="center" vertical="center"/>
      <protection hidden="1"/>
    </xf>
    <xf numFmtId="0" fontId="52" fillId="7" borderId="9" xfId="0" applyFont="1" applyFill="1" applyBorder="1" applyAlignment="1" applyProtection="1">
      <alignment horizontal="center"/>
      <protection hidden="1"/>
    </xf>
    <xf numFmtId="49" fontId="97" fillId="5" borderId="60" xfId="0" applyNumberFormat="1" applyFont="1" applyFill="1" applyBorder="1" applyAlignment="1" applyProtection="1">
      <alignment horizontal="left" vertical="center"/>
      <protection locked="0"/>
    </xf>
    <xf numFmtId="49" fontId="97" fillId="5" borderId="61" xfId="0" applyNumberFormat="1" applyFont="1" applyFill="1" applyBorder="1" applyAlignment="1" applyProtection="1">
      <alignment horizontal="left" vertical="center"/>
      <protection locked="0"/>
    </xf>
    <xf numFmtId="49" fontId="97" fillId="5" borderId="62" xfId="0" applyNumberFormat="1" applyFont="1" applyFill="1" applyBorder="1" applyAlignment="1" applyProtection="1">
      <alignment horizontal="left" vertical="center"/>
      <protection locked="0"/>
    </xf>
    <xf numFmtId="0" fontId="98" fillId="0" borderId="60" xfId="0" applyNumberFormat="1" applyFont="1" applyFill="1" applyBorder="1" applyAlignment="1" applyProtection="1">
      <alignment horizontal="center" vertical="center" wrapText="1" shrinkToFit="1"/>
      <protection hidden="1"/>
    </xf>
    <xf numFmtId="0" fontId="98" fillId="0" borderId="61" xfId="0" applyNumberFormat="1" applyFont="1" applyFill="1" applyBorder="1" applyAlignment="1" applyProtection="1">
      <alignment horizontal="center" vertical="center" wrapText="1" shrinkToFit="1"/>
      <protection hidden="1"/>
    </xf>
    <xf numFmtId="0" fontId="98" fillId="0" borderId="62" xfId="0" applyNumberFormat="1" applyFont="1" applyFill="1" applyBorder="1" applyAlignment="1" applyProtection="1">
      <alignment horizontal="center" vertical="center" wrapText="1" shrinkToFit="1"/>
      <protection hidden="1"/>
    </xf>
    <xf numFmtId="0" fontId="31" fillId="2" borderId="0" xfId="0" applyFont="1" applyFill="1" applyAlignment="1">
      <alignment horizontal="center"/>
    </xf>
    <xf numFmtId="0" fontId="35" fillId="2" borderId="42" xfId="0" applyFont="1" applyFill="1" applyBorder="1" applyAlignment="1">
      <alignment horizontal="center"/>
    </xf>
    <xf numFmtId="0" fontId="35" fillId="2" borderId="49" xfId="0" applyFont="1" applyFill="1" applyBorder="1" applyAlignment="1">
      <alignment horizontal="center"/>
    </xf>
    <xf numFmtId="184" fontId="0" fillId="2" borderId="42" xfId="0" applyNumberFormat="1" applyFill="1" applyBorder="1"/>
    <xf numFmtId="0" fontId="0" fillId="2" borderId="49" xfId="0" applyFill="1" applyBorder="1"/>
    <xf numFmtId="0" fontId="0" fillId="7" borderId="0" xfId="0" applyFill="1" applyBorder="1" applyAlignment="1" applyProtection="1">
      <alignment horizontal="center" vertical="center" shrinkToFit="1"/>
      <protection hidden="1"/>
    </xf>
    <xf numFmtId="0" fontId="43" fillId="7" borderId="0" xfId="0" applyFont="1" applyFill="1" applyBorder="1" applyAlignment="1" applyProtection="1">
      <alignment horizontal="left" vertical="center" shrinkToFit="1"/>
      <protection hidden="1"/>
    </xf>
    <xf numFmtId="0" fontId="19" fillId="3" borderId="55" xfId="0" applyNumberFormat="1" applyFont="1" applyFill="1" applyBorder="1" applyAlignment="1" applyProtection="1">
      <alignment horizontal="center" vertical="center" wrapText="1"/>
      <protection hidden="1"/>
    </xf>
    <xf numFmtId="0" fontId="37" fillId="3" borderId="27" xfId="0" applyNumberFormat="1" applyFont="1" applyFill="1" applyBorder="1" applyAlignment="1" applyProtection="1">
      <alignment horizontal="left" vertical="center" wrapText="1"/>
      <protection hidden="1"/>
    </xf>
    <xf numFmtId="0" fontId="45" fillId="3" borderId="53" xfId="0" applyNumberFormat="1" applyFont="1" applyFill="1" applyBorder="1" applyAlignment="1" applyProtection="1">
      <alignment horizontal="center" vertical="center"/>
      <protection hidden="1"/>
    </xf>
    <xf numFmtId="49" fontId="45" fillId="3" borderId="40" xfId="0" applyNumberFormat="1" applyFont="1" applyFill="1" applyBorder="1" applyAlignment="1" applyProtection="1">
      <alignment horizontal="center" vertical="center"/>
      <protection hidden="1"/>
    </xf>
    <xf numFmtId="0" fontId="45" fillId="3" borderId="40" xfId="0" applyNumberFormat="1" applyFont="1" applyFill="1" applyBorder="1" applyAlignment="1" applyProtection="1">
      <alignment horizontal="center" vertical="center"/>
      <protection hidden="1"/>
    </xf>
    <xf numFmtId="183" fontId="45" fillId="3" borderId="33" xfId="0" applyNumberFormat="1" applyFont="1" applyFill="1" applyBorder="1" applyAlignment="1" applyProtection="1">
      <alignment horizontal="center" vertical="center"/>
      <protection hidden="1"/>
    </xf>
    <xf numFmtId="49" fontId="44" fillId="3" borderId="34" xfId="0" applyNumberFormat="1" applyFont="1" applyFill="1" applyBorder="1" applyAlignment="1" applyProtection="1">
      <alignment horizontal="center" vertical="center" wrapText="1"/>
      <protection hidden="1"/>
    </xf>
    <xf numFmtId="194" fontId="45" fillId="3" borderId="27" xfId="0" applyNumberFormat="1" applyFont="1" applyFill="1" applyBorder="1" applyAlignment="1" applyProtection="1">
      <alignment horizontal="center" vertical="center" shrinkToFit="1"/>
      <protection hidden="1"/>
    </xf>
    <xf numFmtId="183" fontId="45" fillId="3" borderId="27" xfId="0" applyNumberFormat="1" applyFont="1" applyFill="1" applyBorder="1" applyAlignment="1" applyProtection="1">
      <alignment horizontal="center" vertical="center"/>
      <protection hidden="1"/>
    </xf>
    <xf numFmtId="182" fontId="45" fillId="3" borderId="33" xfId="0" applyNumberFormat="1" applyFont="1" applyFill="1" applyBorder="1" applyAlignment="1" applyProtection="1">
      <alignment horizontal="center" vertical="center" shrinkToFit="1"/>
      <protection hidden="1"/>
    </xf>
    <xf numFmtId="0" fontId="19" fillId="3" borderId="56" xfId="0" applyNumberFormat="1" applyFont="1" applyFill="1" applyBorder="1" applyAlignment="1" applyProtection="1">
      <alignment horizontal="center" vertical="center" wrapText="1"/>
      <protection hidden="1"/>
    </xf>
    <xf numFmtId="0" fontId="37" fillId="3" borderId="21" xfId="0" applyNumberFormat="1" applyFont="1" applyFill="1" applyBorder="1" applyAlignment="1" applyProtection="1">
      <alignment horizontal="left" vertical="center" wrapText="1"/>
      <protection hidden="1"/>
    </xf>
    <xf numFmtId="0" fontId="45" fillId="3" borderId="59" xfId="0" applyNumberFormat="1" applyFont="1" applyFill="1" applyBorder="1" applyAlignment="1" applyProtection="1">
      <alignment horizontal="center" vertical="center"/>
      <protection hidden="1"/>
    </xf>
    <xf numFmtId="49" fontId="45" fillId="3" borderId="9" xfId="0" applyNumberFormat="1" applyFont="1" applyFill="1" applyBorder="1" applyAlignment="1" applyProtection="1">
      <alignment horizontal="center" vertical="center"/>
      <protection hidden="1"/>
    </xf>
    <xf numFmtId="0" fontId="45" fillId="3" borderId="9" xfId="0" applyNumberFormat="1" applyFont="1" applyFill="1" applyBorder="1" applyAlignment="1" applyProtection="1">
      <alignment horizontal="center" vertical="center"/>
      <protection hidden="1"/>
    </xf>
    <xf numFmtId="183" fontId="45" fillId="3" borderId="58" xfId="0" applyNumberFormat="1" applyFont="1" applyFill="1" applyBorder="1" applyAlignment="1" applyProtection="1">
      <alignment horizontal="center" vertical="center"/>
      <protection hidden="1"/>
    </xf>
    <xf numFmtId="49" fontId="44" fillId="3" borderId="57" xfId="0" applyNumberFormat="1" applyFont="1" applyFill="1" applyBorder="1" applyAlignment="1" applyProtection="1">
      <alignment horizontal="center" vertical="center" wrapText="1"/>
      <protection hidden="1"/>
    </xf>
    <xf numFmtId="194" fontId="45" fillId="3" borderId="21" xfId="0" applyNumberFormat="1" applyFont="1" applyFill="1" applyBorder="1" applyAlignment="1" applyProtection="1">
      <alignment horizontal="center" vertical="center" shrinkToFit="1"/>
      <protection hidden="1"/>
    </xf>
    <xf numFmtId="183" fontId="45" fillId="3" borderId="7" xfId="0" applyNumberFormat="1" applyFont="1" applyFill="1" applyBorder="1" applyAlignment="1" applyProtection="1">
      <alignment horizontal="center" vertical="center"/>
      <protection hidden="1"/>
    </xf>
    <xf numFmtId="182" fontId="45" fillId="3" borderId="58" xfId="0" applyNumberFormat="1" applyFont="1" applyFill="1" applyBorder="1" applyAlignment="1" applyProtection="1">
      <alignment horizontal="center" vertical="center" shrinkToFi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9525</xdr:colOff>
      <xdr:row>4</xdr:row>
      <xdr:rowOff>114300</xdr:rowOff>
    </xdr:from>
    <xdr:to>
      <xdr:col>18</xdr:col>
      <xdr:colOff>104775</xdr:colOff>
      <xdr:row>6</xdr:row>
      <xdr:rowOff>47625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1647825" y="800100"/>
          <a:ext cx="552450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175">
              <a:solidFill>
                <a:srgbClr xmlns:mc="http://schemas.openxmlformats.org/markup-compatibility/2006" val="FFFF99" mc:Ignorable="a14" a14:legacySpreadsheetColorIndex="4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1200" b="1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右上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赤色</a:t>
          </a:r>
          <a:r>
            <a:rPr lang="ja-JP" altLang="en-US" sz="1200" b="1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のセルに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カ－ソル</a:t>
          </a:r>
          <a:r>
            <a:rPr lang="ja-JP" altLang="en-US" sz="1200" b="1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を近づけると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「コメント文」</a:t>
          </a:r>
          <a:r>
            <a:rPr lang="ja-JP" altLang="en-US" sz="1200" b="1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が、表示されます。</a:t>
          </a:r>
        </a:p>
      </xdr:txBody>
    </xdr:sp>
    <xdr:clientData/>
  </xdr:twoCellAnchor>
  <xdr:twoCellAnchor editAs="absolute">
    <xdr:from>
      <xdr:col>4</xdr:col>
      <xdr:colOff>0</xdr:colOff>
      <xdr:row>6</xdr:row>
      <xdr:rowOff>142875</xdr:rowOff>
    </xdr:from>
    <xdr:to>
      <xdr:col>5</xdr:col>
      <xdr:colOff>390525</xdr:colOff>
      <xdr:row>8</xdr:row>
      <xdr:rowOff>28575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1638300" y="1171575"/>
          <a:ext cx="89535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入力セル</a:t>
          </a:r>
        </a:p>
      </xdr:txBody>
    </xdr:sp>
    <xdr:clientData/>
  </xdr:twoCellAnchor>
  <xdr:twoCellAnchor editAs="absolute">
    <xdr:from>
      <xdr:col>5</xdr:col>
      <xdr:colOff>495300</xdr:colOff>
      <xdr:row>6</xdr:row>
      <xdr:rowOff>123825</xdr:rowOff>
    </xdr:from>
    <xdr:to>
      <xdr:col>5</xdr:col>
      <xdr:colOff>1362075</xdr:colOff>
      <xdr:row>8</xdr:row>
      <xdr:rowOff>28575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2638425" y="1152525"/>
          <a:ext cx="8667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自動表示</a:t>
          </a:r>
        </a:p>
      </xdr:txBody>
    </xdr:sp>
    <xdr:clientData/>
  </xdr:twoCellAnchor>
  <xdr:twoCellAnchor>
    <xdr:from>
      <xdr:col>4</xdr:col>
      <xdr:colOff>19050</xdr:colOff>
      <xdr:row>0</xdr:row>
      <xdr:rowOff>123825</xdr:rowOff>
    </xdr:from>
    <xdr:to>
      <xdr:col>12</xdr:col>
      <xdr:colOff>76200</xdr:colOff>
      <xdr:row>3</xdr:row>
      <xdr:rowOff>66675</xdr:rowOff>
    </xdr:to>
    <xdr:grpSp>
      <xdr:nvGrpSpPr>
        <xdr:cNvPr id="1310" name="Group 286"/>
        <xdr:cNvGrpSpPr>
          <a:grpSpLocks/>
        </xdr:cNvGrpSpPr>
      </xdr:nvGrpSpPr>
      <xdr:grpSpPr bwMode="auto">
        <a:xfrm>
          <a:off x="1666315" y="123825"/>
          <a:ext cx="2847414" cy="447115"/>
          <a:chOff x="206" y="13"/>
          <a:chExt cx="351" cy="48"/>
        </a:xfrm>
      </xdr:grpSpPr>
      <xdr:sp macro="" textlink="">
        <xdr:nvSpPr>
          <xdr:cNvPr id="1045" name="AutoShape 21"/>
          <xdr:cNvSpPr>
            <a:spLocks noChangeArrowheads="1"/>
          </xdr:cNvSpPr>
        </xdr:nvSpPr>
        <xdr:spPr bwMode="auto">
          <a:xfrm>
            <a:off x="206" y="16"/>
            <a:ext cx="351" cy="42"/>
          </a:xfrm>
          <a:prstGeom prst="parallelogram">
            <a:avLst>
              <a:gd name="adj" fmla="val 16482"/>
            </a:avLst>
          </a:prstGeom>
          <a:solidFill>
            <a:srgbClr xmlns:mc="http://schemas.openxmlformats.org/markup-compatibility/2006" xmlns:a14="http://schemas.microsoft.com/office/drawing/2010/main" val="00FFFF" mc:Ignorable="a14" a14:legacySpreadsheetColorIndex="1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46" name="Text Box 22"/>
          <xdr:cNvSpPr txBox="1">
            <a:spLocks noChangeArrowheads="1"/>
          </xdr:cNvSpPr>
        </xdr:nvSpPr>
        <xdr:spPr bwMode="auto">
          <a:xfrm>
            <a:off x="381" y="19"/>
            <a:ext cx="171" cy="4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>
                    <a:alpha val="50000"/>
                  </a:srgbClr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ja-JP" altLang="en-US" sz="900" b="1" i="0" u="none" strike="noStrike" baseline="0">
                <a:solidFill>
                  <a:srgbClr val="CCCCFF"/>
                </a:solidFill>
                <a:latin typeface="ＭＳ Ｐゴシック"/>
                <a:ea typeface="ＭＳ Ｐゴシック"/>
              </a:rPr>
              <a:t> by        SERVICE</a:t>
            </a:r>
            <a:endParaRPr lang="ja-JP" altLang="en-US" sz="900" b="1" i="0" u="none" strike="noStrike" baseline="0">
              <a:solidFill>
                <a:srgbClr val="CC99FF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900"/>
              </a:lnSpc>
              <a:defRPr sz="1000"/>
            </a:pPr>
            <a:r>
              <a:rPr lang="ja-JP" altLang="en-US" sz="800" b="1" i="0" u="none" strike="noStrike" baseline="0">
                <a:solidFill>
                  <a:srgbClr val="CC99FF"/>
                </a:solidFill>
                <a:latin typeface="ＭＳ Ｐゴシック"/>
                <a:ea typeface="ＭＳ Ｐゴシック"/>
              </a:rPr>
              <a:t>１９９９　Ａug．Ｖｅｒ　１．0</a:t>
            </a:r>
            <a:r>
              <a:rPr lang="ja-JP" altLang="en-US" sz="900" b="1" i="0" u="none" strike="noStrike" baseline="0">
                <a:solidFill>
                  <a:srgbClr val="CC99FF"/>
                </a:solidFill>
                <a:latin typeface="ＭＳ Ｐゴシック"/>
                <a:ea typeface="ＭＳ Ｐゴシック"/>
              </a:rPr>
              <a:t>　</a:t>
            </a:r>
          </a:p>
        </xdr:txBody>
      </xdr:sp>
      <xdr:sp macro="" textlink="">
        <xdr:nvSpPr>
          <xdr:cNvPr id="1047" name="Text Box 23"/>
          <xdr:cNvSpPr txBox="1">
            <a:spLocks noChangeArrowheads="1"/>
          </xdr:cNvSpPr>
        </xdr:nvSpPr>
        <xdr:spPr bwMode="auto">
          <a:xfrm>
            <a:off x="210" y="31"/>
            <a:ext cx="187" cy="2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>
                    <a:alpha val="50000"/>
                  </a:srgbClr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400" b="1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電圧降下計算-3</a:t>
            </a:r>
          </a:p>
          <a:p>
            <a:pPr algn="ctr" rtl="0">
              <a:defRPr sz="1000"/>
            </a:pPr>
            <a:endParaRPr lang="ja-JP" altLang="en-US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endParaRPr>
          </a:p>
          <a:p>
            <a:pPr algn="ctr" rtl="0">
              <a:defRPr sz="1000"/>
            </a:pPr>
            <a:endParaRPr lang="ja-JP" altLang="en-US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endParaRPr>
          </a:p>
          <a:p>
            <a:pPr algn="ctr" rtl="0">
              <a:defRPr sz="1000"/>
            </a:pPr>
            <a:r>
              <a:rPr lang="ja-JP" altLang="en-US" sz="1400" b="1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 </a:t>
            </a:r>
            <a:r>
              <a:rPr lang="ja-JP" altLang="en-US" sz="900" b="1" i="0" u="none" strike="noStrike" baseline="0">
                <a:solidFill>
                  <a:srgbClr val="FF9900"/>
                </a:solidFill>
                <a:latin typeface="ＭＳ Ｐゴシック"/>
                <a:ea typeface="ＭＳ Ｐゴシック"/>
              </a:rPr>
              <a:t>　</a:t>
            </a:r>
          </a:p>
        </xdr:txBody>
      </xdr:sp>
      <xdr:sp macro="" textlink="">
        <xdr:nvSpPr>
          <xdr:cNvPr id="1048" name="Text Box 24"/>
          <xdr:cNvSpPr txBox="1">
            <a:spLocks noChangeArrowheads="1"/>
          </xdr:cNvSpPr>
        </xdr:nvSpPr>
        <xdr:spPr bwMode="auto">
          <a:xfrm>
            <a:off x="227" y="13"/>
            <a:ext cx="180" cy="2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3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Voltage drop -&lt;3&gt;</a:t>
            </a:r>
            <a:endParaRPr lang="ja-JP" altLang="en-US" sz="12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</a:p>
        </xdr:txBody>
      </xdr:sp>
      <xdr:sp macro="" textlink="">
        <xdr:nvSpPr>
          <xdr:cNvPr id="1049" name="Text Box 25"/>
          <xdr:cNvSpPr txBox="1">
            <a:spLocks noChangeArrowheads="1"/>
          </xdr:cNvSpPr>
        </xdr:nvSpPr>
        <xdr:spPr bwMode="auto">
          <a:xfrm>
            <a:off x="428" y="17"/>
            <a:ext cx="42" cy="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300" b="0" i="0" u="none" strike="noStrike" baseline="0">
                <a:solidFill>
                  <a:srgbClr val="CCCCFF"/>
                </a:solidFill>
                <a:latin typeface="ＤＦ特太ゴシック体"/>
              </a:rPr>
              <a:t>ESE</a:t>
            </a:r>
          </a:p>
        </xdr:txBody>
      </xdr:sp>
    </xdr:grpSp>
    <xdr:clientData/>
  </xdr:twoCellAnchor>
  <xdr:twoCellAnchor>
    <xdr:from>
      <xdr:col>41</xdr:col>
      <xdr:colOff>47625</xdr:colOff>
      <xdr:row>44</xdr:row>
      <xdr:rowOff>57150</xdr:rowOff>
    </xdr:from>
    <xdr:to>
      <xdr:col>48</xdr:col>
      <xdr:colOff>1143000</xdr:colOff>
      <xdr:row>55</xdr:row>
      <xdr:rowOff>228600</xdr:rowOff>
    </xdr:to>
    <xdr:sp macro="" textlink="" fLocksText="0">
      <xdr:nvSpPr>
        <xdr:cNvPr id="1627" name="Text Box 603"/>
        <xdr:cNvSpPr txBox="1">
          <a:spLocks noChangeArrowheads="1"/>
        </xdr:cNvSpPr>
      </xdr:nvSpPr>
      <xdr:spPr bwMode="auto">
        <a:xfrm>
          <a:off x="16811625" y="11706225"/>
          <a:ext cx="4133850" cy="3524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17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メモ．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チラーコンプレッサ１KWあたりの電流値は、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1000／(√3・210・0.925・0.898)≒3.31[A]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始動電流は、インバータ始動であるから、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3.31×2.5(Max)≒8.28[A]より、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(√3・210・8.28)／1000≒3.0[入力KVA]　(始動階級KVA)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Ｐ-１-１の二次側配線サイズ、200sqmm、150sqmmそれぞれ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について計算した。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ＲＨ１台目始動、１台定常運転２台目始動、２台定常運転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３台目始動について変圧器タップ電圧210[V]、220[V]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それぞれについて計算した。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始動電流、定常時電流を抑制するためにも、電源電圧は､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高いほうが望ましい。(専用変圧器であるため)</a:t>
          </a:r>
        </a:p>
      </xdr:txBody>
    </xdr:sp>
    <xdr:clientData fLocksWithSheet="0"/>
  </xdr:twoCellAnchor>
  <xdr:twoCellAnchor>
    <xdr:from>
      <xdr:col>4</xdr:col>
      <xdr:colOff>171450</xdr:colOff>
      <xdr:row>44</xdr:row>
      <xdr:rowOff>190500</xdr:rowOff>
    </xdr:from>
    <xdr:to>
      <xdr:col>40</xdr:col>
      <xdr:colOff>180975</xdr:colOff>
      <xdr:row>55</xdr:row>
      <xdr:rowOff>133350</xdr:rowOff>
    </xdr:to>
    <xdr:grpSp>
      <xdr:nvGrpSpPr>
        <xdr:cNvPr id="1837" name="Group 813"/>
        <xdr:cNvGrpSpPr>
          <a:grpSpLocks/>
        </xdr:cNvGrpSpPr>
      </xdr:nvGrpSpPr>
      <xdr:grpSpPr bwMode="auto">
        <a:xfrm>
          <a:off x="1818715" y="11743765"/>
          <a:ext cx="14644407" cy="3270997"/>
          <a:chOff x="190" y="1243"/>
          <a:chExt cx="1540" cy="346"/>
        </a:xfrm>
      </xdr:grpSpPr>
      <xdr:sp macro="" textlink="" fLocksText="0">
        <xdr:nvSpPr>
          <xdr:cNvPr id="1515" name="Text Box 491"/>
          <xdr:cNvSpPr txBox="1">
            <a:spLocks noChangeArrowheads="1"/>
          </xdr:cNvSpPr>
        </xdr:nvSpPr>
        <xdr:spPr bwMode="auto">
          <a:xfrm>
            <a:off x="1358" y="1384"/>
            <a:ext cx="72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リアクトル</a:t>
            </a:r>
          </a:p>
        </xdr:txBody>
      </xdr:sp>
      <xdr:sp macro="" textlink="">
        <xdr:nvSpPr>
          <xdr:cNvPr id="1564" name="Line 540"/>
          <xdr:cNvSpPr>
            <a:spLocks noChangeShapeType="1"/>
          </xdr:cNvSpPr>
        </xdr:nvSpPr>
        <xdr:spPr bwMode="auto">
          <a:xfrm>
            <a:off x="1351" y="1344"/>
            <a:ext cx="362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581" name="Rectangle 557"/>
          <xdr:cNvSpPr>
            <a:spLocks noChangeArrowheads="1"/>
          </xdr:cNvSpPr>
        </xdr:nvSpPr>
        <xdr:spPr bwMode="auto">
          <a:xfrm>
            <a:off x="1351" y="1288"/>
            <a:ext cx="363" cy="170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 fLocksText="0">
        <xdr:nvSpPr>
          <xdr:cNvPr id="1593" name="Text Box 569"/>
          <xdr:cNvSpPr txBox="1">
            <a:spLocks noChangeArrowheads="1"/>
          </xdr:cNvSpPr>
        </xdr:nvSpPr>
        <xdr:spPr bwMode="auto">
          <a:xfrm>
            <a:off x="1358" y="1267"/>
            <a:ext cx="356" cy="2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始動方式による電動機の始動電流・始動トルク</a:t>
            </a:r>
          </a:p>
        </xdr:txBody>
      </xdr:sp>
      <xdr:sp macro="" textlink="" fLocksText="0">
        <xdr:nvSpPr>
          <xdr:cNvPr id="1596" name="Text Box 572"/>
          <xdr:cNvSpPr txBox="1">
            <a:spLocks noChangeArrowheads="1"/>
          </xdr:cNvSpPr>
        </xdr:nvSpPr>
        <xdr:spPr bwMode="auto">
          <a:xfrm>
            <a:off x="1519" y="1293"/>
            <a:ext cx="87" cy="2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始動トルク</a:t>
            </a:r>
          </a:p>
          <a:p>
            <a:pPr algn="l" rtl="0">
              <a:lnSpc>
                <a:spcPts val="1100"/>
              </a:lnSpc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 fLocksText="0">
        <xdr:nvSpPr>
          <xdr:cNvPr id="1597" name="Text Box 573"/>
          <xdr:cNvSpPr txBox="1">
            <a:spLocks noChangeArrowheads="1"/>
          </xdr:cNvSpPr>
        </xdr:nvSpPr>
        <xdr:spPr bwMode="auto">
          <a:xfrm>
            <a:off x="1509" y="1424"/>
            <a:ext cx="94" cy="2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（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ａ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/100）</a:t>
            </a:r>
            <a:r>
              <a:rPr lang="ja-JP" altLang="en-US" sz="10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3 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Ｔ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Ｓ</a:t>
            </a:r>
          </a:p>
        </xdr:txBody>
      </xdr:sp>
      <xdr:sp macro="" textlink="">
        <xdr:nvSpPr>
          <xdr:cNvPr id="1598" name="Line 574"/>
          <xdr:cNvSpPr>
            <a:spLocks noChangeShapeType="1"/>
          </xdr:cNvSpPr>
        </xdr:nvSpPr>
        <xdr:spPr bwMode="auto">
          <a:xfrm>
            <a:off x="1351" y="1416"/>
            <a:ext cx="364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599" name="Line 575"/>
          <xdr:cNvSpPr>
            <a:spLocks noChangeShapeType="1"/>
          </xdr:cNvSpPr>
        </xdr:nvSpPr>
        <xdr:spPr bwMode="auto">
          <a:xfrm>
            <a:off x="1351" y="1315"/>
            <a:ext cx="362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 fLocksText="0">
        <xdr:nvSpPr>
          <xdr:cNvPr id="1600" name="Text Box 576"/>
          <xdr:cNvSpPr txBox="1">
            <a:spLocks noChangeArrowheads="1"/>
          </xdr:cNvSpPr>
        </xdr:nvSpPr>
        <xdr:spPr bwMode="auto">
          <a:xfrm>
            <a:off x="1351" y="1429"/>
            <a:ext cx="87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96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始動補償器</a:t>
            </a:r>
          </a:p>
          <a:p>
            <a:pPr algn="l" rtl="0">
              <a:lnSpc>
                <a:spcPts val="1100"/>
              </a:lnSpc>
              <a:defRPr sz="1000"/>
            </a:pPr>
            <a:endParaRPr lang="ja-JP" altLang="en-US" sz="96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 fLocksText="0">
        <xdr:nvSpPr>
          <xdr:cNvPr id="1601" name="Text Box 577"/>
          <xdr:cNvSpPr txBox="1">
            <a:spLocks noChangeArrowheads="1"/>
          </xdr:cNvSpPr>
        </xdr:nvSpPr>
        <xdr:spPr bwMode="auto">
          <a:xfrm>
            <a:off x="1617" y="1293"/>
            <a:ext cx="94" cy="2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備　　　　考</a:t>
            </a:r>
          </a:p>
        </xdr:txBody>
      </xdr:sp>
      <xdr:sp macro="" textlink="" fLocksText="0">
        <xdr:nvSpPr>
          <xdr:cNvPr id="1602" name="Text Box 578"/>
          <xdr:cNvSpPr txBox="1">
            <a:spLocks noChangeArrowheads="1"/>
          </xdr:cNvSpPr>
        </xdr:nvSpPr>
        <xdr:spPr bwMode="auto">
          <a:xfrm>
            <a:off x="1437" y="1292"/>
            <a:ext cx="79" cy="1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始動電流</a:t>
            </a:r>
          </a:p>
        </xdr:txBody>
      </xdr:sp>
      <xdr:sp macro="" textlink="" fLocksText="0">
        <xdr:nvSpPr>
          <xdr:cNvPr id="1603" name="Text Box 579"/>
          <xdr:cNvSpPr txBox="1">
            <a:spLocks noChangeArrowheads="1"/>
          </xdr:cNvSpPr>
        </xdr:nvSpPr>
        <xdr:spPr bwMode="auto">
          <a:xfrm>
            <a:off x="1357" y="1349"/>
            <a:ext cx="72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ｽﾀ-・ﾃﾞﾙﾀ</a:t>
            </a:r>
          </a:p>
        </xdr:txBody>
      </xdr:sp>
      <xdr:sp macro="" textlink="">
        <xdr:nvSpPr>
          <xdr:cNvPr id="1604" name="Line 580"/>
          <xdr:cNvSpPr>
            <a:spLocks noChangeShapeType="1"/>
          </xdr:cNvSpPr>
        </xdr:nvSpPr>
        <xdr:spPr bwMode="auto">
          <a:xfrm flipV="1">
            <a:off x="1599" y="1287"/>
            <a:ext cx="0" cy="171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 fLocksText="0">
        <xdr:nvSpPr>
          <xdr:cNvPr id="1605" name="Text Box 581"/>
          <xdr:cNvSpPr txBox="1">
            <a:spLocks noChangeArrowheads="1"/>
          </xdr:cNvSpPr>
        </xdr:nvSpPr>
        <xdr:spPr bwMode="auto">
          <a:xfrm>
            <a:off x="1360" y="1319"/>
            <a:ext cx="79" cy="2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全 電 圧</a:t>
            </a:r>
          </a:p>
        </xdr:txBody>
      </xdr:sp>
      <xdr:sp macro="" textlink="" fLocksText="0">
        <xdr:nvSpPr>
          <xdr:cNvPr id="1606" name="Text Box 582"/>
          <xdr:cNvSpPr txBox="1">
            <a:spLocks noChangeArrowheads="1"/>
          </xdr:cNvSpPr>
        </xdr:nvSpPr>
        <xdr:spPr bwMode="auto">
          <a:xfrm>
            <a:off x="1529" y="1319"/>
            <a:ext cx="29" cy="2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Ｔ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Ｓ</a:t>
            </a:r>
          </a:p>
        </xdr:txBody>
      </xdr:sp>
      <xdr:sp macro="" textlink="" fLocksText="0">
        <xdr:nvSpPr>
          <xdr:cNvPr id="1607" name="Text Box 583"/>
          <xdr:cNvSpPr txBox="1">
            <a:spLocks noChangeArrowheads="1"/>
          </xdr:cNvSpPr>
        </xdr:nvSpPr>
        <xdr:spPr bwMode="auto">
          <a:xfrm>
            <a:off x="1514" y="1348"/>
            <a:ext cx="54" cy="2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Ｔ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Ｓ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／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３</a:t>
            </a:r>
          </a:p>
        </xdr:txBody>
      </xdr:sp>
      <xdr:sp macro="" textlink="" fLocksText="0">
        <xdr:nvSpPr>
          <xdr:cNvPr id="1608" name="Text Box 584"/>
          <xdr:cNvSpPr txBox="1">
            <a:spLocks noChangeArrowheads="1"/>
          </xdr:cNvSpPr>
        </xdr:nvSpPr>
        <xdr:spPr bwMode="auto">
          <a:xfrm>
            <a:off x="1604" y="1419"/>
            <a:ext cx="126" cy="4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ａ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：始動補償器　　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  ﾀｯﾌﾟ電圧[％]</a:t>
            </a:r>
          </a:p>
        </xdr:txBody>
      </xdr:sp>
      <xdr:sp macro="" textlink="">
        <xdr:nvSpPr>
          <xdr:cNvPr id="1609" name="Line 585"/>
          <xdr:cNvSpPr>
            <a:spLocks noChangeShapeType="1"/>
          </xdr:cNvSpPr>
        </xdr:nvSpPr>
        <xdr:spPr bwMode="auto">
          <a:xfrm flipV="1">
            <a:off x="1425" y="1287"/>
            <a:ext cx="0" cy="171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 fLocksText="0">
        <xdr:nvSpPr>
          <xdr:cNvPr id="1610" name="Text Box 586"/>
          <xdr:cNvSpPr txBox="1">
            <a:spLocks noChangeArrowheads="1"/>
          </xdr:cNvSpPr>
        </xdr:nvSpPr>
        <xdr:spPr bwMode="auto">
          <a:xfrm>
            <a:off x="1453" y="1319"/>
            <a:ext cx="29" cy="2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Ｉ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Ｓ</a:t>
            </a:r>
          </a:p>
        </xdr:txBody>
      </xdr:sp>
      <xdr:sp macro="" textlink="" fLocksText="0">
        <xdr:nvSpPr>
          <xdr:cNvPr id="1611" name="Text Box 587"/>
          <xdr:cNvSpPr txBox="1">
            <a:spLocks noChangeArrowheads="1"/>
          </xdr:cNvSpPr>
        </xdr:nvSpPr>
        <xdr:spPr bwMode="auto">
          <a:xfrm>
            <a:off x="1436" y="1348"/>
            <a:ext cx="54" cy="2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Ｉ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Ｓ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／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３</a:t>
            </a:r>
          </a:p>
        </xdr:txBody>
      </xdr:sp>
      <xdr:sp macro="" textlink="" fLocksText="0">
        <xdr:nvSpPr>
          <xdr:cNvPr id="1612" name="Text Box 588"/>
          <xdr:cNvSpPr txBox="1">
            <a:spLocks noChangeArrowheads="1"/>
          </xdr:cNvSpPr>
        </xdr:nvSpPr>
        <xdr:spPr bwMode="auto">
          <a:xfrm>
            <a:off x="1426" y="1383"/>
            <a:ext cx="83" cy="2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（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ａ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/100）</a:t>
            </a:r>
            <a:r>
              <a:rPr lang="ja-JP" altLang="en-US" sz="10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  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Ｉ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Ｓ</a:t>
            </a:r>
          </a:p>
        </xdr:txBody>
      </xdr:sp>
      <xdr:sp macro="" textlink="" fLocksText="0">
        <xdr:nvSpPr>
          <xdr:cNvPr id="1613" name="Text Box 589"/>
          <xdr:cNvSpPr txBox="1">
            <a:spLocks noChangeArrowheads="1"/>
          </xdr:cNvSpPr>
        </xdr:nvSpPr>
        <xdr:spPr bwMode="auto">
          <a:xfrm>
            <a:off x="1426" y="1426"/>
            <a:ext cx="94" cy="2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（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ａ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/100）</a:t>
            </a:r>
            <a:r>
              <a:rPr lang="ja-JP" altLang="en-US" sz="10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2 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Ｉ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Ｓ</a:t>
            </a:r>
          </a:p>
        </xdr:txBody>
      </xdr:sp>
      <xdr:sp macro="" textlink="">
        <xdr:nvSpPr>
          <xdr:cNvPr id="1614" name="Line 590"/>
          <xdr:cNvSpPr>
            <a:spLocks noChangeShapeType="1"/>
          </xdr:cNvSpPr>
        </xdr:nvSpPr>
        <xdr:spPr bwMode="auto">
          <a:xfrm>
            <a:off x="1351" y="1373"/>
            <a:ext cx="36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615" name="Line 591"/>
          <xdr:cNvSpPr>
            <a:spLocks noChangeShapeType="1"/>
          </xdr:cNvSpPr>
        </xdr:nvSpPr>
        <xdr:spPr bwMode="auto">
          <a:xfrm flipV="1">
            <a:off x="1508" y="1287"/>
            <a:ext cx="0" cy="171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 fLocksText="0">
        <xdr:nvSpPr>
          <xdr:cNvPr id="1616" name="Text Box 592"/>
          <xdr:cNvSpPr txBox="1">
            <a:spLocks noChangeArrowheads="1"/>
          </xdr:cNvSpPr>
        </xdr:nvSpPr>
        <xdr:spPr bwMode="auto">
          <a:xfrm>
            <a:off x="1510" y="1383"/>
            <a:ext cx="94" cy="2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（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ａ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/100）</a:t>
            </a:r>
            <a:r>
              <a:rPr lang="ja-JP" altLang="en-US" sz="1000" b="0" i="0" u="none" strike="noStrike" baseline="30000">
                <a:solidFill>
                  <a:srgbClr val="000000"/>
                </a:solidFill>
                <a:latin typeface="ＭＳ Ｐ明朝"/>
                <a:ea typeface="ＭＳ Ｐ明朝"/>
              </a:rPr>
              <a:t>2</a:t>
            </a:r>
            <a:r>
              <a:rPr lang="ja-JP" altLang="en-US" sz="1000" b="0" i="0" u="none" strike="noStrike" baseline="3000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Ｔ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Ｓ</a:t>
            </a:r>
          </a:p>
        </xdr:txBody>
      </xdr:sp>
      <xdr:sp macro="" textlink="" fLocksText="0">
        <xdr:nvSpPr>
          <xdr:cNvPr id="1617" name="Text Box 593"/>
          <xdr:cNvSpPr txBox="1">
            <a:spLocks noChangeArrowheads="1"/>
          </xdr:cNvSpPr>
        </xdr:nvSpPr>
        <xdr:spPr bwMode="auto">
          <a:xfrm>
            <a:off x="1604" y="1377"/>
            <a:ext cx="116" cy="4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ａ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：電動機端子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  電圧[％]</a:t>
            </a:r>
          </a:p>
        </xdr:txBody>
      </xdr:sp>
      <xdr:sp macro="" textlink="" fLocksText="0">
        <xdr:nvSpPr>
          <xdr:cNvPr id="1618" name="Text Box 594"/>
          <xdr:cNvSpPr txBox="1">
            <a:spLocks noChangeArrowheads="1"/>
          </xdr:cNvSpPr>
        </xdr:nvSpPr>
        <xdr:spPr bwMode="auto">
          <a:xfrm>
            <a:off x="1358" y="1293"/>
            <a:ext cx="76" cy="1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始動方式</a:t>
            </a:r>
          </a:p>
        </xdr:txBody>
      </xdr:sp>
      <xdr:sp macro="" textlink="">
        <xdr:nvSpPr>
          <xdr:cNvPr id="1688" name="Line 664"/>
          <xdr:cNvSpPr>
            <a:spLocks noChangeShapeType="1"/>
          </xdr:cNvSpPr>
        </xdr:nvSpPr>
        <xdr:spPr bwMode="auto">
          <a:xfrm>
            <a:off x="552" y="1439"/>
            <a:ext cx="26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689" name="Line 665"/>
          <xdr:cNvSpPr>
            <a:spLocks noChangeShapeType="1"/>
          </xdr:cNvSpPr>
        </xdr:nvSpPr>
        <xdr:spPr bwMode="auto">
          <a:xfrm>
            <a:off x="721" y="1353"/>
            <a:ext cx="0" cy="7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690" name="Line 666"/>
          <xdr:cNvSpPr>
            <a:spLocks noChangeShapeType="1"/>
          </xdr:cNvSpPr>
        </xdr:nvSpPr>
        <xdr:spPr bwMode="auto">
          <a:xfrm>
            <a:off x="721" y="1452"/>
            <a:ext cx="0" cy="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691" name="Line 667"/>
          <xdr:cNvSpPr>
            <a:spLocks noChangeShapeType="1"/>
          </xdr:cNvSpPr>
        </xdr:nvSpPr>
        <xdr:spPr bwMode="auto">
          <a:xfrm>
            <a:off x="680" y="1571"/>
            <a:ext cx="69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stealth" w="sm" len="med"/>
            <a:tailEnd type="stealth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692" name="Line 668"/>
          <xdr:cNvSpPr>
            <a:spLocks noChangeShapeType="1"/>
          </xdr:cNvSpPr>
        </xdr:nvSpPr>
        <xdr:spPr bwMode="auto">
          <a:xfrm flipV="1">
            <a:off x="223" y="1450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693" name="Oval 669"/>
          <xdr:cNvSpPr>
            <a:spLocks noChangeArrowheads="1"/>
          </xdr:cNvSpPr>
        </xdr:nvSpPr>
        <xdr:spPr bwMode="auto">
          <a:xfrm>
            <a:off x="208" y="1417"/>
            <a:ext cx="32" cy="33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694" name="Line 670"/>
          <xdr:cNvSpPr>
            <a:spLocks noChangeShapeType="1"/>
          </xdr:cNvSpPr>
        </xdr:nvSpPr>
        <xdr:spPr bwMode="auto">
          <a:xfrm flipV="1">
            <a:off x="475" y="1353"/>
            <a:ext cx="1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695" name="Line 671"/>
          <xdr:cNvSpPr>
            <a:spLocks noChangeShapeType="1"/>
          </xdr:cNvSpPr>
        </xdr:nvSpPr>
        <xdr:spPr bwMode="auto">
          <a:xfrm>
            <a:off x="225" y="1353"/>
            <a:ext cx="4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696" name="Text Box 672"/>
          <xdr:cNvSpPr txBox="1">
            <a:spLocks noChangeArrowheads="1"/>
          </xdr:cNvSpPr>
        </xdr:nvSpPr>
        <xdr:spPr bwMode="auto">
          <a:xfrm>
            <a:off x="493" y="1415"/>
            <a:ext cx="49" cy="42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BaseLoad</a:t>
            </a:r>
          </a:p>
        </xdr:txBody>
      </xdr:sp>
      <xdr:sp macro="" textlink="">
        <xdr:nvSpPr>
          <xdr:cNvPr id="1697" name="Line 673"/>
          <xdr:cNvSpPr>
            <a:spLocks noChangeShapeType="1"/>
          </xdr:cNvSpPr>
        </xdr:nvSpPr>
        <xdr:spPr bwMode="auto">
          <a:xfrm>
            <a:off x="224" y="1353"/>
            <a:ext cx="0" cy="6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698" name="Line 674"/>
          <xdr:cNvSpPr>
            <a:spLocks noChangeShapeType="1"/>
          </xdr:cNvSpPr>
        </xdr:nvSpPr>
        <xdr:spPr bwMode="auto">
          <a:xfrm>
            <a:off x="517" y="1353"/>
            <a:ext cx="0" cy="6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699" name="Line 675"/>
          <xdr:cNvSpPr>
            <a:spLocks noChangeShapeType="1"/>
          </xdr:cNvSpPr>
        </xdr:nvSpPr>
        <xdr:spPr bwMode="auto">
          <a:xfrm>
            <a:off x="306" y="1353"/>
            <a:ext cx="11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00" name="Line 676"/>
          <xdr:cNvSpPr>
            <a:spLocks noChangeShapeType="1"/>
          </xdr:cNvSpPr>
        </xdr:nvSpPr>
        <xdr:spPr bwMode="auto">
          <a:xfrm>
            <a:off x="581" y="1435"/>
            <a:ext cx="39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01" name="Text Box 677"/>
          <xdr:cNvSpPr txBox="1">
            <a:spLocks noChangeArrowheads="1"/>
          </xdr:cNvSpPr>
        </xdr:nvSpPr>
        <xdr:spPr bwMode="auto">
          <a:xfrm>
            <a:off x="271" y="1342"/>
            <a:ext cx="34" cy="23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ＴＲ</a:t>
            </a:r>
          </a:p>
        </xdr:txBody>
      </xdr:sp>
      <xdr:sp macro="" textlink="">
        <xdr:nvSpPr>
          <xdr:cNvPr id="1702" name="Text Box 678"/>
          <xdr:cNvSpPr txBox="1">
            <a:spLocks noChangeArrowheads="1"/>
          </xdr:cNvSpPr>
        </xdr:nvSpPr>
        <xdr:spPr bwMode="auto">
          <a:xfrm>
            <a:off x="622" y="1342"/>
            <a:ext cx="53" cy="23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Cable</a:t>
            </a:r>
          </a:p>
        </xdr:txBody>
      </xdr:sp>
      <xdr:sp macro="" textlink="">
        <xdr:nvSpPr>
          <xdr:cNvPr id="1703" name="Line 679"/>
          <xdr:cNvSpPr>
            <a:spLocks noChangeShapeType="1"/>
          </xdr:cNvSpPr>
        </xdr:nvSpPr>
        <xdr:spPr bwMode="auto">
          <a:xfrm>
            <a:off x="335" y="1439"/>
            <a:ext cx="26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04" name="Line 680"/>
          <xdr:cNvSpPr>
            <a:spLocks noChangeShapeType="1"/>
          </xdr:cNvSpPr>
        </xdr:nvSpPr>
        <xdr:spPr bwMode="auto">
          <a:xfrm>
            <a:off x="335" y="1430"/>
            <a:ext cx="26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05" name="Line 681"/>
          <xdr:cNvSpPr>
            <a:spLocks noChangeShapeType="1"/>
          </xdr:cNvSpPr>
        </xdr:nvSpPr>
        <xdr:spPr bwMode="auto">
          <a:xfrm>
            <a:off x="291" y="1435"/>
            <a:ext cx="39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06" name="Line 682"/>
          <xdr:cNvSpPr>
            <a:spLocks noChangeShapeType="1"/>
          </xdr:cNvSpPr>
        </xdr:nvSpPr>
        <xdr:spPr bwMode="auto">
          <a:xfrm>
            <a:off x="348" y="1353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07" name="Line 683"/>
          <xdr:cNvSpPr>
            <a:spLocks noChangeShapeType="1"/>
          </xdr:cNvSpPr>
        </xdr:nvSpPr>
        <xdr:spPr bwMode="auto">
          <a:xfrm>
            <a:off x="215" y="1538"/>
            <a:ext cx="0" cy="45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08" name="Line 684"/>
          <xdr:cNvSpPr>
            <a:spLocks noChangeShapeType="1"/>
          </xdr:cNvSpPr>
        </xdr:nvSpPr>
        <xdr:spPr bwMode="auto">
          <a:xfrm>
            <a:off x="348" y="1440"/>
            <a:ext cx="0" cy="8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09" name="Line 685"/>
          <xdr:cNvSpPr>
            <a:spLocks noChangeShapeType="1"/>
          </xdr:cNvSpPr>
        </xdr:nvSpPr>
        <xdr:spPr bwMode="auto">
          <a:xfrm flipV="1">
            <a:off x="223" y="1527"/>
            <a:ext cx="4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10" name="Line 686"/>
          <xdr:cNvSpPr>
            <a:spLocks noChangeShapeType="1"/>
          </xdr:cNvSpPr>
        </xdr:nvSpPr>
        <xdr:spPr bwMode="auto">
          <a:xfrm>
            <a:off x="215" y="1571"/>
            <a:ext cx="167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stealth" w="sm" len="med"/>
            <a:tailEnd type="stealth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11" name="Line 687"/>
          <xdr:cNvSpPr>
            <a:spLocks noChangeShapeType="1"/>
          </xdr:cNvSpPr>
        </xdr:nvSpPr>
        <xdr:spPr bwMode="auto">
          <a:xfrm>
            <a:off x="383" y="1540"/>
            <a:ext cx="0" cy="45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12" name="Line 688"/>
          <xdr:cNvSpPr>
            <a:spLocks noChangeShapeType="1"/>
          </xdr:cNvSpPr>
        </xdr:nvSpPr>
        <xdr:spPr bwMode="auto">
          <a:xfrm>
            <a:off x="383" y="1571"/>
            <a:ext cx="106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stealth" w="sm" len="med"/>
            <a:tailEnd type="stealth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13" name="Line 689"/>
          <xdr:cNvSpPr>
            <a:spLocks noChangeShapeType="1"/>
          </xdr:cNvSpPr>
        </xdr:nvSpPr>
        <xdr:spPr bwMode="auto">
          <a:xfrm>
            <a:off x="488" y="1540"/>
            <a:ext cx="0" cy="45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14" name="Text Box 690"/>
          <xdr:cNvSpPr txBox="1">
            <a:spLocks noChangeArrowheads="1"/>
          </xdr:cNvSpPr>
        </xdr:nvSpPr>
        <xdr:spPr bwMode="auto">
          <a:xfrm>
            <a:off x="715" y="1347"/>
            <a:ext cx="16" cy="14"/>
          </a:xfrm>
          <a:prstGeom prst="rect">
            <a:avLst/>
          </a:prstGeom>
          <a:noFill/>
          <a:ln>
            <a:noFill/>
          </a:ln>
          <a:effectLst>
            <a:outerShdw dist="35921" dir="2700000" algn="ctr" rotWithShape="0">
              <a:srgbClr val="000000"/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5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●</a:t>
            </a:r>
          </a:p>
        </xdr:txBody>
      </xdr:sp>
      <xdr:sp macro="" textlink="">
        <xdr:nvSpPr>
          <xdr:cNvPr id="1715" name="Text Box 691"/>
          <xdr:cNvSpPr txBox="1">
            <a:spLocks noChangeArrowheads="1"/>
          </xdr:cNvSpPr>
        </xdr:nvSpPr>
        <xdr:spPr bwMode="auto">
          <a:xfrm>
            <a:off x="343" y="1347"/>
            <a:ext cx="14" cy="13"/>
          </a:xfrm>
          <a:prstGeom prst="rect">
            <a:avLst/>
          </a:prstGeom>
          <a:noFill/>
          <a:ln>
            <a:noFill/>
          </a:ln>
          <a:effectLst>
            <a:outerShdw dist="35921" dir="2700000" algn="ctr" rotWithShape="0">
              <a:srgbClr val="000000"/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5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●</a:t>
            </a:r>
          </a:p>
        </xdr:txBody>
      </xdr:sp>
      <xdr:sp macro="" textlink="">
        <xdr:nvSpPr>
          <xdr:cNvPr id="1716" name="Line 692"/>
          <xdr:cNvSpPr>
            <a:spLocks noChangeShapeType="1"/>
          </xdr:cNvSpPr>
        </xdr:nvSpPr>
        <xdr:spPr bwMode="auto">
          <a:xfrm>
            <a:off x="676" y="1353"/>
            <a:ext cx="4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17" name="Freeform 693"/>
          <xdr:cNvSpPr>
            <a:spLocks/>
          </xdr:cNvSpPr>
        </xdr:nvSpPr>
        <xdr:spPr bwMode="auto">
          <a:xfrm>
            <a:off x="213" y="1427"/>
            <a:ext cx="23" cy="12"/>
          </a:xfrm>
          <a:custGeom>
            <a:avLst/>
            <a:gdLst>
              <a:gd name="T0" fmla="*/ 0 w 25"/>
              <a:gd name="T1" fmla="*/ 8 h 12"/>
              <a:gd name="T2" fmla="*/ 2 w 25"/>
              <a:gd name="T3" fmla="*/ 3 h 12"/>
              <a:gd name="T4" fmla="*/ 5 w 25"/>
              <a:gd name="T5" fmla="*/ 0 h 12"/>
              <a:gd name="T6" fmla="*/ 7 w 25"/>
              <a:gd name="T7" fmla="*/ 0 h 12"/>
              <a:gd name="T8" fmla="*/ 10 w 25"/>
              <a:gd name="T9" fmla="*/ 3 h 12"/>
              <a:gd name="T10" fmla="*/ 12 w 25"/>
              <a:gd name="T11" fmla="*/ 7 h 12"/>
              <a:gd name="T12" fmla="*/ 16 w 25"/>
              <a:gd name="T13" fmla="*/ 11 h 12"/>
              <a:gd name="T14" fmla="*/ 19 w 25"/>
              <a:gd name="T15" fmla="*/ 12 h 12"/>
              <a:gd name="T16" fmla="*/ 22 w 25"/>
              <a:gd name="T17" fmla="*/ 9 h 12"/>
              <a:gd name="T18" fmla="*/ 25 w 25"/>
              <a:gd name="T19" fmla="*/ 3 h 1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25" h="12">
                <a:moveTo>
                  <a:pt x="0" y="8"/>
                </a:moveTo>
                <a:cubicBezTo>
                  <a:pt x="0" y="6"/>
                  <a:pt x="1" y="4"/>
                  <a:pt x="2" y="3"/>
                </a:cubicBezTo>
                <a:cubicBezTo>
                  <a:pt x="3" y="2"/>
                  <a:pt x="4" y="0"/>
                  <a:pt x="5" y="0"/>
                </a:cubicBezTo>
                <a:cubicBezTo>
                  <a:pt x="6" y="0"/>
                  <a:pt x="6" y="0"/>
                  <a:pt x="7" y="0"/>
                </a:cubicBezTo>
                <a:cubicBezTo>
                  <a:pt x="8" y="0"/>
                  <a:pt x="9" y="2"/>
                  <a:pt x="10" y="3"/>
                </a:cubicBezTo>
                <a:cubicBezTo>
                  <a:pt x="11" y="4"/>
                  <a:pt x="11" y="6"/>
                  <a:pt x="12" y="7"/>
                </a:cubicBezTo>
                <a:cubicBezTo>
                  <a:pt x="13" y="8"/>
                  <a:pt x="15" y="10"/>
                  <a:pt x="16" y="11"/>
                </a:cubicBezTo>
                <a:cubicBezTo>
                  <a:pt x="17" y="12"/>
                  <a:pt x="18" y="12"/>
                  <a:pt x="19" y="12"/>
                </a:cubicBezTo>
                <a:cubicBezTo>
                  <a:pt x="20" y="12"/>
                  <a:pt x="21" y="10"/>
                  <a:pt x="22" y="9"/>
                </a:cubicBezTo>
                <a:cubicBezTo>
                  <a:pt x="23" y="8"/>
                  <a:pt x="24" y="4"/>
                  <a:pt x="25" y="3"/>
                </a:cubicBezTo>
              </a:path>
            </a:pathLst>
          </a:cu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 fLocksText="0">
        <xdr:nvSpPr>
          <xdr:cNvPr id="1718" name="Text Box 694"/>
          <xdr:cNvSpPr txBox="1">
            <a:spLocks noChangeArrowheads="1"/>
          </xdr:cNvSpPr>
        </xdr:nvSpPr>
        <xdr:spPr bwMode="auto">
          <a:xfrm>
            <a:off x="592" y="1415"/>
            <a:ext cx="26" cy="2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18288" anchor="ctr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ＪＳゴシック"/>
              </a:rPr>
              <a:t>1</a:t>
            </a:r>
          </a:p>
        </xdr:txBody>
      </xdr:sp>
      <xdr:sp macro="" textlink="" fLocksText="0">
        <xdr:nvSpPr>
          <xdr:cNvPr id="1719" name="Text Box 695"/>
          <xdr:cNvSpPr txBox="1">
            <a:spLocks noChangeArrowheads="1"/>
          </xdr:cNvSpPr>
        </xdr:nvSpPr>
        <xdr:spPr bwMode="auto">
          <a:xfrm>
            <a:off x="577" y="1433"/>
            <a:ext cx="58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jωC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Ｍ</a:t>
            </a:r>
          </a:p>
        </xdr:txBody>
      </xdr:sp>
      <xdr:sp macro="" textlink="" fLocksText="0">
        <xdr:nvSpPr>
          <xdr:cNvPr id="1720" name="Text Box 696"/>
          <xdr:cNvSpPr txBox="1">
            <a:spLocks noChangeArrowheads="1"/>
          </xdr:cNvSpPr>
        </xdr:nvSpPr>
        <xdr:spPr bwMode="auto">
          <a:xfrm>
            <a:off x="437" y="1458"/>
            <a:ext cx="81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R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 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+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jωＬ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Ｌ</a:t>
            </a:r>
          </a:p>
        </xdr:txBody>
      </xdr:sp>
      <xdr:sp macro="" textlink="" fLocksText="0">
        <xdr:nvSpPr>
          <xdr:cNvPr id="1721" name="Text Box 697"/>
          <xdr:cNvSpPr txBox="1">
            <a:spLocks noChangeArrowheads="1"/>
          </xdr:cNvSpPr>
        </xdr:nvSpPr>
        <xdr:spPr bwMode="auto">
          <a:xfrm>
            <a:off x="679" y="1350"/>
            <a:ext cx="30" cy="2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18288" anchor="ctr" upright="1"/>
          <a:lstStyle/>
          <a:p>
            <a:pPr algn="l" rtl="0">
              <a:defRPr sz="1000"/>
            </a:pPr>
            <a:r>
              <a:rPr lang="ja-JP" altLang="en-US" sz="1200" b="1" i="0" u="none" strike="noStrike" baseline="0">
                <a:solidFill>
                  <a:srgbClr val="339966"/>
                </a:solidFill>
                <a:latin typeface="ＪＳゴシック"/>
              </a:rPr>
              <a:t>→</a:t>
            </a:r>
          </a:p>
        </xdr:txBody>
      </xdr:sp>
      <xdr:sp macro="" textlink="" fLocksText="0">
        <xdr:nvSpPr>
          <xdr:cNvPr id="1722" name="Text Box 698"/>
          <xdr:cNvSpPr txBox="1">
            <a:spLocks noChangeArrowheads="1"/>
          </xdr:cNvSpPr>
        </xdr:nvSpPr>
        <xdr:spPr bwMode="auto">
          <a:xfrm>
            <a:off x="688" y="1552"/>
            <a:ext cx="67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電動機</a:t>
            </a:r>
          </a:p>
        </xdr:txBody>
      </xdr:sp>
      <xdr:sp macro="" textlink="" fLocksText="0">
        <xdr:nvSpPr>
          <xdr:cNvPr id="1723" name="Text Box 699"/>
          <xdr:cNvSpPr txBox="1">
            <a:spLocks noChangeArrowheads="1"/>
          </xdr:cNvSpPr>
        </xdr:nvSpPr>
        <xdr:spPr bwMode="auto">
          <a:xfrm>
            <a:off x="302" y="1415"/>
            <a:ext cx="26" cy="2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18288" anchor="ctr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ＪＳゴシック"/>
              </a:rPr>
              <a:t>1</a:t>
            </a:r>
          </a:p>
        </xdr:txBody>
      </xdr:sp>
      <xdr:sp macro="" textlink="" fLocksText="0">
        <xdr:nvSpPr>
          <xdr:cNvPr id="1724" name="Text Box 700"/>
          <xdr:cNvSpPr txBox="1">
            <a:spLocks noChangeArrowheads="1"/>
          </xdr:cNvSpPr>
        </xdr:nvSpPr>
        <xdr:spPr bwMode="auto">
          <a:xfrm>
            <a:off x="1201" y="1320"/>
            <a:ext cx="55" cy="3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Ｂａｓｅ　　Ｌｏａｄ</a:t>
            </a:r>
          </a:p>
        </xdr:txBody>
      </xdr:sp>
      <xdr:sp macro="" textlink="" fLocksText="0">
        <xdr:nvSpPr>
          <xdr:cNvPr id="1725" name="Text Box 701"/>
          <xdr:cNvSpPr txBox="1">
            <a:spLocks noChangeArrowheads="1"/>
          </xdr:cNvSpPr>
        </xdr:nvSpPr>
        <xdr:spPr bwMode="auto">
          <a:xfrm>
            <a:off x="633" y="1363"/>
            <a:ext cx="40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lnSpc>
                <a:spcPts val="15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ｅ</a:t>
            </a: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Ｃ２</a:t>
            </a:r>
            <a:endParaRPr lang="ja-JP" altLang="en-US" sz="7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7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800"/>
              </a:lnSpc>
              <a:defRPr sz="1000"/>
            </a:pPr>
            <a:endParaRPr lang="ja-JP" altLang="en-US" sz="7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726" name="Text Box 702"/>
          <xdr:cNvSpPr txBox="1">
            <a:spLocks noChangeArrowheads="1"/>
          </xdr:cNvSpPr>
        </xdr:nvSpPr>
        <xdr:spPr bwMode="auto">
          <a:xfrm>
            <a:off x="241" y="1320"/>
            <a:ext cx="95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R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ＴＲ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+ jωＬ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ＴＲ</a:t>
            </a:r>
          </a:p>
        </xdr:txBody>
      </xdr:sp>
      <xdr:sp macro="" textlink="" fLocksText="0">
        <xdr:nvSpPr>
          <xdr:cNvPr id="1727" name="Text Box 703"/>
          <xdr:cNvSpPr txBox="1">
            <a:spLocks noChangeArrowheads="1"/>
          </xdr:cNvSpPr>
        </xdr:nvSpPr>
        <xdr:spPr bwMode="auto">
          <a:xfrm>
            <a:off x="1219" y="1399"/>
            <a:ext cx="85" cy="2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始動電動機</a:t>
            </a:r>
          </a:p>
        </xdr:txBody>
      </xdr:sp>
      <xdr:sp macro="" textlink="" fLocksText="0">
        <xdr:nvSpPr>
          <xdr:cNvPr id="1728" name="Text Box 704"/>
          <xdr:cNvSpPr txBox="1">
            <a:spLocks noChangeArrowheads="1"/>
          </xdr:cNvSpPr>
        </xdr:nvSpPr>
        <xdr:spPr bwMode="auto">
          <a:xfrm>
            <a:off x="823" y="1389"/>
            <a:ext cx="91" cy="2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送電側機器</a:t>
            </a:r>
          </a:p>
        </xdr:txBody>
      </xdr:sp>
      <xdr:sp macro="" textlink="" fLocksText="0">
        <xdr:nvSpPr>
          <xdr:cNvPr id="1729" name="Text Box 705"/>
          <xdr:cNvSpPr txBox="1">
            <a:spLocks noChangeArrowheads="1"/>
          </xdr:cNvSpPr>
        </xdr:nvSpPr>
        <xdr:spPr bwMode="auto">
          <a:xfrm>
            <a:off x="608" y="1319"/>
            <a:ext cx="96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R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C２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+ jωＬ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C２</a:t>
            </a:r>
          </a:p>
        </xdr:txBody>
      </xdr:sp>
      <xdr:sp macro="" textlink="" fLocksText="0">
        <xdr:nvSpPr>
          <xdr:cNvPr id="1730" name="Text Box 706"/>
          <xdr:cNvSpPr txBox="1">
            <a:spLocks noChangeArrowheads="1"/>
          </xdr:cNvSpPr>
        </xdr:nvSpPr>
        <xdr:spPr bwMode="auto">
          <a:xfrm>
            <a:off x="192" y="1448"/>
            <a:ext cx="37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Ｅ</a:t>
            </a:r>
            <a:r>
              <a:rPr lang="ja-JP" altLang="en-US" sz="7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Ｓ</a:t>
            </a:r>
          </a:p>
        </xdr:txBody>
      </xdr:sp>
      <xdr:sp macro="" textlink="" fLocksText="0">
        <xdr:nvSpPr>
          <xdr:cNvPr id="1731" name="Text Box 707"/>
          <xdr:cNvSpPr txBox="1">
            <a:spLocks noChangeArrowheads="1"/>
          </xdr:cNvSpPr>
        </xdr:nvSpPr>
        <xdr:spPr bwMode="auto">
          <a:xfrm>
            <a:off x="698" y="1352"/>
            <a:ext cx="30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I</a:t>
            </a:r>
            <a:r>
              <a:rPr lang="ja-JP" altLang="en-US" sz="700" b="0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Ｍ</a:t>
            </a:r>
          </a:p>
        </xdr:txBody>
      </xdr:sp>
      <xdr:sp macro="" textlink="" fLocksText="0">
        <xdr:nvSpPr>
          <xdr:cNvPr id="1732" name="Text Box 708"/>
          <xdr:cNvSpPr txBox="1">
            <a:spLocks noChangeArrowheads="1"/>
          </xdr:cNvSpPr>
        </xdr:nvSpPr>
        <xdr:spPr bwMode="auto">
          <a:xfrm>
            <a:off x="710" y="1331"/>
            <a:ext cx="46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Ｅ</a:t>
            </a:r>
            <a:r>
              <a:rPr lang="ja-JP" altLang="en-US" sz="7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Ｍ</a:t>
            </a:r>
          </a:p>
        </xdr:txBody>
      </xdr:sp>
      <xdr:sp macro="" textlink="" fLocksText="0">
        <xdr:nvSpPr>
          <xdr:cNvPr id="1733" name="Text Box 709"/>
          <xdr:cNvSpPr txBox="1">
            <a:spLocks noChangeArrowheads="1"/>
          </xdr:cNvSpPr>
        </xdr:nvSpPr>
        <xdr:spPr bwMode="auto">
          <a:xfrm>
            <a:off x="204" y="1377"/>
            <a:ext cx="30" cy="2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18288" anchor="ctr" upright="1"/>
          <a:lstStyle/>
          <a:p>
            <a:pPr algn="l" rtl="0">
              <a:defRPr sz="1000"/>
            </a:pPr>
            <a:r>
              <a:rPr lang="ja-JP" altLang="en-US" sz="1200" b="1" i="0" u="none" strike="noStrike" baseline="0">
                <a:solidFill>
                  <a:srgbClr val="339966"/>
                </a:solidFill>
                <a:latin typeface="ＪＳゴシック"/>
              </a:rPr>
              <a:t>↑</a:t>
            </a:r>
          </a:p>
        </xdr:txBody>
      </xdr:sp>
      <xdr:sp macro="" textlink="" fLocksText="0">
        <xdr:nvSpPr>
          <xdr:cNvPr id="1734" name="Text Box 710"/>
          <xdr:cNvSpPr txBox="1">
            <a:spLocks noChangeArrowheads="1"/>
          </xdr:cNvSpPr>
        </xdr:nvSpPr>
        <xdr:spPr bwMode="auto">
          <a:xfrm>
            <a:off x="346" y="1377"/>
            <a:ext cx="30" cy="2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18288" anchor="ctr" upright="1"/>
          <a:lstStyle/>
          <a:p>
            <a:pPr algn="l" rtl="0">
              <a:defRPr sz="1000"/>
            </a:pPr>
            <a:r>
              <a:rPr lang="ja-JP" altLang="en-US" sz="1200" b="1" i="0" u="none" strike="noStrike" baseline="0">
                <a:solidFill>
                  <a:srgbClr val="339966"/>
                </a:solidFill>
                <a:latin typeface="ＪＳゴシック"/>
              </a:rPr>
              <a:t>↓</a:t>
            </a:r>
          </a:p>
        </xdr:txBody>
      </xdr:sp>
      <xdr:sp macro="" textlink="" fLocksText="0">
        <xdr:nvSpPr>
          <xdr:cNvPr id="1735" name="Text Box 711"/>
          <xdr:cNvSpPr txBox="1">
            <a:spLocks noChangeArrowheads="1"/>
          </xdr:cNvSpPr>
        </xdr:nvSpPr>
        <xdr:spPr bwMode="auto">
          <a:xfrm>
            <a:off x="225" y="1379"/>
            <a:ext cx="69" cy="3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I</a:t>
            </a:r>
            <a:r>
              <a:rPr lang="ja-JP" altLang="en-US" sz="700" b="0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900" b="0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＋</a:t>
            </a:r>
            <a:r>
              <a:rPr lang="ja-JP" altLang="en-US" sz="1100" b="1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Ｉ</a:t>
            </a:r>
            <a:r>
              <a:rPr lang="ja-JP" altLang="en-US" sz="700" b="0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ＣＲ</a:t>
            </a:r>
          </a:p>
        </xdr:txBody>
      </xdr:sp>
      <xdr:sp macro="" textlink="" fLocksText="0">
        <xdr:nvSpPr>
          <xdr:cNvPr id="1736" name="Text Box 712"/>
          <xdr:cNvSpPr txBox="1">
            <a:spLocks noChangeArrowheads="1"/>
          </xdr:cNvSpPr>
        </xdr:nvSpPr>
        <xdr:spPr bwMode="auto">
          <a:xfrm>
            <a:off x="361" y="1379"/>
            <a:ext cx="47" cy="3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I</a:t>
            </a:r>
            <a:r>
              <a:rPr lang="ja-JP" altLang="en-US" sz="700" b="0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ＣＲ</a:t>
            </a:r>
          </a:p>
        </xdr:txBody>
      </xdr:sp>
      <xdr:sp macro="" textlink="" fLocksText="0">
        <xdr:nvSpPr>
          <xdr:cNvPr id="1737" name="Text Box 713"/>
          <xdr:cNvSpPr txBox="1">
            <a:spLocks noChangeArrowheads="1"/>
          </xdr:cNvSpPr>
        </xdr:nvSpPr>
        <xdr:spPr bwMode="auto">
          <a:xfrm>
            <a:off x="190" y="1243"/>
            <a:ext cx="81" cy="2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回路図</a:t>
            </a:r>
          </a:p>
        </xdr:txBody>
      </xdr:sp>
      <xdr:sp macro="" textlink="" fLocksText="0">
        <xdr:nvSpPr>
          <xdr:cNvPr id="1738" name="Text Box 714"/>
          <xdr:cNvSpPr txBox="1">
            <a:spLocks noChangeArrowheads="1"/>
          </xdr:cNvSpPr>
        </xdr:nvSpPr>
        <xdr:spPr bwMode="auto">
          <a:xfrm>
            <a:off x="799" y="1564"/>
            <a:ext cx="197" cy="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［注］計算は、オ－ム法による。</a:t>
            </a:r>
          </a:p>
        </xdr:txBody>
      </xdr:sp>
      <xdr:sp macro="" textlink="">
        <xdr:nvSpPr>
          <xdr:cNvPr id="1739" name="Text Box 715"/>
          <xdr:cNvSpPr txBox="1">
            <a:spLocks noChangeArrowheads="1"/>
          </xdr:cNvSpPr>
        </xdr:nvSpPr>
        <xdr:spPr bwMode="auto">
          <a:xfrm>
            <a:off x="694" y="1427"/>
            <a:ext cx="54" cy="24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Moter</a:t>
            </a:r>
          </a:p>
          <a:p>
            <a:pPr algn="ctr" rtl="0">
              <a:lnSpc>
                <a:spcPts val="1300"/>
              </a:lnSpc>
              <a:defRPr sz="1000"/>
            </a:pPr>
            <a:endPara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endParaRPr>
          </a:p>
        </xdr:txBody>
      </xdr:sp>
      <xdr:sp macro="" textlink="">
        <xdr:nvSpPr>
          <xdr:cNvPr id="1740" name="Line 716"/>
          <xdr:cNvSpPr>
            <a:spLocks noChangeShapeType="1"/>
          </xdr:cNvSpPr>
        </xdr:nvSpPr>
        <xdr:spPr bwMode="auto">
          <a:xfrm>
            <a:off x="564" y="1353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41" name="Line 717"/>
          <xdr:cNvSpPr>
            <a:spLocks noChangeShapeType="1"/>
          </xdr:cNvSpPr>
        </xdr:nvSpPr>
        <xdr:spPr bwMode="auto">
          <a:xfrm>
            <a:off x="517" y="1457"/>
            <a:ext cx="0" cy="7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42" name="Line 718"/>
          <xdr:cNvSpPr>
            <a:spLocks noChangeShapeType="1"/>
          </xdr:cNvSpPr>
        </xdr:nvSpPr>
        <xdr:spPr bwMode="auto">
          <a:xfrm>
            <a:off x="581" y="1540"/>
            <a:ext cx="0" cy="45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43" name="Line 719"/>
          <xdr:cNvSpPr>
            <a:spLocks noChangeShapeType="1"/>
          </xdr:cNvSpPr>
        </xdr:nvSpPr>
        <xdr:spPr bwMode="auto">
          <a:xfrm>
            <a:off x="488" y="1571"/>
            <a:ext cx="9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stealth" w="sm" len="med"/>
            <a:tailEnd type="stealth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 fLocksText="0">
        <xdr:nvSpPr>
          <xdr:cNvPr id="1744" name="Text Box 720"/>
          <xdr:cNvSpPr txBox="1">
            <a:spLocks noChangeArrowheads="1"/>
          </xdr:cNvSpPr>
        </xdr:nvSpPr>
        <xdr:spPr bwMode="auto">
          <a:xfrm>
            <a:off x="914" y="1300"/>
            <a:ext cx="69" cy="2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動力幹線</a:t>
            </a:r>
          </a:p>
        </xdr:txBody>
      </xdr:sp>
      <xdr:sp macro="" textlink="">
        <xdr:nvSpPr>
          <xdr:cNvPr id="1745" name="Line 721"/>
          <xdr:cNvSpPr>
            <a:spLocks noChangeShapeType="1"/>
          </xdr:cNvSpPr>
        </xdr:nvSpPr>
        <xdr:spPr bwMode="auto">
          <a:xfrm>
            <a:off x="564" y="1439"/>
            <a:ext cx="0" cy="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46" name="Text Box 722"/>
          <xdr:cNvSpPr txBox="1">
            <a:spLocks noChangeArrowheads="1"/>
          </xdr:cNvSpPr>
        </xdr:nvSpPr>
        <xdr:spPr bwMode="auto">
          <a:xfrm>
            <a:off x="422" y="1342"/>
            <a:ext cx="53" cy="23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Cable</a:t>
            </a:r>
          </a:p>
        </xdr:txBody>
      </xdr:sp>
      <xdr:sp macro="" textlink="" fLocksText="0">
        <xdr:nvSpPr>
          <xdr:cNvPr id="1747" name="Text Box 723"/>
          <xdr:cNvSpPr txBox="1">
            <a:spLocks noChangeArrowheads="1"/>
          </xdr:cNvSpPr>
        </xdr:nvSpPr>
        <xdr:spPr bwMode="auto">
          <a:xfrm>
            <a:off x="405" y="1319"/>
            <a:ext cx="102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R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C１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+ jωＬ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C１</a:t>
            </a:r>
          </a:p>
        </xdr:txBody>
      </xdr:sp>
      <xdr:sp macro="" textlink="" fLocksText="0">
        <xdr:nvSpPr>
          <xdr:cNvPr id="1748" name="Text Box 724"/>
          <xdr:cNvSpPr txBox="1">
            <a:spLocks noChangeArrowheads="1"/>
          </xdr:cNvSpPr>
        </xdr:nvSpPr>
        <xdr:spPr bwMode="auto">
          <a:xfrm>
            <a:off x="624" y="1466"/>
            <a:ext cx="100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R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MS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+jωＬ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MS</a:t>
            </a:r>
          </a:p>
        </xdr:txBody>
      </xdr:sp>
      <xdr:sp macro="" textlink="">
        <xdr:nvSpPr>
          <xdr:cNvPr id="1749" name="Line 725"/>
          <xdr:cNvSpPr>
            <a:spLocks noChangeShapeType="1"/>
          </xdr:cNvSpPr>
        </xdr:nvSpPr>
        <xdr:spPr bwMode="auto">
          <a:xfrm>
            <a:off x="749" y="1540"/>
            <a:ext cx="0" cy="45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50" name="Line 726"/>
          <xdr:cNvSpPr>
            <a:spLocks noChangeShapeType="1"/>
          </xdr:cNvSpPr>
        </xdr:nvSpPr>
        <xdr:spPr bwMode="auto">
          <a:xfrm>
            <a:off x="680" y="1540"/>
            <a:ext cx="0" cy="45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51" name="Line 727"/>
          <xdr:cNvSpPr>
            <a:spLocks noChangeShapeType="1"/>
          </xdr:cNvSpPr>
        </xdr:nvSpPr>
        <xdr:spPr bwMode="auto">
          <a:xfrm>
            <a:off x="582" y="1571"/>
            <a:ext cx="98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 type="stealth" w="sm" len="med"/>
            <a:tailEnd type="stealth" w="sm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 fLocksText="0">
        <xdr:nvSpPr>
          <xdr:cNvPr id="1752" name="Text Box 728"/>
          <xdr:cNvSpPr txBox="1">
            <a:spLocks noChangeArrowheads="1"/>
          </xdr:cNvSpPr>
        </xdr:nvSpPr>
        <xdr:spPr bwMode="auto">
          <a:xfrm>
            <a:off x="432" y="1363"/>
            <a:ext cx="47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lnSpc>
                <a:spcPts val="15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ｅ</a:t>
            </a:r>
            <a:r>
              <a:rPr lang="ja-JP" altLang="en-US" sz="6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Ｃ１</a:t>
            </a:r>
            <a:endParaRPr lang="ja-JP" altLang="en-US" sz="7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7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800"/>
              </a:lnSpc>
              <a:defRPr sz="1000"/>
            </a:pPr>
            <a:endParaRPr lang="ja-JP" altLang="en-US" sz="7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753" name="Text Box 729"/>
          <xdr:cNvSpPr txBox="1">
            <a:spLocks noChangeArrowheads="1"/>
          </xdr:cNvSpPr>
        </xdr:nvSpPr>
        <xdr:spPr bwMode="auto">
          <a:xfrm>
            <a:off x="581" y="1347"/>
            <a:ext cx="16" cy="14"/>
          </a:xfrm>
          <a:prstGeom prst="rect">
            <a:avLst/>
          </a:prstGeom>
          <a:noFill/>
          <a:ln>
            <a:noFill/>
          </a:ln>
          <a:effectLst>
            <a:outerShdw dist="35921" dir="2700000" algn="ctr" rotWithShape="0">
              <a:srgbClr val="000000"/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5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●</a:t>
            </a:r>
          </a:p>
        </xdr:txBody>
      </xdr:sp>
      <xdr:sp macro="" textlink="" fLocksText="0">
        <xdr:nvSpPr>
          <xdr:cNvPr id="1754" name="Text Box 730"/>
          <xdr:cNvSpPr txBox="1">
            <a:spLocks noChangeArrowheads="1"/>
          </xdr:cNvSpPr>
        </xdr:nvSpPr>
        <xdr:spPr bwMode="auto">
          <a:xfrm>
            <a:off x="513" y="1275"/>
            <a:ext cx="30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Ｚ</a:t>
            </a:r>
            <a:r>
              <a:rPr lang="ja-JP" altLang="en-US" sz="7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３</a:t>
            </a:r>
          </a:p>
        </xdr:txBody>
      </xdr:sp>
      <xdr:sp macro="" textlink="">
        <xdr:nvSpPr>
          <xdr:cNvPr id="1755" name="Line 731"/>
          <xdr:cNvSpPr>
            <a:spLocks noChangeShapeType="1"/>
          </xdr:cNvSpPr>
        </xdr:nvSpPr>
        <xdr:spPr bwMode="auto">
          <a:xfrm>
            <a:off x="497" y="1287"/>
            <a:ext cx="0" cy="9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56" name="Line 732"/>
          <xdr:cNvSpPr>
            <a:spLocks noChangeShapeType="1"/>
          </xdr:cNvSpPr>
        </xdr:nvSpPr>
        <xdr:spPr bwMode="auto">
          <a:xfrm>
            <a:off x="499" y="1287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 fLocksText="0">
        <xdr:nvSpPr>
          <xdr:cNvPr id="1757" name="Text Box 733"/>
          <xdr:cNvSpPr txBox="1">
            <a:spLocks noChangeArrowheads="1"/>
          </xdr:cNvSpPr>
        </xdr:nvSpPr>
        <xdr:spPr bwMode="auto">
          <a:xfrm>
            <a:off x="575" y="1331"/>
            <a:ext cx="37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Ｅ</a:t>
            </a:r>
            <a:r>
              <a:rPr lang="ja-JP" altLang="en-US" sz="7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Ｐ</a:t>
            </a:r>
          </a:p>
        </xdr:txBody>
      </xdr:sp>
      <xdr:sp macro="" textlink="" fLocksText="0">
        <xdr:nvSpPr>
          <xdr:cNvPr id="1758" name="Text Box 734"/>
          <xdr:cNvSpPr txBox="1">
            <a:spLocks noChangeArrowheads="1"/>
          </xdr:cNvSpPr>
        </xdr:nvSpPr>
        <xdr:spPr bwMode="auto">
          <a:xfrm>
            <a:off x="255" y="1274"/>
            <a:ext cx="23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Ｚ</a:t>
            </a:r>
          </a:p>
        </xdr:txBody>
      </xdr:sp>
      <xdr:sp macro="" textlink="">
        <xdr:nvSpPr>
          <xdr:cNvPr id="1759" name="Line 735"/>
          <xdr:cNvSpPr>
            <a:spLocks noChangeShapeType="1"/>
          </xdr:cNvSpPr>
        </xdr:nvSpPr>
        <xdr:spPr bwMode="auto">
          <a:xfrm>
            <a:off x="236" y="1286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60" name="Line 736"/>
          <xdr:cNvSpPr>
            <a:spLocks noChangeShapeType="1"/>
          </xdr:cNvSpPr>
        </xdr:nvSpPr>
        <xdr:spPr bwMode="auto">
          <a:xfrm>
            <a:off x="603" y="1287"/>
            <a:ext cx="0" cy="8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 fLocksText="0">
        <xdr:nvSpPr>
          <xdr:cNvPr id="1761" name="Text Box 737"/>
          <xdr:cNvSpPr txBox="1">
            <a:spLocks noChangeArrowheads="1"/>
          </xdr:cNvSpPr>
        </xdr:nvSpPr>
        <xdr:spPr bwMode="auto">
          <a:xfrm>
            <a:off x="560" y="1275"/>
            <a:ext cx="30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Ｚ</a:t>
            </a:r>
            <a:r>
              <a:rPr lang="ja-JP" altLang="en-US" sz="7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２</a:t>
            </a:r>
          </a:p>
        </xdr:txBody>
      </xdr:sp>
      <xdr:sp macro="" textlink="">
        <xdr:nvSpPr>
          <xdr:cNvPr id="1762" name="Line 738"/>
          <xdr:cNvSpPr>
            <a:spLocks noChangeShapeType="1"/>
          </xdr:cNvSpPr>
        </xdr:nvSpPr>
        <xdr:spPr bwMode="auto">
          <a:xfrm>
            <a:off x="546" y="1287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63" name="Line 739"/>
          <xdr:cNvSpPr>
            <a:spLocks noChangeShapeType="1"/>
          </xdr:cNvSpPr>
        </xdr:nvSpPr>
        <xdr:spPr bwMode="auto">
          <a:xfrm>
            <a:off x="236" y="1287"/>
            <a:ext cx="0" cy="8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 fLocksText="0">
        <xdr:nvSpPr>
          <xdr:cNvPr id="1764" name="Text Box 740"/>
          <xdr:cNvSpPr txBox="1">
            <a:spLocks noChangeArrowheads="1"/>
          </xdr:cNvSpPr>
        </xdr:nvSpPr>
        <xdr:spPr bwMode="auto">
          <a:xfrm>
            <a:off x="617" y="1274"/>
            <a:ext cx="30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Ｚ</a:t>
            </a:r>
            <a:r>
              <a:rPr lang="ja-JP" altLang="en-US" sz="7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１</a:t>
            </a:r>
          </a:p>
        </xdr:txBody>
      </xdr:sp>
      <xdr:sp macro="" textlink="">
        <xdr:nvSpPr>
          <xdr:cNvPr id="1765" name="Line 741"/>
          <xdr:cNvSpPr>
            <a:spLocks noChangeShapeType="1"/>
          </xdr:cNvSpPr>
        </xdr:nvSpPr>
        <xdr:spPr bwMode="auto">
          <a:xfrm>
            <a:off x="603" y="1286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66" name="Line 742"/>
          <xdr:cNvSpPr>
            <a:spLocks noChangeShapeType="1"/>
          </xdr:cNvSpPr>
        </xdr:nvSpPr>
        <xdr:spPr bwMode="auto">
          <a:xfrm>
            <a:off x="545" y="1288"/>
            <a:ext cx="0" cy="8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 fLocksText="0">
        <xdr:nvSpPr>
          <xdr:cNvPr id="1767" name="Text Box 743"/>
          <xdr:cNvSpPr txBox="1">
            <a:spLocks noChangeArrowheads="1"/>
          </xdr:cNvSpPr>
        </xdr:nvSpPr>
        <xdr:spPr bwMode="auto">
          <a:xfrm>
            <a:off x="417" y="1274"/>
            <a:ext cx="30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Ｚ</a:t>
            </a:r>
            <a:r>
              <a:rPr lang="ja-JP" altLang="en-US" sz="7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４</a:t>
            </a:r>
          </a:p>
        </xdr:txBody>
      </xdr:sp>
      <xdr:sp macro="" textlink="">
        <xdr:nvSpPr>
          <xdr:cNvPr id="1768" name="Line 744"/>
          <xdr:cNvSpPr>
            <a:spLocks noChangeShapeType="1"/>
          </xdr:cNvSpPr>
        </xdr:nvSpPr>
        <xdr:spPr bwMode="auto">
          <a:xfrm>
            <a:off x="403" y="1286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69" name="Line 745"/>
          <xdr:cNvSpPr>
            <a:spLocks noChangeShapeType="1"/>
          </xdr:cNvSpPr>
        </xdr:nvSpPr>
        <xdr:spPr bwMode="auto">
          <a:xfrm>
            <a:off x="401" y="1287"/>
            <a:ext cx="0" cy="8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 fLocksText="0">
        <xdr:nvSpPr>
          <xdr:cNvPr id="1770" name="Text Box 746"/>
          <xdr:cNvSpPr txBox="1">
            <a:spLocks noChangeArrowheads="1"/>
          </xdr:cNvSpPr>
        </xdr:nvSpPr>
        <xdr:spPr bwMode="auto">
          <a:xfrm>
            <a:off x="351" y="1274"/>
            <a:ext cx="30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Ｚ</a:t>
            </a:r>
            <a:r>
              <a:rPr lang="ja-JP" altLang="en-US" sz="7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５</a:t>
            </a:r>
          </a:p>
        </xdr:txBody>
      </xdr:sp>
      <xdr:sp macro="" textlink="">
        <xdr:nvSpPr>
          <xdr:cNvPr id="1771" name="Line 747"/>
          <xdr:cNvSpPr>
            <a:spLocks noChangeShapeType="1"/>
          </xdr:cNvSpPr>
        </xdr:nvSpPr>
        <xdr:spPr bwMode="auto">
          <a:xfrm>
            <a:off x="337" y="1286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72" name="Line 748"/>
          <xdr:cNvSpPr>
            <a:spLocks noChangeShapeType="1"/>
          </xdr:cNvSpPr>
        </xdr:nvSpPr>
        <xdr:spPr bwMode="auto">
          <a:xfrm>
            <a:off x="336" y="1287"/>
            <a:ext cx="0" cy="8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dash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 fLocksText="0">
        <xdr:nvSpPr>
          <xdr:cNvPr id="1773" name="Text Box 749"/>
          <xdr:cNvSpPr txBox="1">
            <a:spLocks noChangeArrowheads="1"/>
          </xdr:cNvSpPr>
        </xdr:nvSpPr>
        <xdr:spPr bwMode="auto">
          <a:xfrm>
            <a:off x="355" y="1350"/>
            <a:ext cx="30" cy="2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18288" anchor="ctr" upright="1"/>
          <a:lstStyle/>
          <a:p>
            <a:pPr algn="l" rtl="0">
              <a:defRPr sz="1000"/>
            </a:pPr>
            <a:r>
              <a:rPr lang="ja-JP" altLang="en-US" sz="1200" b="1" i="0" u="none" strike="noStrike" baseline="0">
                <a:solidFill>
                  <a:srgbClr val="339966"/>
                </a:solidFill>
                <a:latin typeface="ＪＳゴシック"/>
              </a:rPr>
              <a:t>→</a:t>
            </a:r>
          </a:p>
        </xdr:txBody>
      </xdr:sp>
      <xdr:sp macro="" textlink="" fLocksText="0">
        <xdr:nvSpPr>
          <xdr:cNvPr id="1774" name="Text Box 750"/>
          <xdr:cNvSpPr txBox="1">
            <a:spLocks noChangeArrowheads="1"/>
          </xdr:cNvSpPr>
        </xdr:nvSpPr>
        <xdr:spPr bwMode="auto">
          <a:xfrm>
            <a:off x="376" y="1352"/>
            <a:ext cx="30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I</a:t>
            </a:r>
            <a:r>
              <a:rPr lang="ja-JP" altLang="en-US" sz="700" b="0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Ｌ</a:t>
            </a:r>
          </a:p>
        </xdr:txBody>
      </xdr:sp>
      <xdr:sp macro="" textlink="" fLocksText="0">
        <xdr:nvSpPr>
          <xdr:cNvPr id="1775" name="Text Box 751"/>
          <xdr:cNvSpPr txBox="1">
            <a:spLocks noChangeArrowheads="1"/>
          </xdr:cNvSpPr>
        </xdr:nvSpPr>
        <xdr:spPr bwMode="auto">
          <a:xfrm>
            <a:off x="799" y="1480"/>
            <a:ext cx="515" cy="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明朝"/>
                <a:ea typeface="ＭＳ Ｐ明朝"/>
              </a:rPr>
              <a:t>電動機端子電圧</a:t>
            </a: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Ｅ</a:t>
            </a:r>
            <a:r>
              <a:rPr lang="ja-JP" altLang="en-US" sz="7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Ｍ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＝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Ｉ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Ｍ 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Ｚ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Ｍ</a:t>
            </a:r>
          </a:p>
        </xdr:txBody>
      </xdr:sp>
      <xdr:sp macro="" textlink="" fLocksText="0">
        <xdr:nvSpPr>
          <xdr:cNvPr id="1776" name="Text Box 752"/>
          <xdr:cNvSpPr txBox="1">
            <a:spLocks noChangeArrowheads="1"/>
          </xdr:cNvSpPr>
        </xdr:nvSpPr>
        <xdr:spPr bwMode="auto">
          <a:xfrm>
            <a:off x="805" y="1534"/>
            <a:ext cx="486" cy="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18288" anchor="ctr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明朝"/>
                <a:ea typeface="ＭＳ 明朝"/>
              </a:rPr>
              <a:t>　　　　　　　</a:t>
            </a: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Ｅ</a:t>
            </a:r>
            <a:r>
              <a:rPr lang="ja-JP" altLang="en-US" sz="7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Ｃ２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≒√３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  <a:r>
              <a:rPr lang="ja-JP" altLang="en-US" sz="1100" b="1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Ｉ</a:t>
            </a:r>
            <a:r>
              <a:rPr lang="ja-JP" altLang="en-US" sz="700" b="0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Ｍ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（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Ｃ２ 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COS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φ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ＺＭ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＋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ωＬ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Ｃ２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･</a:t>
            </a:r>
            <a:r>
              <a:rPr lang="ja-JP" altLang="en-US" sz="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SＩＮφ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ＺＭ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）｝</a:t>
            </a:r>
          </a:p>
        </xdr:txBody>
      </xdr:sp>
      <xdr:sp macro="" textlink="" fLocksText="0">
        <xdr:nvSpPr>
          <xdr:cNvPr id="1777" name="Text Box 753"/>
          <xdr:cNvSpPr txBox="1">
            <a:spLocks noChangeArrowheads="1"/>
          </xdr:cNvSpPr>
        </xdr:nvSpPr>
        <xdr:spPr bwMode="auto">
          <a:xfrm>
            <a:off x="1286" y="1536"/>
            <a:ext cx="27" cy="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[Ｖ]</a:t>
            </a:r>
          </a:p>
        </xdr:txBody>
      </xdr:sp>
      <xdr:sp macro="" textlink="" fLocksText="0">
        <xdr:nvSpPr>
          <xdr:cNvPr id="1778" name="Text Box 754"/>
          <xdr:cNvSpPr txBox="1">
            <a:spLocks noChangeArrowheads="1"/>
          </xdr:cNvSpPr>
        </xdr:nvSpPr>
        <xdr:spPr bwMode="auto">
          <a:xfrm>
            <a:off x="1286" y="1454"/>
            <a:ext cx="27" cy="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[Ｖ]</a:t>
            </a:r>
          </a:p>
        </xdr:txBody>
      </xdr:sp>
      <xdr:sp macro="" textlink="" fLocksText="0">
        <xdr:nvSpPr>
          <xdr:cNvPr id="1779" name="Text Box 755"/>
          <xdr:cNvSpPr txBox="1">
            <a:spLocks noChangeArrowheads="1"/>
          </xdr:cNvSpPr>
        </xdr:nvSpPr>
        <xdr:spPr bwMode="auto">
          <a:xfrm>
            <a:off x="800" y="1452"/>
            <a:ext cx="511" cy="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明朝"/>
                <a:ea typeface="ＭＳ Ｐ明朝"/>
              </a:rPr>
              <a:t>送　電　端　電圧</a:t>
            </a: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Ｅ</a:t>
            </a:r>
            <a:r>
              <a:rPr lang="ja-JP" altLang="en-US" sz="7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Ｒ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＝（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Ｚ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５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／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Ｚ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）・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Ｅ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Ｓ</a:t>
            </a:r>
          </a:p>
        </xdr:txBody>
      </xdr:sp>
      <xdr:sp macro="" textlink="" fLocksText="0">
        <xdr:nvSpPr>
          <xdr:cNvPr id="1780" name="Text Box 756"/>
          <xdr:cNvSpPr txBox="1">
            <a:spLocks noChangeArrowheads="1"/>
          </xdr:cNvSpPr>
        </xdr:nvSpPr>
        <xdr:spPr bwMode="auto">
          <a:xfrm>
            <a:off x="1286" y="1482"/>
            <a:ext cx="27" cy="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[Ｖ]</a:t>
            </a:r>
          </a:p>
        </xdr:txBody>
      </xdr:sp>
      <xdr:sp macro="" textlink="" fLocksText="0">
        <xdr:nvSpPr>
          <xdr:cNvPr id="1781" name="Text Box 757"/>
          <xdr:cNvSpPr txBox="1">
            <a:spLocks noChangeArrowheads="1"/>
          </xdr:cNvSpPr>
        </xdr:nvSpPr>
        <xdr:spPr bwMode="auto">
          <a:xfrm>
            <a:off x="799" y="1515"/>
            <a:ext cx="486" cy="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明朝"/>
                <a:ea typeface="ＭＳ 明朝"/>
              </a:rPr>
              <a:t>電線路電圧降下 </a:t>
            </a: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Ｅ</a:t>
            </a:r>
            <a:r>
              <a:rPr lang="ja-JP" altLang="en-US" sz="7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Ｃ１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≒√３ 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  <a:r>
              <a:rPr lang="ja-JP" altLang="en-US" sz="1100" b="1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Ｉ</a:t>
            </a:r>
            <a:r>
              <a:rPr lang="ja-JP" altLang="en-US" sz="700" b="0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</a:rPr>
              <a:t>Ｌ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（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Ｃ１ 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COS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φ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Ｚ３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＋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ωＬ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Ｃ１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･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SＩＮφ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Ｚ３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）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｝</a:t>
            </a:r>
          </a:p>
        </xdr:txBody>
      </xdr:sp>
      <xdr:sp macro="" textlink="" fLocksText="0">
        <xdr:nvSpPr>
          <xdr:cNvPr id="1782" name="Text Box 758"/>
          <xdr:cNvSpPr txBox="1">
            <a:spLocks noChangeArrowheads="1"/>
          </xdr:cNvSpPr>
        </xdr:nvSpPr>
        <xdr:spPr bwMode="auto">
          <a:xfrm>
            <a:off x="1286" y="1516"/>
            <a:ext cx="27" cy="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[Ｖ]</a:t>
            </a:r>
          </a:p>
        </xdr:txBody>
      </xdr:sp>
      <xdr:sp macro="" textlink="">
        <xdr:nvSpPr>
          <xdr:cNvPr id="1783" name="Oval 759"/>
          <xdr:cNvSpPr>
            <a:spLocks noChangeArrowheads="1"/>
          </xdr:cNvSpPr>
        </xdr:nvSpPr>
        <xdr:spPr bwMode="auto">
          <a:xfrm>
            <a:off x="1245" y="1368"/>
            <a:ext cx="26" cy="2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99CCFF" mc:Ignorable="a14" a14:legacySpreadsheetColorIndex="44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84" name="Oval 760"/>
          <xdr:cNvSpPr>
            <a:spLocks noChangeArrowheads="1"/>
          </xdr:cNvSpPr>
        </xdr:nvSpPr>
        <xdr:spPr bwMode="auto">
          <a:xfrm>
            <a:off x="815" y="1299"/>
            <a:ext cx="40" cy="41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99CCFF" mc:Ignorable="a14" a14:legacySpreadsheetColorIndex="44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85" name="Line 761"/>
          <xdr:cNvSpPr>
            <a:spLocks noChangeShapeType="1"/>
          </xdr:cNvSpPr>
        </xdr:nvSpPr>
        <xdr:spPr bwMode="auto">
          <a:xfrm>
            <a:off x="879" y="1320"/>
            <a:ext cx="21" cy="0"/>
          </a:xfrm>
          <a:prstGeom prst="lin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86" name="Line 762"/>
          <xdr:cNvSpPr>
            <a:spLocks noChangeShapeType="1"/>
          </xdr:cNvSpPr>
        </xdr:nvSpPr>
        <xdr:spPr bwMode="auto">
          <a:xfrm>
            <a:off x="1061" y="1381"/>
            <a:ext cx="0" cy="3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87" name="Line 763"/>
          <xdr:cNvSpPr>
            <a:spLocks noChangeShapeType="1"/>
          </xdr:cNvSpPr>
        </xdr:nvSpPr>
        <xdr:spPr bwMode="auto">
          <a:xfrm>
            <a:off x="552" y="1430"/>
            <a:ext cx="26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88" name="Line 764"/>
          <xdr:cNvSpPr>
            <a:spLocks noChangeShapeType="1"/>
          </xdr:cNvSpPr>
        </xdr:nvSpPr>
        <xdr:spPr bwMode="auto">
          <a:xfrm>
            <a:off x="1052" y="1425"/>
            <a:ext cx="18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89" name="AutoShape 765"/>
          <xdr:cNvSpPr>
            <a:spLocks noChangeArrowheads="1"/>
          </xdr:cNvSpPr>
        </xdr:nvSpPr>
        <xdr:spPr bwMode="auto">
          <a:xfrm rot="-30627468">
            <a:off x="1069" y="1354"/>
            <a:ext cx="10" cy="9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90" name="Line 766"/>
          <xdr:cNvSpPr>
            <a:spLocks noChangeShapeType="1"/>
          </xdr:cNvSpPr>
        </xdr:nvSpPr>
        <xdr:spPr bwMode="auto">
          <a:xfrm>
            <a:off x="1081" y="1357"/>
            <a:ext cx="79" cy="0"/>
          </a:xfrm>
          <a:prstGeom prst="line">
            <a:avLst/>
          </a:prstGeom>
          <a:noFill/>
          <a:ln w="15875">
            <a:solidFill>
              <a:srgbClr val="000000"/>
            </a:solidFill>
            <a:prstDash val="lgDashDot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91" name="AutoShape 767"/>
          <xdr:cNvSpPr>
            <a:spLocks noChangeArrowheads="1"/>
          </xdr:cNvSpPr>
        </xdr:nvSpPr>
        <xdr:spPr bwMode="auto">
          <a:xfrm rot="-19827620">
            <a:off x="1161" y="1351"/>
            <a:ext cx="10" cy="9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92" name="Line 768"/>
          <xdr:cNvSpPr>
            <a:spLocks noChangeShapeType="1"/>
          </xdr:cNvSpPr>
        </xdr:nvSpPr>
        <xdr:spPr bwMode="auto">
          <a:xfrm>
            <a:off x="1043" y="1357"/>
            <a:ext cx="29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93" name="AutoShape 769"/>
          <xdr:cNvSpPr>
            <a:spLocks noChangeArrowheads="1"/>
          </xdr:cNvSpPr>
        </xdr:nvSpPr>
        <xdr:spPr bwMode="auto">
          <a:xfrm rot="-19827620">
            <a:off x="989" y="1314"/>
            <a:ext cx="10" cy="9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94" name="AutoShape 770"/>
          <xdr:cNvSpPr>
            <a:spLocks noChangeArrowheads="1"/>
          </xdr:cNvSpPr>
        </xdr:nvSpPr>
        <xdr:spPr bwMode="auto">
          <a:xfrm rot="-30627468">
            <a:off x="898" y="1317"/>
            <a:ext cx="10" cy="9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95" name="Line 771"/>
          <xdr:cNvSpPr>
            <a:spLocks noChangeShapeType="1"/>
          </xdr:cNvSpPr>
        </xdr:nvSpPr>
        <xdr:spPr bwMode="auto">
          <a:xfrm>
            <a:off x="1052" y="1419"/>
            <a:ext cx="18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96" name="Rectangle 772"/>
          <xdr:cNvSpPr>
            <a:spLocks noChangeArrowheads="1"/>
          </xdr:cNvSpPr>
        </xdr:nvSpPr>
        <xdr:spPr bwMode="auto">
          <a:xfrm>
            <a:off x="1008" y="1301"/>
            <a:ext cx="35" cy="103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97" name="Line 773"/>
          <xdr:cNvSpPr>
            <a:spLocks noChangeShapeType="1"/>
          </xdr:cNvSpPr>
        </xdr:nvSpPr>
        <xdr:spPr bwMode="auto">
          <a:xfrm>
            <a:off x="909" y="1320"/>
            <a:ext cx="79" cy="0"/>
          </a:xfrm>
          <a:prstGeom prst="line">
            <a:avLst/>
          </a:prstGeom>
          <a:noFill/>
          <a:ln w="15875">
            <a:solidFill>
              <a:srgbClr val="000000"/>
            </a:solidFill>
            <a:prstDash val="lgDashDot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98" name="Line 774"/>
          <xdr:cNvSpPr>
            <a:spLocks noChangeShapeType="1"/>
          </xdr:cNvSpPr>
        </xdr:nvSpPr>
        <xdr:spPr bwMode="auto">
          <a:xfrm flipV="1">
            <a:off x="1008" y="1302"/>
            <a:ext cx="35" cy="10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799" name="Line 775"/>
          <xdr:cNvSpPr>
            <a:spLocks noChangeShapeType="1"/>
          </xdr:cNvSpPr>
        </xdr:nvSpPr>
        <xdr:spPr bwMode="auto">
          <a:xfrm flipH="1" flipV="1">
            <a:off x="1008" y="1301"/>
            <a:ext cx="35" cy="103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800" name="Line 776"/>
          <xdr:cNvSpPr>
            <a:spLocks noChangeShapeType="1"/>
          </xdr:cNvSpPr>
        </xdr:nvSpPr>
        <xdr:spPr bwMode="auto">
          <a:xfrm>
            <a:off x="996" y="1320"/>
            <a:ext cx="12" cy="0"/>
          </a:xfrm>
          <a:prstGeom prst="line">
            <a:avLst/>
          </a:prstGeom>
          <a:noFill/>
          <a:ln w="15875">
            <a:solidFill>
              <a:srgbClr val="000000"/>
            </a:solidFill>
            <a:prstDash val="lgDashDot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801" name="AutoShape 777"/>
          <xdr:cNvSpPr>
            <a:spLocks noChangeArrowheads="1"/>
          </xdr:cNvSpPr>
        </xdr:nvSpPr>
        <xdr:spPr bwMode="auto">
          <a:xfrm rot="-30627468">
            <a:off x="1069" y="1378"/>
            <a:ext cx="10" cy="9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802" name="Line 778"/>
          <xdr:cNvSpPr>
            <a:spLocks noChangeShapeType="1"/>
          </xdr:cNvSpPr>
        </xdr:nvSpPr>
        <xdr:spPr bwMode="auto">
          <a:xfrm>
            <a:off x="1081" y="1381"/>
            <a:ext cx="146" cy="0"/>
          </a:xfrm>
          <a:prstGeom prst="line">
            <a:avLst/>
          </a:prstGeom>
          <a:noFill/>
          <a:ln w="15875">
            <a:solidFill>
              <a:srgbClr val="000000"/>
            </a:solidFill>
            <a:prstDash val="lgDashDot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803" name="AutoShape 779"/>
          <xdr:cNvSpPr>
            <a:spLocks noChangeArrowheads="1"/>
          </xdr:cNvSpPr>
        </xdr:nvSpPr>
        <xdr:spPr bwMode="auto">
          <a:xfrm rot="-19827620">
            <a:off x="1229" y="1375"/>
            <a:ext cx="10" cy="9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804" name="Line 780"/>
          <xdr:cNvSpPr>
            <a:spLocks noChangeShapeType="1"/>
          </xdr:cNvSpPr>
        </xdr:nvSpPr>
        <xdr:spPr bwMode="auto">
          <a:xfrm>
            <a:off x="1236" y="1381"/>
            <a:ext cx="9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805" name="AutoShape 781"/>
          <xdr:cNvSpPr>
            <a:spLocks noChangeArrowheads="1"/>
          </xdr:cNvSpPr>
        </xdr:nvSpPr>
        <xdr:spPr bwMode="auto">
          <a:xfrm rot="-30627468">
            <a:off x="1069" y="1317"/>
            <a:ext cx="10" cy="9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806" name="Line 782"/>
          <xdr:cNvSpPr>
            <a:spLocks noChangeShapeType="1"/>
          </xdr:cNvSpPr>
        </xdr:nvSpPr>
        <xdr:spPr bwMode="auto">
          <a:xfrm>
            <a:off x="1081" y="1320"/>
            <a:ext cx="79" cy="0"/>
          </a:xfrm>
          <a:prstGeom prst="line">
            <a:avLst/>
          </a:prstGeom>
          <a:noFill/>
          <a:ln w="15875">
            <a:solidFill>
              <a:srgbClr val="000000"/>
            </a:solidFill>
            <a:prstDash val="lgDashDot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807" name="AutoShape 783"/>
          <xdr:cNvSpPr>
            <a:spLocks noChangeArrowheads="1"/>
          </xdr:cNvSpPr>
        </xdr:nvSpPr>
        <xdr:spPr bwMode="auto">
          <a:xfrm rot="-19827620">
            <a:off x="1161" y="1314"/>
            <a:ext cx="10" cy="9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808" name="Line 784"/>
          <xdr:cNvSpPr>
            <a:spLocks noChangeShapeType="1"/>
          </xdr:cNvSpPr>
        </xdr:nvSpPr>
        <xdr:spPr bwMode="auto">
          <a:xfrm>
            <a:off x="1043" y="1320"/>
            <a:ext cx="29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809" name="Line 785"/>
          <xdr:cNvSpPr>
            <a:spLocks noChangeShapeType="1"/>
          </xdr:cNvSpPr>
        </xdr:nvSpPr>
        <xdr:spPr bwMode="auto">
          <a:xfrm flipV="1">
            <a:off x="1194" y="1308"/>
            <a:ext cx="0" cy="58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810" name="Line 786"/>
          <xdr:cNvSpPr>
            <a:spLocks noChangeShapeType="1"/>
          </xdr:cNvSpPr>
        </xdr:nvSpPr>
        <xdr:spPr bwMode="auto">
          <a:xfrm>
            <a:off x="1178" y="1366"/>
            <a:ext cx="17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 fLocksText="0">
        <xdr:nvSpPr>
          <xdr:cNvPr id="1811" name="Text Box 787"/>
          <xdr:cNvSpPr txBox="1">
            <a:spLocks noChangeArrowheads="1"/>
          </xdr:cNvSpPr>
        </xdr:nvSpPr>
        <xdr:spPr bwMode="auto">
          <a:xfrm>
            <a:off x="403" y="1552"/>
            <a:ext cx="79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動力幹線</a:t>
            </a:r>
          </a:p>
        </xdr:txBody>
      </xdr:sp>
      <xdr:sp macro="" textlink="" fLocksText="0">
        <xdr:nvSpPr>
          <xdr:cNvPr id="1812" name="Text Box 788"/>
          <xdr:cNvSpPr txBox="1">
            <a:spLocks noChangeArrowheads="1"/>
          </xdr:cNvSpPr>
        </xdr:nvSpPr>
        <xdr:spPr bwMode="auto">
          <a:xfrm>
            <a:off x="600" y="1552"/>
            <a:ext cx="79" cy="2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分岐配線</a:t>
            </a:r>
          </a:p>
        </xdr:txBody>
      </xdr:sp>
      <xdr:sp macro="" textlink="">
        <xdr:nvSpPr>
          <xdr:cNvPr id="1813" name="Line 789"/>
          <xdr:cNvSpPr>
            <a:spLocks noChangeShapeType="1"/>
          </xdr:cNvSpPr>
        </xdr:nvSpPr>
        <xdr:spPr bwMode="auto">
          <a:xfrm>
            <a:off x="881" y="1372"/>
            <a:ext cx="18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814" name="Line 790"/>
          <xdr:cNvSpPr>
            <a:spLocks noChangeShapeType="1"/>
          </xdr:cNvSpPr>
        </xdr:nvSpPr>
        <xdr:spPr bwMode="auto">
          <a:xfrm>
            <a:off x="881" y="1366"/>
            <a:ext cx="18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 fLocksText="0">
        <xdr:nvSpPr>
          <xdr:cNvPr id="1815" name="Text Box 791"/>
          <xdr:cNvSpPr txBox="1">
            <a:spLocks noChangeArrowheads="1"/>
          </xdr:cNvSpPr>
        </xdr:nvSpPr>
        <xdr:spPr bwMode="auto">
          <a:xfrm>
            <a:off x="512" y="1552"/>
            <a:ext cx="74" cy="2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動力盤</a:t>
            </a:r>
          </a:p>
        </xdr:txBody>
      </xdr:sp>
      <xdr:sp macro="" textlink="" fLocksText="0">
        <xdr:nvSpPr>
          <xdr:cNvPr id="1816" name="Text Box 792"/>
          <xdr:cNvSpPr txBox="1">
            <a:spLocks noChangeArrowheads="1"/>
          </xdr:cNvSpPr>
        </xdr:nvSpPr>
        <xdr:spPr bwMode="auto">
          <a:xfrm>
            <a:off x="287" y="1433"/>
            <a:ext cx="61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jωC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  <xdr:sp macro="" textlink="" fLocksText="0">
        <xdr:nvSpPr>
          <xdr:cNvPr id="1817" name="Text Box 793"/>
          <xdr:cNvSpPr txBox="1">
            <a:spLocks noChangeArrowheads="1"/>
          </xdr:cNvSpPr>
        </xdr:nvSpPr>
        <xdr:spPr bwMode="auto">
          <a:xfrm>
            <a:off x="895" y="1358"/>
            <a:ext cx="45" cy="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C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Ｒ</a:t>
            </a:r>
          </a:p>
        </xdr:txBody>
      </xdr:sp>
      <xdr:sp macro="" textlink="">
        <xdr:nvSpPr>
          <xdr:cNvPr id="1818" name="Line 794"/>
          <xdr:cNvSpPr>
            <a:spLocks noChangeShapeType="1"/>
          </xdr:cNvSpPr>
        </xdr:nvSpPr>
        <xdr:spPr bwMode="auto">
          <a:xfrm>
            <a:off x="890" y="1320"/>
            <a:ext cx="0" cy="4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819" name="Oval 795"/>
          <xdr:cNvSpPr>
            <a:spLocks noChangeArrowheads="1"/>
          </xdr:cNvSpPr>
        </xdr:nvSpPr>
        <xdr:spPr bwMode="auto">
          <a:xfrm>
            <a:off x="839" y="1299"/>
            <a:ext cx="40" cy="41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99CCFF" mc:Ignorable="a14" a14:legacySpreadsheetColorIndex="44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820" name="Line 796"/>
          <xdr:cNvSpPr>
            <a:spLocks noChangeShapeType="1"/>
          </xdr:cNvSpPr>
        </xdr:nvSpPr>
        <xdr:spPr bwMode="auto">
          <a:xfrm>
            <a:off x="1043" y="1381"/>
            <a:ext cx="29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 fLocksText="0">
        <xdr:nvSpPr>
          <xdr:cNvPr id="1821" name="Text Box 797"/>
          <xdr:cNvSpPr txBox="1">
            <a:spLocks noChangeArrowheads="1"/>
          </xdr:cNvSpPr>
        </xdr:nvSpPr>
        <xdr:spPr bwMode="auto">
          <a:xfrm>
            <a:off x="1066" y="1411"/>
            <a:ext cx="36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C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Ｍ</a:t>
            </a:r>
          </a:p>
        </xdr:txBody>
      </xdr:sp>
      <xdr:sp macro="" textlink="" fLocksText="0">
        <xdr:nvSpPr>
          <xdr:cNvPr id="1822" name="Text Box 798"/>
          <xdr:cNvSpPr txBox="1">
            <a:spLocks noChangeArrowheads="1"/>
          </xdr:cNvSpPr>
        </xdr:nvSpPr>
        <xdr:spPr bwMode="auto">
          <a:xfrm>
            <a:off x="1240" y="1371"/>
            <a:ext cx="37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Ｍ</a:t>
            </a:r>
          </a:p>
        </xdr:txBody>
      </xdr:sp>
      <xdr:sp macro="" textlink="" fLocksText="0">
        <xdr:nvSpPr>
          <xdr:cNvPr id="1823" name="Text Box 799"/>
          <xdr:cNvSpPr txBox="1">
            <a:spLocks noChangeArrowheads="1"/>
          </xdr:cNvSpPr>
        </xdr:nvSpPr>
        <xdr:spPr bwMode="auto">
          <a:xfrm>
            <a:off x="1118" y="1383"/>
            <a:ext cx="72" cy="2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分岐配線</a:t>
            </a:r>
          </a:p>
        </xdr:txBody>
      </xdr:sp>
      <xdr:sp macro="" textlink="" fLocksText="0">
        <xdr:nvSpPr>
          <xdr:cNvPr id="1824" name="Text Box 800"/>
          <xdr:cNvSpPr txBox="1">
            <a:spLocks noChangeArrowheads="1"/>
          </xdr:cNvSpPr>
        </xdr:nvSpPr>
        <xdr:spPr bwMode="auto">
          <a:xfrm>
            <a:off x="257" y="1552"/>
            <a:ext cx="91" cy="2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FF"/>
                </a:solidFill>
                <a:latin typeface="ＭＳ Ｐ明朝"/>
                <a:ea typeface="ＭＳ Ｐ明朝"/>
              </a:rPr>
              <a:t>送電側機器</a:t>
            </a:r>
          </a:p>
        </xdr:txBody>
      </xdr:sp>
      <xdr:sp macro="" textlink="">
        <xdr:nvSpPr>
          <xdr:cNvPr id="1825" name="Rectangle 801"/>
          <xdr:cNvSpPr>
            <a:spLocks noChangeArrowheads="1"/>
          </xdr:cNvSpPr>
        </xdr:nvSpPr>
        <xdr:spPr bwMode="auto">
          <a:xfrm>
            <a:off x="800" y="1265"/>
            <a:ext cx="503" cy="170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1826" name="Line 802"/>
          <xdr:cNvSpPr>
            <a:spLocks noChangeShapeType="1"/>
          </xdr:cNvSpPr>
        </xdr:nvSpPr>
        <xdr:spPr bwMode="auto">
          <a:xfrm>
            <a:off x="1178" y="1308"/>
            <a:ext cx="17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 fLocksText="0">
        <xdr:nvSpPr>
          <xdr:cNvPr id="1827" name="Text Box 803"/>
          <xdr:cNvSpPr txBox="1">
            <a:spLocks noChangeArrowheads="1"/>
          </xdr:cNvSpPr>
        </xdr:nvSpPr>
        <xdr:spPr bwMode="auto">
          <a:xfrm>
            <a:off x="340" y="1330"/>
            <a:ext cx="37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Ｅ</a:t>
            </a:r>
            <a:r>
              <a:rPr lang="ja-JP" altLang="en-US" sz="7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R</a:t>
            </a:r>
          </a:p>
        </xdr:txBody>
      </xdr:sp>
      <xdr:sp macro="" textlink="" fLocksText="0">
        <xdr:nvSpPr>
          <xdr:cNvPr id="1828" name="Text Box 804"/>
          <xdr:cNvSpPr txBox="1">
            <a:spLocks noChangeArrowheads="1"/>
          </xdr:cNvSpPr>
        </xdr:nvSpPr>
        <xdr:spPr bwMode="auto">
          <a:xfrm>
            <a:off x="624" y="1452"/>
            <a:ext cx="100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E1" mc:Ignorable="a14" a14:legacySpreadsheetColorIndex="80"/>
                </a:solidFill>
              </a14:hiddenFill>
            </a:ext>
            <a:ext uri="{91240B29-F687-4F45-9708-019B960494DF}">
              <a14:hiddenLine xmlns:a14="http://schemas.microsoft.com/office/drawing/2010/main" w="0">
                <a:solidFill>
                  <a:srgbClr xmlns:mc="http://schemas.openxmlformats.org/markup-compatibility/2006" val="0000FF" mc:Ignorable="a14" a14:legacySpreadsheetColorIndex="12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R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M 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+jωＬ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M</a:t>
            </a:r>
          </a:p>
        </xdr:txBody>
      </xdr:sp>
    </xdr:grpSp>
    <xdr:clientData/>
  </xdr:twoCellAnchor>
  <xdr:twoCellAnchor editAs="absolute">
    <xdr:from>
      <xdr:col>5</xdr:col>
      <xdr:colOff>609600</xdr:colOff>
      <xdr:row>22</xdr:row>
      <xdr:rowOff>142875</xdr:rowOff>
    </xdr:from>
    <xdr:to>
      <xdr:col>10</xdr:col>
      <xdr:colOff>31377</xdr:colOff>
      <xdr:row>23</xdr:row>
      <xdr:rowOff>174252</xdr:rowOff>
    </xdr:to>
    <xdr:sp macro="" textlink="">
      <xdr:nvSpPr>
        <xdr:cNvPr id="183" name="Text Box 159"/>
        <xdr:cNvSpPr txBox="1">
          <a:spLocks noChangeArrowheads="1"/>
        </xdr:cNvSpPr>
      </xdr:nvSpPr>
      <xdr:spPr bwMode="auto">
        <a:xfrm>
          <a:off x="2752725" y="5086350"/>
          <a:ext cx="1288677" cy="336177"/>
        </a:xfrm>
        <a:prstGeom prst="rect">
          <a:avLst/>
        </a:prstGeom>
        <a:solidFill>
          <a:srgbClr val="FFC000"/>
        </a:solidFill>
        <a:ln>
          <a:noFill/>
        </a:ln>
        <a:effectLst/>
        <a:ex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ご 試 用 版</a:t>
          </a:r>
        </a:p>
      </xdr:txBody>
    </xdr:sp>
    <xdr:clientData/>
  </xdr:twoCellAnchor>
  <xdr:twoCellAnchor editAs="absolute">
    <xdr:from>
      <xdr:col>19</xdr:col>
      <xdr:colOff>0</xdr:colOff>
      <xdr:row>4</xdr:row>
      <xdr:rowOff>76200</xdr:rowOff>
    </xdr:from>
    <xdr:to>
      <xdr:col>21</xdr:col>
      <xdr:colOff>393327</xdr:colOff>
      <xdr:row>6</xdr:row>
      <xdr:rowOff>69477</xdr:rowOff>
    </xdr:to>
    <xdr:sp macro="" textlink="">
      <xdr:nvSpPr>
        <xdr:cNvPr id="184" name="Text Box 159"/>
        <xdr:cNvSpPr txBox="1">
          <a:spLocks noChangeArrowheads="1"/>
        </xdr:cNvSpPr>
      </xdr:nvSpPr>
      <xdr:spPr bwMode="auto">
        <a:xfrm>
          <a:off x="7419975" y="762000"/>
          <a:ext cx="1288677" cy="336177"/>
        </a:xfrm>
        <a:prstGeom prst="rect">
          <a:avLst/>
        </a:prstGeom>
        <a:solidFill>
          <a:srgbClr val="FFC000"/>
        </a:solidFill>
        <a:ln>
          <a:noFill/>
        </a:ln>
        <a:effectLst/>
        <a:ex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① は操作不可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104775</xdr:colOff>
      <xdr:row>7</xdr:row>
      <xdr:rowOff>142875</xdr:rowOff>
    </xdr:from>
    <xdr:to>
      <xdr:col>19</xdr:col>
      <xdr:colOff>529478</xdr:colOff>
      <xdr:row>7</xdr:row>
      <xdr:rowOff>142875</xdr:rowOff>
    </xdr:to>
    <xdr:cxnSp macro="">
      <xdr:nvCxnSpPr>
        <xdr:cNvPr id="185" name="直線矢印コネクタ 184"/>
        <xdr:cNvCxnSpPr/>
      </xdr:nvCxnSpPr>
      <xdr:spPr bwMode="auto">
        <a:xfrm>
          <a:off x="3657600" y="1343025"/>
          <a:ext cx="4291853" cy="0"/>
        </a:xfrm>
        <a:prstGeom prst="straightConnector1">
          <a:avLst/>
        </a:prstGeom>
        <a:ln>
          <a:headEnd type="none" w="med" len="med"/>
          <a:tailEnd type="arrow"/>
        </a:ln>
        <a:extLst>
          <a:ext uri="{53640926-AAD7-44D8-BBD7-CCE9431645EC}">
            <a14:shadowObscured xmlns:a14="http://schemas.microsoft.com/office/drawing/2010/main" val="1"/>
          </a:ext>
        </a:ex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533400</xdr:colOff>
      <xdr:row>7</xdr:row>
      <xdr:rowOff>142875</xdr:rowOff>
    </xdr:from>
    <xdr:to>
      <xdr:col>30</xdr:col>
      <xdr:colOff>333375</xdr:colOff>
      <xdr:row>7</xdr:row>
      <xdr:rowOff>142875</xdr:rowOff>
    </xdr:to>
    <xdr:cxnSp macro="">
      <xdr:nvCxnSpPr>
        <xdr:cNvPr id="186" name="直線矢印コネクタ 185"/>
        <xdr:cNvCxnSpPr/>
      </xdr:nvCxnSpPr>
      <xdr:spPr bwMode="auto">
        <a:xfrm>
          <a:off x="7953375" y="1343025"/>
          <a:ext cx="4657725" cy="0"/>
        </a:xfrm>
        <a:prstGeom prst="straightConnector1">
          <a:avLst/>
        </a:prstGeom>
        <a:ln>
          <a:headEnd type="arrow"/>
          <a:tailEnd type="arrow"/>
        </a:ln>
        <a:extLst>
          <a:ext uri="{53640926-AAD7-44D8-BBD7-CCE9431645EC}">
            <a14:shadowObscured xmlns:a14="http://schemas.microsoft.com/office/drawing/2010/main" val="1"/>
          </a:ext>
        </a:ex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7</xdr:row>
      <xdr:rowOff>142875</xdr:rowOff>
    </xdr:from>
    <xdr:to>
      <xdr:col>40</xdr:col>
      <xdr:colOff>450476</xdr:colOff>
      <xdr:row>7</xdr:row>
      <xdr:rowOff>142875</xdr:rowOff>
    </xdr:to>
    <xdr:cxnSp macro="">
      <xdr:nvCxnSpPr>
        <xdr:cNvPr id="188" name="直線矢印コネクタ 187"/>
        <xdr:cNvCxnSpPr/>
      </xdr:nvCxnSpPr>
      <xdr:spPr bwMode="auto">
        <a:xfrm>
          <a:off x="12639675" y="1343025"/>
          <a:ext cx="4108076" cy="0"/>
        </a:xfrm>
        <a:prstGeom prst="straightConnector1">
          <a:avLst/>
        </a:prstGeom>
        <a:ln>
          <a:headEnd type="arrow"/>
          <a:tailEnd type="arrow"/>
        </a:ln>
        <a:extLst>
          <a:ext uri="{53640926-AAD7-44D8-BBD7-CCE9431645EC}">
            <a14:shadowObscured xmlns:a14="http://schemas.microsoft.com/office/drawing/2010/main" val="1"/>
          </a:ext>
        </a:ex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3175" cap="flat" cmpd="sng" algn="ctr">
          <a:solidFill>
            <a:srgbClr val="000000"/>
          </a:solidFill>
          <a:prstDash val="solid"/>
          <a:round/>
          <a:headEnd type="arrow" w="med" len="med"/>
          <a:tailEnd type="arrow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3175" cap="flat" cmpd="sng" algn="ctr">
          <a:solidFill>
            <a:srgbClr val="000000"/>
          </a:solidFill>
          <a:prstDash val="solid"/>
          <a:round/>
          <a:headEnd type="arrow" w="med" len="med"/>
          <a:tailEnd type="arrow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DB57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3.625" style="2" customWidth="1"/>
    <col min="2" max="2" width="6.625" style="2" customWidth="1"/>
    <col min="3" max="3" width="8.625" style="2" customWidth="1"/>
    <col min="4" max="4" width="2.625" style="2" customWidth="1"/>
    <col min="5" max="5" width="6.625" style="2" customWidth="1"/>
    <col min="6" max="6" width="18.5" style="2" customWidth="1"/>
    <col min="7" max="10" width="1.5" style="2" customWidth="1"/>
    <col min="11" max="11" width="4.125" style="2" customWidth="1"/>
    <col min="12" max="12" width="1.5" style="2" customWidth="1"/>
    <col min="13" max="13" width="5.375" style="2" customWidth="1"/>
    <col min="14" max="14" width="7.625" style="2" customWidth="1"/>
    <col min="15" max="15" width="6.625" style="2" customWidth="1"/>
    <col min="16" max="16" width="3.625" style="2" customWidth="1"/>
    <col min="17" max="17" width="4.625" style="2" customWidth="1"/>
    <col min="18" max="18" width="6.625" style="2" customWidth="1"/>
    <col min="19" max="19" width="4.625" style="2" customWidth="1"/>
    <col min="20" max="20" width="7.125" style="2" customWidth="1"/>
    <col min="21" max="21" width="4.625" style="2" customWidth="1"/>
    <col min="22" max="22" width="5.5" style="2" customWidth="1"/>
    <col min="23" max="23" width="6.125" style="2" customWidth="1"/>
    <col min="24" max="24" width="6.625" style="2" customWidth="1"/>
    <col min="25" max="27" width="5.125" style="2" customWidth="1"/>
    <col min="28" max="29" width="6.625" style="2" customWidth="1"/>
    <col min="30" max="30" width="5.125" style="2" customWidth="1"/>
    <col min="31" max="31" width="4.625" style="2" customWidth="1"/>
    <col min="32" max="32" width="5.125" style="2" customWidth="1"/>
    <col min="33" max="33" width="6.125" style="2" customWidth="1"/>
    <col min="34" max="34" width="2.625" style="2" customWidth="1"/>
    <col min="35" max="37" width="5.625" style="2" customWidth="1"/>
    <col min="38" max="38" width="6.625" style="2" customWidth="1"/>
    <col min="39" max="39" width="4.625" style="2" customWidth="1"/>
    <col min="40" max="41" width="6.125" style="2" customWidth="1"/>
    <col min="42" max="46" width="5.625" style="2" customWidth="1"/>
    <col min="47" max="47" width="7.125" style="2" customWidth="1"/>
    <col min="48" max="48" width="4.625" style="2" customWidth="1"/>
    <col min="49" max="49" width="15.625" style="2" customWidth="1"/>
    <col min="50" max="65" width="4.625" style="124" customWidth="1"/>
    <col min="66" max="66" width="4.5" style="124" customWidth="1"/>
    <col min="67" max="103" width="4.625" style="124" customWidth="1"/>
    <col min="104" max="105" width="4.625" style="2" customWidth="1"/>
    <col min="106" max="16384" width="9" style="2"/>
  </cols>
  <sheetData>
    <row r="1" spans="1:106" x14ac:dyDescent="0.15">
      <c r="A1" s="6"/>
    </row>
    <row r="2" spans="1:106" x14ac:dyDescent="0.15">
      <c r="T2" s="65"/>
      <c r="AB2" s="65"/>
    </row>
    <row r="3" spans="1:106" x14ac:dyDescent="0.15">
      <c r="T3" s="65"/>
      <c r="AE3" s="41"/>
      <c r="AF3" s="41"/>
      <c r="AG3" s="41"/>
      <c r="AH3" s="41"/>
      <c r="AI3" s="41"/>
      <c r="AJ3" s="41"/>
      <c r="AK3" s="41"/>
      <c r="AL3" s="41"/>
      <c r="AM3" s="41"/>
      <c r="AN3" s="41"/>
    </row>
    <row r="4" spans="1:106" ht="13.5" customHeight="1" x14ac:dyDescent="0.15">
      <c r="Q4" s="266" t="s">
        <v>138</v>
      </c>
      <c r="R4" s="266"/>
      <c r="S4" s="266"/>
      <c r="T4" s="52"/>
      <c r="AD4" s="41"/>
      <c r="AE4" s="105"/>
      <c r="AF4" s="41"/>
      <c r="AG4" s="41"/>
      <c r="AH4" s="41"/>
      <c r="AI4" s="41"/>
      <c r="AJ4" s="41"/>
      <c r="AK4" s="41"/>
      <c r="AL4" s="41"/>
      <c r="AM4" s="41"/>
      <c r="AN4" s="41"/>
    </row>
    <row r="5" spans="1:106" ht="13.5" customHeight="1" x14ac:dyDescent="0.15">
      <c r="E5" s="1" t="s">
        <v>105</v>
      </c>
      <c r="AD5" s="41"/>
      <c r="AE5" s="105"/>
      <c r="AF5" s="41"/>
      <c r="AG5" s="41"/>
      <c r="AH5" s="41"/>
      <c r="AI5" s="41"/>
      <c r="AJ5" s="41"/>
      <c r="AK5" s="41"/>
      <c r="AL5" s="41"/>
      <c r="AM5" s="41"/>
      <c r="AN5" s="105"/>
      <c r="AO5" s="106"/>
    </row>
    <row r="6" spans="1:106" x14ac:dyDescent="0.15">
      <c r="T6" s="52"/>
      <c r="X6" s="133"/>
      <c r="AB6" s="171" t="s">
        <v>90</v>
      </c>
      <c r="AC6" s="84" t="s">
        <v>119</v>
      </c>
      <c r="AD6" s="40"/>
      <c r="AE6" s="40"/>
      <c r="AF6" s="40"/>
      <c r="AG6" s="40"/>
      <c r="AH6" s="42"/>
      <c r="AI6" s="39"/>
      <c r="AJ6" s="39"/>
      <c r="AK6" s="39"/>
      <c r="AL6" s="121"/>
      <c r="AM6" s="43"/>
      <c r="AN6" s="105"/>
      <c r="AO6" s="52"/>
      <c r="AP6" s="32"/>
      <c r="AW6" s="29" t="s">
        <v>5</v>
      </c>
    </row>
    <row r="7" spans="1:106" ht="13.5" customHeight="1" thickBot="1" x14ac:dyDescent="0.2">
      <c r="T7" s="52"/>
      <c r="X7" s="116"/>
      <c r="Y7" s="52"/>
      <c r="AD7" s="44"/>
      <c r="AE7" s="45"/>
      <c r="AF7" s="44"/>
      <c r="AG7" s="45"/>
      <c r="AH7" s="42"/>
      <c r="AI7" s="46"/>
      <c r="AJ7" s="46"/>
      <c r="AK7" s="46"/>
      <c r="AL7" s="121"/>
      <c r="AM7" s="43"/>
      <c r="AN7" s="105"/>
      <c r="AR7" s="65"/>
      <c r="AW7" s="30" t="s">
        <v>106</v>
      </c>
    </row>
    <row r="8" spans="1:106" ht="13.5" customHeight="1" x14ac:dyDescent="0.15">
      <c r="N8" s="37"/>
      <c r="O8" s="38"/>
      <c r="T8" s="299"/>
      <c r="U8" s="300"/>
      <c r="AB8" s="301"/>
      <c r="AC8" s="302"/>
      <c r="AE8" s="299"/>
      <c r="AF8" s="300"/>
      <c r="AG8" s="42"/>
      <c r="AH8" s="42"/>
      <c r="AI8" s="42"/>
      <c r="AJ8" s="42"/>
      <c r="AK8" s="122"/>
      <c r="AL8" s="121"/>
      <c r="AM8" s="42"/>
      <c r="AN8" s="41"/>
      <c r="AO8" s="299"/>
      <c r="AP8" s="300"/>
      <c r="AW8" s="8"/>
    </row>
    <row r="9" spans="1:106" ht="14.25" x14ac:dyDescent="0.15">
      <c r="G9" s="7"/>
      <c r="H9" s="7"/>
      <c r="I9" s="7"/>
      <c r="J9" s="7"/>
      <c r="K9" s="7"/>
      <c r="L9" s="7"/>
      <c r="M9" s="7"/>
      <c r="N9" s="7"/>
      <c r="O9" s="7"/>
      <c r="P9" s="296" t="s">
        <v>155</v>
      </c>
      <c r="Q9" s="7"/>
      <c r="R9" s="7"/>
      <c r="S9" s="7"/>
      <c r="T9" s="297"/>
      <c r="U9" s="298"/>
      <c r="V9" s="7"/>
      <c r="W9" s="7"/>
      <c r="X9" s="7"/>
      <c r="Y9" s="7"/>
      <c r="Z9" s="296" t="s">
        <v>156</v>
      </c>
      <c r="AA9" s="7"/>
      <c r="AB9" s="7"/>
      <c r="AC9" s="7"/>
      <c r="AD9" s="7"/>
      <c r="AE9" s="297"/>
      <c r="AF9" s="298"/>
      <c r="AG9" s="7"/>
      <c r="AH9" s="7"/>
      <c r="AI9" s="7"/>
      <c r="AJ9" s="7"/>
      <c r="AK9" s="296" t="s">
        <v>157</v>
      </c>
      <c r="AL9" s="7"/>
      <c r="AM9" s="7"/>
      <c r="AN9" s="7"/>
      <c r="AO9" s="297"/>
      <c r="AP9" s="298"/>
      <c r="AQ9" s="7"/>
      <c r="AR9" s="7"/>
      <c r="AS9" s="7"/>
      <c r="AW9" s="7"/>
    </row>
    <row r="10" spans="1:106" ht="14.25" thickBot="1" x14ac:dyDescent="0.2"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31" t="s">
        <v>152</v>
      </c>
      <c r="BE10" s="135"/>
    </row>
    <row r="11" spans="1:106" ht="15.75" customHeight="1" x14ac:dyDescent="0.15">
      <c r="E11" s="206" t="s">
        <v>108</v>
      </c>
      <c r="F11" s="209" t="s">
        <v>109</v>
      </c>
      <c r="G11" s="212" t="s">
        <v>3</v>
      </c>
      <c r="H11" s="213"/>
      <c r="I11" s="213"/>
      <c r="J11" s="213"/>
      <c r="K11" s="213"/>
      <c r="L11" s="214"/>
      <c r="M11" s="22"/>
      <c r="N11" s="234" t="s">
        <v>53</v>
      </c>
      <c r="O11" s="235"/>
      <c r="P11" s="235"/>
      <c r="Q11" s="235"/>
      <c r="R11" s="235"/>
      <c r="S11" s="236"/>
      <c r="T11" s="174" t="s">
        <v>113</v>
      </c>
      <c r="U11" s="234" t="s">
        <v>22</v>
      </c>
      <c r="V11" s="235"/>
      <c r="W11" s="235"/>
      <c r="X11" s="235"/>
      <c r="Y11" s="235"/>
      <c r="Z11" s="235"/>
      <c r="AA11" s="235"/>
      <c r="AB11" s="235"/>
      <c r="AC11" s="235"/>
      <c r="AD11" s="235"/>
      <c r="AE11" s="236"/>
      <c r="AF11" s="234" t="s">
        <v>50</v>
      </c>
      <c r="AG11" s="235"/>
      <c r="AH11" s="235"/>
      <c r="AI11" s="235"/>
      <c r="AJ11" s="235"/>
      <c r="AK11" s="235"/>
      <c r="AL11" s="235"/>
      <c r="AM11" s="235"/>
      <c r="AN11" s="235"/>
      <c r="AO11" s="236"/>
      <c r="AP11" s="232" t="s">
        <v>127</v>
      </c>
      <c r="AQ11" s="243" t="s">
        <v>129</v>
      </c>
      <c r="AR11" s="244"/>
      <c r="AS11" s="244"/>
      <c r="AT11" s="245"/>
      <c r="AU11" s="239" t="s">
        <v>130</v>
      </c>
      <c r="AV11" s="240"/>
      <c r="AW11" s="224" t="s">
        <v>72</v>
      </c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  <c r="CX11" s="156"/>
      <c r="CY11" s="156"/>
      <c r="CZ11" s="156"/>
      <c r="DA11" s="156"/>
      <c r="DB11" s="156"/>
    </row>
    <row r="12" spans="1:106" ht="15" customHeight="1" x14ac:dyDescent="0.15">
      <c r="E12" s="207"/>
      <c r="F12" s="210"/>
      <c r="G12" s="215"/>
      <c r="H12" s="216"/>
      <c r="I12" s="216"/>
      <c r="J12" s="216"/>
      <c r="K12" s="216"/>
      <c r="L12" s="217"/>
      <c r="M12" s="136" t="s">
        <v>19</v>
      </c>
      <c r="N12" s="246" t="s">
        <v>52</v>
      </c>
      <c r="O12" s="176"/>
      <c r="P12" s="176"/>
      <c r="Q12" s="176"/>
      <c r="R12" s="247"/>
      <c r="S12" s="55" t="s">
        <v>134</v>
      </c>
      <c r="T12" s="175"/>
      <c r="U12" s="189" t="s">
        <v>114</v>
      </c>
      <c r="V12" s="190"/>
      <c r="W12" s="191"/>
      <c r="X12" s="248" t="s">
        <v>65</v>
      </c>
      <c r="Y12" s="249"/>
      <c r="Z12" s="249"/>
      <c r="AA12" s="249"/>
      <c r="AB12" s="249"/>
      <c r="AC12" s="249"/>
      <c r="AD12" s="249"/>
      <c r="AE12" s="250"/>
      <c r="AF12" s="227" t="s">
        <v>121</v>
      </c>
      <c r="AG12" s="183" t="s">
        <v>54</v>
      </c>
      <c r="AH12" s="180" t="s">
        <v>12</v>
      </c>
      <c r="AI12" s="186" t="s">
        <v>122</v>
      </c>
      <c r="AJ12" s="237" t="s">
        <v>95</v>
      </c>
      <c r="AK12" s="238"/>
      <c r="AL12" s="186" t="s">
        <v>123</v>
      </c>
      <c r="AM12" s="230" t="s">
        <v>124</v>
      </c>
      <c r="AN12" s="178" t="s">
        <v>125</v>
      </c>
      <c r="AO12" s="178" t="s">
        <v>126</v>
      </c>
      <c r="AP12" s="233"/>
      <c r="AQ12" s="246" t="s">
        <v>100</v>
      </c>
      <c r="AR12" s="247"/>
      <c r="AS12" s="176" t="s">
        <v>101</v>
      </c>
      <c r="AT12" s="177"/>
      <c r="AU12" s="241"/>
      <c r="AV12" s="242"/>
      <c r="AW12" s="225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  <c r="BY12" s="156"/>
      <c r="BZ12" s="156"/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6"/>
      <c r="CP12" s="156"/>
      <c r="CQ12" s="156"/>
      <c r="CR12" s="156"/>
      <c r="CS12" s="156"/>
      <c r="CT12" s="156"/>
      <c r="CU12" s="156"/>
      <c r="CV12" s="156"/>
      <c r="CW12" s="156"/>
      <c r="CX12" s="156"/>
      <c r="CY12" s="156"/>
      <c r="CZ12" s="156"/>
      <c r="DA12" s="156"/>
      <c r="DB12" s="156"/>
    </row>
    <row r="13" spans="1:106" ht="15" customHeight="1" x14ac:dyDescent="0.15">
      <c r="E13" s="207"/>
      <c r="F13" s="210"/>
      <c r="G13" s="137"/>
      <c r="H13" s="138"/>
      <c r="I13" s="222" t="s">
        <v>132</v>
      </c>
      <c r="J13" s="222"/>
      <c r="K13" s="222"/>
      <c r="L13" s="222"/>
      <c r="M13" s="23" t="s">
        <v>20</v>
      </c>
      <c r="N13" s="35" t="s">
        <v>131</v>
      </c>
      <c r="O13" s="36" t="s">
        <v>110</v>
      </c>
      <c r="P13" s="139" t="s">
        <v>111</v>
      </c>
      <c r="Q13" s="140"/>
      <c r="R13" s="141" t="s">
        <v>112</v>
      </c>
      <c r="S13" s="142" t="s">
        <v>41</v>
      </c>
      <c r="T13" s="143" t="s">
        <v>133</v>
      </c>
      <c r="U13" s="57" t="s">
        <v>42</v>
      </c>
      <c r="V13" s="56" t="s">
        <v>43</v>
      </c>
      <c r="W13" s="144" t="s">
        <v>115</v>
      </c>
      <c r="X13" s="74" t="s">
        <v>87</v>
      </c>
      <c r="Y13" s="145" t="s">
        <v>46</v>
      </c>
      <c r="Z13" s="145" t="s">
        <v>44</v>
      </c>
      <c r="AA13" s="61" t="s">
        <v>116</v>
      </c>
      <c r="AB13" s="80" t="s">
        <v>117</v>
      </c>
      <c r="AC13" s="82" t="s">
        <v>118</v>
      </c>
      <c r="AD13" s="60" t="s">
        <v>120</v>
      </c>
      <c r="AE13" s="59" t="s">
        <v>120</v>
      </c>
      <c r="AF13" s="228"/>
      <c r="AG13" s="184"/>
      <c r="AH13" s="181"/>
      <c r="AI13" s="187"/>
      <c r="AJ13" s="87" t="s">
        <v>96</v>
      </c>
      <c r="AK13" s="87" t="s">
        <v>97</v>
      </c>
      <c r="AL13" s="187"/>
      <c r="AM13" s="231"/>
      <c r="AN13" s="179"/>
      <c r="AO13" s="179"/>
      <c r="AP13" s="233"/>
      <c r="AQ13" s="172" t="s">
        <v>137</v>
      </c>
      <c r="AR13" s="196" t="s">
        <v>128</v>
      </c>
      <c r="AS13" s="172" t="s">
        <v>135</v>
      </c>
      <c r="AT13" s="194" t="s">
        <v>128</v>
      </c>
      <c r="AU13" s="146" t="s">
        <v>51</v>
      </c>
      <c r="AV13" s="194" t="s">
        <v>128</v>
      </c>
      <c r="AW13" s="225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6"/>
      <c r="BZ13" s="156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6"/>
      <c r="CS13" s="156"/>
      <c r="CT13" s="156"/>
      <c r="CU13" s="156"/>
      <c r="CV13" s="156"/>
      <c r="CW13" s="156"/>
      <c r="CX13" s="156"/>
      <c r="CY13" s="156"/>
      <c r="CZ13" s="156"/>
      <c r="DA13" s="156"/>
      <c r="DB13" s="156"/>
    </row>
    <row r="14" spans="1:106" ht="15" customHeight="1" x14ac:dyDescent="0.15">
      <c r="E14" s="208"/>
      <c r="F14" s="211"/>
      <c r="G14" s="147"/>
      <c r="H14" s="148" t="s">
        <v>13</v>
      </c>
      <c r="I14" s="149"/>
      <c r="J14" s="150" t="s">
        <v>4</v>
      </c>
      <c r="K14" s="149"/>
      <c r="L14" s="150" t="s">
        <v>21</v>
      </c>
      <c r="M14" s="24" t="s">
        <v>14</v>
      </c>
      <c r="N14" s="25"/>
      <c r="O14" s="26" t="s">
        <v>15</v>
      </c>
      <c r="P14" s="85"/>
      <c r="Q14" s="58" t="s">
        <v>136</v>
      </c>
      <c r="R14" s="85" t="s">
        <v>16</v>
      </c>
      <c r="S14" s="151" t="s">
        <v>17</v>
      </c>
      <c r="T14" s="85" t="s">
        <v>11</v>
      </c>
      <c r="U14" s="27" t="s">
        <v>18</v>
      </c>
      <c r="V14" s="58" t="s">
        <v>44</v>
      </c>
      <c r="W14" s="152" t="s">
        <v>15</v>
      </c>
      <c r="X14" s="75" t="s">
        <v>88</v>
      </c>
      <c r="Y14" s="62" t="s">
        <v>56</v>
      </c>
      <c r="Z14" s="62" t="s">
        <v>55</v>
      </c>
      <c r="AA14" s="58" t="s">
        <v>44</v>
      </c>
      <c r="AB14" s="81" t="s">
        <v>90</v>
      </c>
      <c r="AC14" s="83" t="s">
        <v>91</v>
      </c>
      <c r="AD14" s="85" t="s">
        <v>45</v>
      </c>
      <c r="AE14" s="153" t="s">
        <v>17</v>
      </c>
      <c r="AF14" s="229"/>
      <c r="AG14" s="185"/>
      <c r="AH14" s="182"/>
      <c r="AI14" s="85" t="s">
        <v>8</v>
      </c>
      <c r="AJ14" s="85" t="s">
        <v>99</v>
      </c>
      <c r="AK14" s="85" t="s">
        <v>98</v>
      </c>
      <c r="AL14" s="188"/>
      <c r="AM14" s="85" t="s">
        <v>9</v>
      </c>
      <c r="AN14" s="85" t="s">
        <v>49</v>
      </c>
      <c r="AO14" s="86" t="s">
        <v>49</v>
      </c>
      <c r="AP14" s="154" t="s">
        <v>10</v>
      </c>
      <c r="AQ14" s="155" t="s">
        <v>11</v>
      </c>
      <c r="AR14" s="197"/>
      <c r="AS14" s="155" t="s">
        <v>11</v>
      </c>
      <c r="AT14" s="195"/>
      <c r="AU14" s="155" t="s">
        <v>11</v>
      </c>
      <c r="AV14" s="195"/>
      <c r="AW14" s="22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7"/>
      <c r="CW14" s="156"/>
      <c r="CX14" s="156"/>
      <c r="CY14" s="156"/>
      <c r="CZ14" s="156"/>
      <c r="DA14" s="156"/>
      <c r="DB14" s="156"/>
    </row>
    <row r="15" spans="1:106" ht="24" customHeight="1" x14ac:dyDescent="0.15">
      <c r="B15" s="223" t="s">
        <v>0</v>
      </c>
      <c r="C15" s="223"/>
      <c r="E15" s="303" t="s">
        <v>139</v>
      </c>
      <c r="F15" s="304" t="s">
        <v>144</v>
      </c>
      <c r="G15" s="305">
        <v>3</v>
      </c>
      <c r="H15" s="218" t="str">
        <f>IF(G15="","","φ")</f>
        <v>φ</v>
      </c>
      <c r="I15" s="306" t="s">
        <v>92</v>
      </c>
      <c r="J15" s="218" t="str">
        <f>IF(I15="","","W")</f>
        <v>W</v>
      </c>
      <c r="K15" s="307">
        <v>210</v>
      </c>
      <c r="L15" s="220" t="str">
        <f>IF(K15="","","V")</f>
        <v>V</v>
      </c>
      <c r="M15" s="308">
        <v>60</v>
      </c>
      <c r="N15" s="309" t="s">
        <v>93</v>
      </c>
      <c r="O15" s="310">
        <v>300</v>
      </c>
      <c r="P15" s="311">
        <v>1</v>
      </c>
      <c r="Q15" s="198">
        <f>IF(O15="","",IF(OR(N15="油入自冷",N15="モ－ルド絶縁"),IF(G15=1,SQRT(AY15^2+AZ15^2),IF(G15=3,SQRT(BA15^2+BB15^2))),SQRT(BC15^2+BD15^2)))</f>
        <v>3.5518586683594267</v>
      </c>
      <c r="R15" s="204">
        <f>IF(P15="","",(O15*1000*P15)/(SQRT(G15)*K15))</f>
        <v>824.78609884232264</v>
      </c>
      <c r="S15" s="312"/>
      <c r="T15" s="125">
        <f>IF(AU15="","",K15*SQRT(CL15^2+CM15^2)/SQRT(CP15^2+CQ15^2))</f>
        <v>204.94183769532759</v>
      </c>
      <c r="U15" s="253"/>
      <c r="V15" s="257"/>
      <c r="W15" s="264" t="str">
        <f>IF(OR(U15="",V15=""),"",(U15/V15))</f>
        <v/>
      </c>
      <c r="X15" s="76">
        <v>70.956000000000003</v>
      </c>
      <c r="Y15" s="202">
        <f>IF(X15="","",VLOOKUP(X15,Ｍ,2,FALSE))</f>
        <v>0.92500000000000004</v>
      </c>
      <c r="Z15" s="202">
        <f>IF(X15="","",VLOOKUP(X15,Ｍ,3,FALSE))</f>
        <v>0.89800000000000002</v>
      </c>
      <c r="AA15" s="255">
        <v>0.4</v>
      </c>
      <c r="AB15" s="79" t="s">
        <v>94</v>
      </c>
      <c r="AC15" s="127">
        <f>IF(N(BG15)=0,"",BG15*X15*AB16*1000/(K15*SQRT(G15)))</f>
        <v>585.23522429455841</v>
      </c>
      <c r="AD15" s="251" t="str">
        <f>IF(N(BH15+BI15)=0,"",N(BH15+BI15))</f>
        <v/>
      </c>
      <c r="AE15" s="200"/>
      <c r="AF15" s="97" t="s">
        <v>73</v>
      </c>
      <c r="AG15" s="88">
        <v>200</v>
      </c>
      <c r="AH15" s="89">
        <v>1</v>
      </c>
      <c r="AI15" s="90">
        <v>29</v>
      </c>
      <c r="AJ15" s="128">
        <f t="shared" ref="AJ15:AJ44" si="0">IF(AF15="","",IF(AF15="IV",BJ15*AI15*((1+0.00393*(AP15-20))/1.1572),BJ15*AI15*((1+0.00393*(AP15-20))/1.2751)/AH15))</f>
        <v>3.0763948709905109</v>
      </c>
      <c r="AK15" s="128">
        <f>IF(AF15="","",IF(AF15="IV",(M15/50)*BJ15*AI15,(M15/50)*BJ15*AI15/AH15))</f>
        <v>4.2107999999999999</v>
      </c>
      <c r="AL15" s="91" t="s">
        <v>104</v>
      </c>
      <c r="AM15" s="92"/>
      <c r="AN15" s="101">
        <f>IF(X15="","",K15/SQRT(CP15^2+CQ15^2))</f>
        <v>559.33598645651705</v>
      </c>
      <c r="AO15" s="103"/>
      <c r="AP15" s="100">
        <v>50</v>
      </c>
      <c r="AQ15" s="119">
        <f>IF(AF15="","",SQRT(G15)*CR16*((AJ15/1000)*COS(ATAN(CH15/CG15))+(AK15/1000)*SIN(ATAN(CH15/CG15))))</f>
        <v>4.9361503978309162</v>
      </c>
      <c r="AR15" s="108">
        <f>IF(AQ15="","",AQ15*100/K15)</f>
        <v>2.3505478084909126</v>
      </c>
      <c r="AS15" s="117">
        <f>IF(AF16="","",SQRT(G15)*CR15*((AJ16/1000)*COS(ATAN(BT15/BS15))+(AK16/1000)*SIN(ATAN(BT15/BS15))))</f>
        <v>2.4016687885938577</v>
      </c>
      <c r="AT15" s="108">
        <f>IF(AS15="","",AS15*100/K15)</f>
        <v>1.1436518040923132</v>
      </c>
      <c r="AU15" s="109">
        <f>IF(X15="","",CR15*SQRT(BN15^2+BO15^2))</f>
        <v>200.70657451874214</v>
      </c>
      <c r="AV15" s="131">
        <f>IF(AU15="","",AU15*100/K15)</f>
        <v>95.574559294639101</v>
      </c>
      <c r="AW15" s="114" t="s">
        <v>140</v>
      </c>
      <c r="AX15" s="156">
        <f>AY16/CW15</f>
        <v>1.247061513940392</v>
      </c>
      <c r="AY15" s="158" t="b">
        <f>IF(G15="","",IF(AND(G15=1,M15=50,N15="油入自冷"),VLOOKUP(O15,変１,2,FALSE),IF(AND(G15=1,M15=50,N15="モ－ルド絶縁"),VLOOKUP(O15,変１,7,FALSE),IF(AND(G15=1,M15=60,N15="油入自冷"),VLOOKUP(O15,変１,12,FALSE),IF(AND(G15=1,M15=60,N15="モ－ルド絶縁"),VLOOKUP(O15,変１,17,FALSE),FALSE)))))</f>
        <v>0</v>
      </c>
      <c r="AZ15" s="158" t="b">
        <f>IF(G15="","",IF(AND(G15=1,M15=50,N15="油入自冷"),VLOOKUP(O15,変１,3,FALSE),IF(AND(G15=1,M15=50,N15="モ－ルド絶縁"),VLOOKUP(O15,変１,8,FALSE),IF(AND(G15=1,M15=60,N15="油入自冷"),VLOOKUP(O15,変１,13,FALSE),IF(AND(G15=1,M15=60,N15="モ－ルド絶縁"),VLOOKUP(O15,変１,18,FALSE),FALSE)))))</f>
        <v>0</v>
      </c>
      <c r="BA15" s="158">
        <f>IF(G15="","",IF(AND(G15=3,M15=50,N15="油入自冷"),VLOOKUP(O15,変３,2,FALSE),IF(AND(G15=3,M15=50,N15="モ－ルド絶縁"),VLOOKUP(O15,変３,7,FALSE),IF(AND(G15=3,M15=60,N15="油入自冷"),VLOOKUP(O15,変３,12,FALSE),IF(AND(G15=3,M15=60,N15="モ－ルド絶縁"),VLOOKUP(O15,変３,17,FALSE),FALSE)))))</f>
        <v>1.41</v>
      </c>
      <c r="BB15" s="158">
        <f>IF(G15="","",IF(AND(G15=3,M15=50,N15="油入自冷"),VLOOKUP(O15,変３,3,FALSE),IF(AND(G15=3,M15=50,N15="モ－ルド絶縁"),VLOOKUP(O15,変３,8,FALSE),IF(AND(G15=3,M15=60,N15="油入自冷"),VLOOKUP(O15,変３,13,FALSE),IF(AND(G15=3,M15=60,N15="モ－ルド絶縁"),VLOOKUP(O15,変３,18,FALSE),FALSE)))))</f>
        <v>3.26</v>
      </c>
      <c r="BC15" s="158">
        <f>IF(ISNA(VLOOKUP(O15,変ＵＳＥＲ,2,FALSE)),0,VLOOKUP(O15,変ＵＳＥＲ,2,FALSE))</f>
        <v>0</v>
      </c>
      <c r="BD15" s="158">
        <f>IF(ISNA(VLOOKUP(O15,変ＵＳＥＲ,3,FALSE)),0,VLOOKUP(O15,変ＵＳＥＲ,3,FALSE)*M15/50)</f>
        <v>0</v>
      </c>
      <c r="BE15" s="159">
        <f>SQRT(G15)*(K15^2)*(N(AY15)+N(BA15)+N(BC15))/(100000*O15*P15)</f>
        <v>3.5900217088480116E-3</v>
      </c>
      <c r="BF15" s="159">
        <f>SQRT(G15)*(K15^2)*(N(AZ15)+N(BB15)+N(BD15))/(100000*O15*P15)</f>
        <v>8.3003338800315737E-3</v>
      </c>
      <c r="BG15" s="160">
        <f>IF(AB15="直 入",1,IF(AB15="Ｓ-Ｄ",1/3,IF(AB15="ﾘｱｸﾄﾙ50%",0.5,IF(AB15="ﾘｱｸﾄﾙ60%",0.6,IF(AB15="ﾘｱｸﾄﾙ80%",0.8,IF(AB15="ｺﾝﾄﾞﾙﾌｧ50%",0.25,IF(AB15="ｺﾝﾄﾞﾙﾌｧ65%",0.4225,IF(AB15="ｺﾝﾄﾞﾙﾌｧ80%",0.64,FALSE))))))))</f>
        <v>1</v>
      </c>
      <c r="BH15" s="160" t="b">
        <f t="shared" ref="BH15:BH44" si="1">IF(AND(G15=1,K15&lt;120,M15=50),VLOOKUP(X15,Ｍ,4,FALSE),IF(AND(G15=1,K15&lt;120,M15=60),VLOOKUP(X15,Ｍ,5,FALSE),IF(AND(G15=1,K15&lt;230,M15=50),VLOOKUP(X15,Ｍ,6,FALSE),IF(AND(G15=1,K15&lt;230,M15=60),VLOOKUP(X15,Ｍ,7,FALSE),FALSE))))</f>
        <v>0</v>
      </c>
      <c r="BI15" s="159">
        <f t="shared" ref="BI15:BI44" si="2">IF(AND(G15=3,K15&lt;230,M15=50),VLOOKUP(X15,Ｍ,8,FALSE),IF(AND(G15=3,K15&lt;230,M15=60),VLOOKUP(X15,Ｍ,9,FALSE),IF(AND(G15=3,K15&lt;420,M15=50),VLOOKUP(X15,Ｍ,10,FALSE),IF(AND(G15=3,K15&lt;420,M15=60),VLOOKUP(X15,Ｍ,11,FALSE),IF(AND(G15=3,K15&lt;480,M15=50),VLOOKUP(X15,Ｍ,12,FALSE),IF(AND(G15=3,K15&lt;480,M15=60),VLOOKUP(X15,Ｍ,13,FALSE),FALSE))))))</f>
        <v>0</v>
      </c>
      <c r="BJ15" s="159">
        <f t="shared" ref="BJ15:BJ44" si="3">IF(AF15="IV",VLOOKUP(AG15,ＩＶ,2,FALSE),IF(AF15="CV-T",VLOOKUP(AG15,ＣＶＴ,2,FALSE),IF(OR(AF15="CV 2C",AF15="CV 3C",AF15="CV 4C",AF15="CV 6C",AF15="CV 7C",AF15="VVR 2C",AF15="VVR 3C",AF15="VVF 4C"),VLOOKUP(AG15,ＣＶ２３Ｃ,2,FALSE),VLOOKUP(AG15,ＣＵＳＥＲ,2,FALSE))))</f>
        <v>0.121</v>
      </c>
      <c r="BK15" s="159">
        <f t="shared" ref="BK15:BK44" si="4">IF(AF15="IV",VLOOKUP(AG15,ＩＶ,3,FALSE),IF(AF15="CV-T",VLOOKUP(AG15,ＣＶＴ,3,FALSE),IF(OR(AF15="CV 2C",AF15="CV 3C",AF15="CV 4C",AF15="CV 6C",AF15="CV 7C",AF15="VVR 2C",AF15="VVR 3C",AF15="VVF 4C"),VLOOKUP(AG15,ＣＶ２３Ｃ,3,FALSE),VLOOKUP(AG15,ＣＵＳＥＲ,3,FALSE))))</f>
        <v>8.4500000000000006E-2</v>
      </c>
      <c r="BL15" s="159">
        <f>IF(N(BL16)=0,SQRT(G15)*K15^2*Z15^2*Y15/(1000*X15),BL16*SQRT(G15)*K15^2*Z15^2*Y15/(1000*X15))</f>
        <v>0.6225816373848625</v>
      </c>
      <c r="BM15" s="159">
        <f>BL15*(TAN(ACOS(Z15)))</f>
        <v>0.30504798498684677</v>
      </c>
      <c r="BN15" s="160">
        <f>K15*AA15/AC15</f>
        <v>0.14353203039214441</v>
      </c>
      <c r="BO15" s="160">
        <f>BN15*(TAN(ACOS(AA15)))</f>
        <v>0.32887319696135187</v>
      </c>
      <c r="BP15" s="161">
        <f>IF(AE15=0,2*3.141592654*M15*N(AD15)*SQRT(G15)/1000000,AE15*1000*SQRT(G15)/K15^2)</f>
        <v>0</v>
      </c>
      <c r="BQ15" s="162">
        <f>BL15+(AJ16/1000)</f>
        <v>0.62411900449332458</v>
      </c>
      <c r="BR15" s="163">
        <f>BM15+(AK16/1000)</f>
        <v>0.30708078498684677</v>
      </c>
      <c r="BS15" s="163">
        <f>BN15+(AJ16/1000)</f>
        <v>0.14506939750060649</v>
      </c>
      <c r="BT15" s="163">
        <f>BO15+(AK16/1000)</f>
        <v>0.33090599696135187</v>
      </c>
      <c r="BU15" s="164">
        <f>BQ15/((BP15*BQ15)^2+(BP15*BR15-1)^2)</f>
        <v>0.62411900449332458</v>
      </c>
      <c r="BV15" s="165">
        <f>(BR15-BP15*(BQ15^2+BR15^2))/((BP15*BQ15)^2+(BP15*BR15-1)^2)</f>
        <v>0.30708078498684677</v>
      </c>
      <c r="BW15" s="163">
        <f>BS15/((BP15*BS15)^2+(BP15*BT15-1)^2)</f>
        <v>0.14506939750060649</v>
      </c>
      <c r="BX15" s="163">
        <f>(BT15-BP15*(BS15^2+BT15^2))/((BP15*BS15)^2+(BP15*BT15-1)^2)</f>
        <v>0.33090599696135187</v>
      </c>
      <c r="BY15" s="164">
        <f>IF(U15=0,10^20,K15^2*CU15*V15/(1000*W15))</f>
        <v>1E+20</v>
      </c>
      <c r="BZ15" s="164">
        <f>IF(U15=0,10^20,BY15*TAN(ACOS(V15)))</f>
        <v>1E+20</v>
      </c>
      <c r="CA15" s="163">
        <f>(BU15*(BY15^2+BZ15^2)+BY15*(BU15^2+BV15^2))/((BU15+BY15)^2+(BV15+BZ15)^2)</f>
        <v>0.62411900449332458</v>
      </c>
      <c r="CB15" s="163">
        <f>(BZ15*(BU15^2+BV15^2)+BV15*(BY15^2+BZ15^2))/((BU15+BY15)^2+(BV15+BZ15)^2)</f>
        <v>0.30708078498684677</v>
      </c>
      <c r="CC15" s="163">
        <f>(BW15*(BY15^2+BZ15^2)+BY15*(BW15^2+BX15^2))/((BW15+BY15)^2+(BX15+BZ15)^2)</f>
        <v>0.14506939750060649</v>
      </c>
      <c r="CD15" s="163">
        <f>(BZ15*(BW15^2+BX15^2)+BX15*(BY15^2+BZ15^2))/((BW15+BY15)^2+(BX15+BZ15)^2)</f>
        <v>0.33090599696135187</v>
      </c>
      <c r="CE15" s="163">
        <f>CA15+(N(AJ15)/1000)</f>
        <v>0.62719539936431512</v>
      </c>
      <c r="CF15" s="163">
        <f>CB15+(N(AK15)/1000)</f>
        <v>0.31129158498684678</v>
      </c>
      <c r="CG15" s="163">
        <f>CC15+(N(AJ15)/1000)</f>
        <v>0.148145792371597</v>
      </c>
      <c r="CH15" s="163">
        <f>CD15+(N(AK15)/1000)</f>
        <v>0.33511679696135188</v>
      </c>
      <c r="CI15" s="163">
        <f>S15*1000/K15^2/SQRT(G15)</f>
        <v>0</v>
      </c>
      <c r="CJ15" s="163">
        <f>CE15/((CI15*CE15)^2+(CI15*CF15-1)^2)</f>
        <v>0.62719539936431512</v>
      </c>
      <c r="CK15" s="163">
        <f>(CF15-CI15*(CE15^2+CF15^2))/((CI15*CE15)^2+(CI15*CF15-1)^2)</f>
        <v>0.31129158498684678</v>
      </c>
      <c r="CL15" s="163">
        <f>CG15/((CI15*CG15)^2+(CI15*CH15-1)^2)</f>
        <v>0.148145792371597</v>
      </c>
      <c r="CM15" s="163">
        <f>(CH15-CI15*(CG15^2+CH15^2))/((CI15*CG15)^2+(CI15*CH15-1)^2)</f>
        <v>0.33511679696135188</v>
      </c>
      <c r="CN15" s="163">
        <f>CJ15+BE15</f>
        <v>0.63078542107316316</v>
      </c>
      <c r="CO15" s="163">
        <f>CK15+BF15</f>
        <v>0.31959191886687838</v>
      </c>
      <c r="CP15" s="163">
        <f>CL15+BE15</f>
        <v>0.15173581408044501</v>
      </c>
      <c r="CQ15" s="163">
        <f>CM15+BF15</f>
        <v>0.34341713084138348</v>
      </c>
      <c r="CR15" s="163">
        <f>K15*SQRT(CC15^2+CD15^2)*SQRT(CL15^2+CM15^2)/(SQRT(CP15^2+CQ15^2)*SQRT(BS15^2+BT15^2)*SQRT(CG15^2+CH15^2))</f>
        <v>559.33598645651705</v>
      </c>
      <c r="CS15" s="163">
        <f>K15*SQRT(CA15^2+CB15^2)*SQRT(CJ15^2+CK15^2)/(SQRT(CN15^2+CO15^2)*SQRT(BQ15^2+BR15^2)*SQRT(CE15^2+CF15^2))</f>
        <v>296.97616403542236</v>
      </c>
      <c r="CT15" s="113">
        <f t="shared" ref="CT15:CT44" si="5">CV15</f>
        <v>1</v>
      </c>
      <c r="CU15" s="163">
        <f>IF(G15=3,SQRT(3),2)</f>
        <v>1.7320508075688772</v>
      </c>
      <c r="CV15" s="156">
        <v>1</v>
      </c>
      <c r="CW15" s="156">
        <f>X16*1.17*(AU16/K15)/((AU16/K15)^2+0.17)</f>
        <v>238.14074984725849</v>
      </c>
      <c r="CX15" s="164">
        <f>AO16/CW15</f>
        <v>1.247061513940392</v>
      </c>
      <c r="CY15" s="156">
        <f>IF(AB15="Ｓ-Ｄ",0.57735,1)</f>
        <v>1</v>
      </c>
      <c r="CZ15" s="156"/>
      <c r="DA15" s="156"/>
      <c r="DB15" s="156"/>
    </row>
    <row r="16" spans="1:106" ht="24" customHeight="1" x14ac:dyDescent="0.15">
      <c r="B16" s="3" t="s">
        <v>1</v>
      </c>
      <c r="C16" s="51" t="s">
        <v>39</v>
      </c>
      <c r="E16" s="313"/>
      <c r="F16" s="314"/>
      <c r="G16" s="315"/>
      <c r="H16" s="219"/>
      <c r="I16" s="316"/>
      <c r="J16" s="219"/>
      <c r="K16" s="317"/>
      <c r="L16" s="221"/>
      <c r="M16" s="318"/>
      <c r="N16" s="319"/>
      <c r="O16" s="320"/>
      <c r="P16" s="321"/>
      <c r="Q16" s="199"/>
      <c r="R16" s="205"/>
      <c r="S16" s="322"/>
      <c r="T16" s="134">
        <f>IF(AU16="","",K15*SQRT(CJ15^2+CK15^2)/SQRT(CN15^2+CO15^2))</f>
        <v>207.94196355849033</v>
      </c>
      <c r="U16" s="254"/>
      <c r="V16" s="258"/>
      <c r="W16" s="265"/>
      <c r="X16" s="126">
        <f>IF(X15=0,"",X15*1000/(Y15*Z15*K15*SQRT(G15)))</f>
        <v>234.85030770864515</v>
      </c>
      <c r="Y16" s="203"/>
      <c r="Z16" s="203"/>
      <c r="AA16" s="256"/>
      <c r="AB16" s="78">
        <v>3</v>
      </c>
      <c r="AC16" s="107">
        <f>IF(AV15="","",CT15*AV15/100)</f>
        <v>0.95574559294639105</v>
      </c>
      <c r="AD16" s="252"/>
      <c r="AE16" s="201"/>
      <c r="AF16" s="93" t="s">
        <v>73</v>
      </c>
      <c r="AG16" s="94">
        <v>200</v>
      </c>
      <c r="AH16" s="95">
        <v>1</v>
      </c>
      <c r="AI16" s="96">
        <v>14</v>
      </c>
      <c r="AJ16" s="129">
        <f t="shared" si="0"/>
        <v>1.5373671084620815</v>
      </c>
      <c r="AK16" s="130">
        <f>IF(AF16="","",IF(AF16="IV",(M15/50)*BJ16*AI16,(M15/50)*BJ16*AI16/AH16))</f>
        <v>2.0327999999999999</v>
      </c>
      <c r="AL16" s="98" t="s">
        <v>103</v>
      </c>
      <c r="AM16" s="99"/>
      <c r="AN16" s="102"/>
      <c r="AO16" s="104">
        <f>IF(X15="","",K15/SQRT(CN15^2+CO15^2))</f>
        <v>296.97616403542236</v>
      </c>
      <c r="AP16" s="66">
        <v>60</v>
      </c>
      <c r="AQ16" s="120">
        <f>IF(AF15="","",SQRT(G15)*CS16*((AJ15/1000)*COS(ATAN(CF15/CE15))+(AK15/1000)*SIN(ATAN(CF15/CE15))))</f>
        <v>2.3803739784388434</v>
      </c>
      <c r="AR16" s="110">
        <f>IF(AQ16="","",AQ16*100/K15)</f>
        <v>1.133511418304211</v>
      </c>
      <c r="AS16" s="118">
        <f>IF(AF16="","",CY15*SQRT(G15)*CS15*((AJ16/1000)*COS(ATAN(BR15/BQ15))+(AK16/1000)*SIN(ATAN(BR15/BQ15))))</f>
        <v>1.1711731346589782</v>
      </c>
      <c r="AT16" s="111">
        <f>IF(AS16="","",AS16*100/K15)</f>
        <v>0.55770149269475155</v>
      </c>
      <c r="AU16" s="112">
        <f>IF(X15="","",CS15*SQRT(BL15^2+BM15^2))</f>
        <v>205.89299161408547</v>
      </c>
      <c r="AV16" s="132">
        <f>IF(AU15="","",AU16*100/K15)</f>
        <v>98.044281720993084</v>
      </c>
      <c r="AW16" s="115" t="s">
        <v>102</v>
      </c>
      <c r="AX16" s="156">
        <v>0.77533932078474432</v>
      </c>
      <c r="AY16" s="166">
        <f>IF(X15="","",IF(OR(AJ15="",AK15=""),K15/SQRT((BU15+BE15)^2+(BV15+BF15)^2),K15/SQRT((BU15+(AJ15/1000)+BE15)^2+(BV15+(AK15/1000)+BF15)^2)))</f>
        <v>296.97616403542236</v>
      </c>
      <c r="AZ16" s="159"/>
      <c r="BA16" s="159"/>
      <c r="BB16" s="167"/>
      <c r="BC16" s="158"/>
      <c r="BD16" s="158"/>
      <c r="BE16" s="159"/>
      <c r="BF16" s="159"/>
      <c r="BG16" s="160"/>
      <c r="BH16" s="160" t="b">
        <f t="shared" si="1"/>
        <v>0</v>
      </c>
      <c r="BI16" s="159" t="b">
        <f t="shared" si="2"/>
        <v>0</v>
      </c>
      <c r="BJ16" s="159">
        <f t="shared" si="3"/>
        <v>0.121</v>
      </c>
      <c r="BK16" s="159">
        <f t="shared" si="4"/>
        <v>8.4500000000000006E-2</v>
      </c>
      <c r="BL16" s="159">
        <f>AX16</f>
        <v>0.77533932078474432</v>
      </c>
      <c r="BM16" s="160"/>
      <c r="BN16" s="160"/>
      <c r="BO16" s="160"/>
      <c r="BP16" s="168"/>
      <c r="BQ16" s="168"/>
      <c r="BR16" s="156"/>
      <c r="BS16" s="156"/>
      <c r="BT16" s="169"/>
      <c r="BU16" s="169"/>
      <c r="BV16" s="170"/>
      <c r="BW16" s="169"/>
      <c r="BX16" s="169"/>
      <c r="BY16" s="169"/>
      <c r="BZ16" s="169"/>
      <c r="CA16" s="169"/>
      <c r="CB16" s="169"/>
      <c r="CC16" s="169"/>
      <c r="CD16" s="169"/>
      <c r="CE16" s="169"/>
      <c r="CF16" s="169"/>
      <c r="CG16" s="169"/>
      <c r="CH16" s="169"/>
      <c r="CI16" s="169"/>
      <c r="CJ16" s="163"/>
      <c r="CK16" s="163"/>
      <c r="CL16" s="163"/>
      <c r="CM16" s="163"/>
      <c r="CN16" s="163"/>
      <c r="CO16" s="163"/>
      <c r="CP16" s="163"/>
      <c r="CQ16" s="163"/>
      <c r="CR16" s="163">
        <f>K15*SQRT(CL15^2+CM15^2)/(SQRT(CP15^2+CQ15^2)*SQRT(CG15^2+CH15^2))</f>
        <v>559.33598645651705</v>
      </c>
      <c r="CS16" s="163">
        <f>K15*SQRT(CJ15^2+CK15^2)/(SQRT(CN15^2+CO15^2)*SQRT(CE15^2+CF15^2))</f>
        <v>296.97616403542236</v>
      </c>
      <c r="CT16" s="113">
        <f t="shared" si="5"/>
        <v>0</v>
      </c>
      <c r="CU16" s="163"/>
      <c r="CV16" s="156">
        <v>0</v>
      </c>
      <c r="CW16" s="156"/>
      <c r="CX16" s="156"/>
      <c r="CY16" s="156"/>
      <c r="CZ16" s="156"/>
      <c r="DA16" s="156"/>
      <c r="DB16" s="156"/>
    </row>
    <row r="17" spans="2:106" ht="24" customHeight="1" x14ac:dyDescent="0.15">
      <c r="B17" s="4"/>
      <c r="C17" s="34"/>
      <c r="E17" s="303" t="s">
        <v>139</v>
      </c>
      <c r="F17" s="304" t="s">
        <v>145</v>
      </c>
      <c r="G17" s="305">
        <v>3</v>
      </c>
      <c r="H17" s="218" t="str">
        <f>IF(G17="","","φ")</f>
        <v>φ</v>
      </c>
      <c r="I17" s="306" t="s">
        <v>92</v>
      </c>
      <c r="J17" s="218" t="str">
        <f>IF(I17="","","W")</f>
        <v>W</v>
      </c>
      <c r="K17" s="307">
        <v>210</v>
      </c>
      <c r="L17" s="220" t="str">
        <f>IF(K17="","","V")</f>
        <v>V</v>
      </c>
      <c r="M17" s="308">
        <v>60</v>
      </c>
      <c r="N17" s="309" t="s">
        <v>93</v>
      </c>
      <c r="O17" s="310">
        <v>300</v>
      </c>
      <c r="P17" s="311">
        <v>1</v>
      </c>
      <c r="Q17" s="198">
        <f>IF(O17="","",IF(OR(N17="油入自冷",N17="モ－ルド絶縁"),IF(G17=1,SQRT(AY17^2+AZ17^2),IF(G17=3,SQRT(BA17^2+BB17^2))),SQRT(BC17^2+BD17^2)))</f>
        <v>3.5518586683594267</v>
      </c>
      <c r="R17" s="204">
        <f>IF(P17="","",(O17*1000*P17)/(SQRT(G17)*K17))</f>
        <v>824.78609884232264</v>
      </c>
      <c r="S17" s="312"/>
      <c r="T17" s="125">
        <f>IF(AU17="","",K17*SQRT(CL17^2+CM17^2)/SQRT(CP17^2+CQ17^2))</f>
        <v>204.95233286701344</v>
      </c>
      <c r="U17" s="259"/>
      <c r="V17" s="257"/>
      <c r="W17" s="264" t="str">
        <f>IF(OR(U17="",V17=""),"",(U17/V17))</f>
        <v/>
      </c>
      <c r="X17" s="76">
        <v>70.956000000000003</v>
      </c>
      <c r="Y17" s="202">
        <f>IF(X17="","",VLOOKUP(X17,Ｍ,2,FALSE))</f>
        <v>0.92500000000000004</v>
      </c>
      <c r="Z17" s="202">
        <f>IF(X17="","",VLOOKUP(X17,Ｍ,3,FALSE))</f>
        <v>0.89800000000000002</v>
      </c>
      <c r="AA17" s="255">
        <v>0.4</v>
      </c>
      <c r="AB17" s="79" t="s">
        <v>94</v>
      </c>
      <c r="AC17" s="127">
        <f>IF(N(BG17)=0,"",BG17*X17*AB18*1000/(K17*SQRT(G17)))</f>
        <v>585.23522429455841</v>
      </c>
      <c r="AD17" s="251" t="str">
        <f>IF(N(BH17+BI17)=0,"",N(BH17+BI17))</f>
        <v/>
      </c>
      <c r="AE17" s="200"/>
      <c r="AF17" s="97" t="s">
        <v>73</v>
      </c>
      <c r="AG17" s="88">
        <v>200</v>
      </c>
      <c r="AH17" s="89">
        <v>1</v>
      </c>
      <c r="AI17" s="90">
        <v>29</v>
      </c>
      <c r="AJ17" s="128">
        <f t="shared" si="0"/>
        <v>3.0763948709905109</v>
      </c>
      <c r="AK17" s="128">
        <f>IF(AF17="","",IF(AF17="IV",(M17/50)*BJ17*AI17,(M17/50)*BJ17*AI17/AH17))</f>
        <v>4.2107999999999999</v>
      </c>
      <c r="AL17" s="91" t="s">
        <v>104</v>
      </c>
      <c r="AM17" s="92"/>
      <c r="AN17" s="101">
        <f>IF(X17="","",K17/SQRT(CP17^2+CQ17^2))</f>
        <v>558.17767387740059</v>
      </c>
      <c r="AO17" s="103"/>
      <c r="AP17" s="100">
        <v>50</v>
      </c>
      <c r="AQ17" s="119">
        <f>IF(AF17="","",SQRT(G17)*CR18*((AJ17/1000)*COS(ATAN(CH17/CG17))+(AK17/1000)*SIN(ATAN(CH17/CG17))))</f>
        <v>4.9264644214013815</v>
      </c>
      <c r="AR17" s="108">
        <f>IF(AQ17="","",AQ17*100/K17)</f>
        <v>2.3459354387625626</v>
      </c>
      <c r="AS17" s="117">
        <f>IF(AF18="","",SQRT(G17)*CR17*((AJ18/1000)*COS(ATAN(BT17/BS17))+(AK18/1000)*SIN(ATAN(BT17/BS17))))</f>
        <v>3.1497618991829328</v>
      </c>
      <c r="AT17" s="108">
        <f>IF(AS17="","",AS17*100/K17)</f>
        <v>1.4998866186585396</v>
      </c>
      <c r="AU17" s="109">
        <f>IF(X17="","",CR17*SQRT(BN17^2+BO17^2))</f>
        <v>200.29093712796879</v>
      </c>
      <c r="AV17" s="131">
        <f>IF(AU17="","",AU17*100/K17)</f>
        <v>95.376636727604193</v>
      </c>
      <c r="AW17" s="114" t="s">
        <v>140</v>
      </c>
      <c r="AX17" s="156">
        <f>AY18/CW17</f>
        <v>1.2396945467738747</v>
      </c>
      <c r="AY17" s="158" t="b">
        <f>IF(G17="","",IF(AND(G17=1,M17=50,N17="油入自冷"),VLOOKUP(O17,変１,2,FALSE),IF(AND(G17=1,M17=50,N17="モ－ルド絶縁"),VLOOKUP(O17,変１,7,FALSE),IF(AND(G17=1,M17=60,N17="油入自冷"),VLOOKUP(O17,変１,12,FALSE),IF(AND(G17=1,M17=60,N17="モ－ルド絶縁"),VLOOKUP(O17,変１,17,FALSE),FALSE)))))</f>
        <v>0</v>
      </c>
      <c r="AZ17" s="158" t="b">
        <f>IF(G17="","",IF(AND(G17=1,M17=50,N17="油入自冷"),VLOOKUP(O17,変１,3,FALSE),IF(AND(G17=1,M17=50,N17="モ－ルド絶縁"),VLOOKUP(O17,変１,8,FALSE),IF(AND(G17=1,M17=60,N17="油入自冷"),VLOOKUP(O17,変１,13,FALSE),IF(AND(G17=1,M17=60,N17="モ－ルド絶縁"),VLOOKUP(O17,変１,18,FALSE),FALSE)))))</f>
        <v>0</v>
      </c>
      <c r="BA17" s="158">
        <f>IF(G17="","",IF(AND(G17=3,M17=50,N17="油入自冷"),VLOOKUP(O17,変３,2,FALSE),IF(AND(G17=3,M17=50,N17="モ－ルド絶縁"),VLOOKUP(O17,変３,7,FALSE),IF(AND(G17=3,M17=60,N17="油入自冷"),VLOOKUP(O17,変３,12,FALSE),IF(AND(G17=3,M17=60,N17="モ－ルド絶縁"),VLOOKUP(O17,変３,17,FALSE),FALSE)))))</f>
        <v>1.41</v>
      </c>
      <c r="BB17" s="158">
        <f>IF(G17="","",IF(AND(G17=3,M17=50,N17="油入自冷"),VLOOKUP(O17,変３,3,FALSE),IF(AND(G17=3,M17=50,N17="モ－ルド絶縁"),VLOOKUP(O17,変３,8,FALSE),IF(AND(G17=3,M17=60,N17="油入自冷"),VLOOKUP(O17,変３,13,FALSE),IF(AND(G17=3,M17=60,N17="モ－ルド絶縁"),VLOOKUP(O17,変３,18,FALSE),FALSE)))))</f>
        <v>3.26</v>
      </c>
      <c r="BC17" s="158">
        <f>IF(ISNA(VLOOKUP(O17,変ＵＳＥＲ,2,FALSE)),0,VLOOKUP(O17,変ＵＳＥＲ,2,FALSE))</f>
        <v>0</v>
      </c>
      <c r="BD17" s="158">
        <f>IF(ISNA(VLOOKUP(O17,変ＵＳＥＲ,3,FALSE)),0,VLOOKUP(O17,変ＵＳＥＲ,3,FALSE)*M17/50)</f>
        <v>0</v>
      </c>
      <c r="BE17" s="159">
        <f>SQRT(G17)*(K17^2)*(N(AY17)+N(BA17)+N(BC17))/(100000*O17*P17)</f>
        <v>3.5900217088480116E-3</v>
      </c>
      <c r="BF17" s="159">
        <f>SQRT(G17)*(K17^2)*(N(AZ17)+N(BB17)+N(BD17))/(100000*O17*P17)</f>
        <v>8.3003338800315737E-3</v>
      </c>
      <c r="BG17" s="160">
        <f>IF(AB17="直 入",1,IF(AB17="Ｓ-Ｄ",1/3,IF(AB17="ﾘｱｸﾄﾙ50%",0.5,IF(AB17="ﾘｱｸﾄﾙ60%",0.6,IF(AB17="ﾘｱｸﾄﾙ80%",0.8,IF(AB17="ｺﾝﾄﾞﾙﾌｧ50%",0.25,IF(AB17="ｺﾝﾄﾞﾙﾌｧ65%",0.4225,IF(AB17="ｺﾝﾄﾞﾙﾌｧ80%",0.64,FALSE))))))))</f>
        <v>1</v>
      </c>
      <c r="BH17" s="160" t="b">
        <f t="shared" si="1"/>
        <v>0</v>
      </c>
      <c r="BI17" s="159">
        <f t="shared" si="2"/>
        <v>0</v>
      </c>
      <c r="BJ17" s="159">
        <f t="shared" si="3"/>
        <v>0.121</v>
      </c>
      <c r="BK17" s="159">
        <f t="shared" si="4"/>
        <v>8.4500000000000006E-2</v>
      </c>
      <c r="BL17" s="159">
        <f>IF(N(BL18)=0,SQRT(G17)*K17^2*Z17^2*Y17/(1000*X17),BL18*SQRT(G17)*K17^2*Z17^2*Y17/(1000*X17))</f>
        <v>0.62529555738319542</v>
      </c>
      <c r="BM17" s="159">
        <f>BL17*(TAN(ACOS(Z17)))</f>
        <v>0.30637773160511267</v>
      </c>
      <c r="BN17" s="160">
        <f>K17*AA17/AC17</f>
        <v>0.14353203039214441</v>
      </c>
      <c r="BO17" s="160">
        <f>BN17*(TAN(ACOS(AA17)))</f>
        <v>0.32887319696135187</v>
      </c>
      <c r="BP17" s="161">
        <f>IF(AE17=0,2*3.141592654*M17*N(AD17)*SQRT(G17)/1000000,AE17*1000*SQRT(G17)/K17^2)</f>
        <v>0</v>
      </c>
      <c r="BQ17" s="162">
        <f>BL17+(AJ18/1000)</f>
        <v>0.6273157339967943</v>
      </c>
      <c r="BR17" s="163">
        <f>BM17+(AK18/1000)</f>
        <v>0.30904893160511265</v>
      </c>
      <c r="BS17" s="163">
        <f>BN17+(AJ18/1000)</f>
        <v>0.14555220700574334</v>
      </c>
      <c r="BT17" s="163">
        <f>BO17+(AK18/1000)</f>
        <v>0.33154439696135185</v>
      </c>
      <c r="BU17" s="164">
        <f>BQ17/((BP17*BQ17)^2+(BP17*BR17-1)^2)</f>
        <v>0.6273157339967943</v>
      </c>
      <c r="BV17" s="165">
        <f>(BR17-BP17*(BQ17^2+BR17^2))/((BP17*BQ17)^2+(BP17*BR17-1)^2)</f>
        <v>0.30904893160511265</v>
      </c>
      <c r="BW17" s="163">
        <f>BS17/((BP17*BS17)^2+(BP17*BT17-1)^2)</f>
        <v>0.14555220700574334</v>
      </c>
      <c r="BX17" s="163">
        <f>(BT17-BP17*(BS17^2+BT17^2))/((BP17*BS17)^2+(BP17*BT17-1)^2)</f>
        <v>0.33154439696135185</v>
      </c>
      <c r="BY17" s="164">
        <f>IF(U17=0,10^20,K17^2*CU17*V17/(1000*W17))</f>
        <v>1E+20</v>
      </c>
      <c r="BZ17" s="164">
        <f>IF(U17=0,10^20,BY17*TAN(ACOS(V17)))</f>
        <v>1E+20</v>
      </c>
      <c r="CA17" s="163">
        <f>(BU17*(BY17^2+BZ17^2)+BY17*(BU17^2+BV17^2))/((BU17+BY17)^2+(BV17+BZ17)^2)</f>
        <v>0.6273157339967943</v>
      </c>
      <c r="CB17" s="163">
        <f>(BZ17*(BU17^2+BV17^2)+BV17*(BY17^2+BZ17^2))/((BU17+BY17)^2+(BV17+BZ17)^2)</f>
        <v>0.30904893160511265</v>
      </c>
      <c r="CC17" s="163">
        <f>(BW17*(BY17^2+BZ17^2)+BY17*(BW17^2+BX17^2))/((BW17+BY17)^2+(BX17+BZ17)^2)</f>
        <v>0.14555220700574334</v>
      </c>
      <c r="CD17" s="163">
        <f>(BZ17*(BW17^2+BX17^2)+BX17*(BY17^2+BZ17^2))/((BW17+BY17)^2+(BX17+BZ17)^2)</f>
        <v>0.33154439696135185</v>
      </c>
      <c r="CE17" s="163">
        <f>CA17+(N(AJ17)/1000)</f>
        <v>0.63039212886778484</v>
      </c>
      <c r="CF17" s="163">
        <f>CB17+(N(AK17)/1000)</f>
        <v>0.31325973160511267</v>
      </c>
      <c r="CG17" s="163">
        <f>CC17+(N(AJ17)/1000)</f>
        <v>0.14862860187673385</v>
      </c>
      <c r="CH17" s="163">
        <f>CD17+(N(AK17)/1000)</f>
        <v>0.33575519696135186</v>
      </c>
      <c r="CI17" s="163">
        <f>S17*1000/K17^2/SQRT(G17)</f>
        <v>0</v>
      </c>
      <c r="CJ17" s="163">
        <f>CE17/((CI17*CE17)^2+(CI17*CF17-1)^2)</f>
        <v>0.63039212886778484</v>
      </c>
      <c r="CK17" s="163">
        <f>(CF17-CI17*(CE17^2+CF17^2))/((CI17*CE17)^2+(CI17*CF17-1)^2)</f>
        <v>0.31325973160511267</v>
      </c>
      <c r="CL17" s="163">
        <f>CG17/((CI17*CG17)^2+(CI17*CH17-1)^2)</f>
        <v>0.14862860187673385</v>
      </c>
      <c r="CM17" s="163">
        <f>(CH17-CI17*(CG17^2+CH17^2))/((CI17*CG17)^2+(CI17*CH17-1)^2)</f>
        <v>0.33575519696135186</v>
      </c>
      <c r="CN17" s="163">
        <f>CJ17+BE17</f>
        <v>0.63398215057663287</v>
      </c>
      <c r="CO17" s="163">
        <f>CK17+BF17</f>
        <v>0.32156006548514426</v>
      </c>
      <c r="CP17" s="163">
        <f>CL17+BE17</f>
        <v>0.15221862358558186</v>
      </c>
      <c r="CQ17" s="163">
        <f>CM17+BF17</f>
        <v>0.34405553084138346</v>
      </c>
      <c r="CR17" s="163">
        <f>K17*SQRT(CC17^2+CD17^2)*SQRT(CL17^2+CM17^2)/(SQRT(CP17^2+CQ17^2)*SQRT(BS17^2+BT17^2)*SQRT(CG17^2+CH17^2))</f>
        <v>558.17767387740059</v>
      </c>
      <c r="CS17" s="163">
        <f>K17*SQRT(CA17^2+CB17^2)*SQRT(CJ17^2+CK17^2)/(SQRT(CN17^2+CO17^2)*SQRT(BQ17^2+BR17^2)*SQRT(CE17^2+CF17^2))</f>
        <v>295.41322278810128</v>
      </c>
      <c r="CT17" s="113">
        <f t="shared" si="5"/>
        <v>1</v>
      </c>
      <c r="CU17" s="163">
        <f>IF(G17=3,SQRT(3),2)</f>
        <v>1.7320508075688772</v>
      </c>
      <c r="CV17" s="156">
        <v>1</v>
      </c>
      <c r="CW17" s="156">
        <f>X18*1.17*(AU18/K17)/((AU18/K17)^2+0.17)</f>
        <v>238.29517001334833</v>
      </c>
      <c r="CX17" s="164">
        <f>AO18/CW17</f>
        <v>1.2396945467738747</v>
      </c>
      <c r="CY17" s="156">
        <f>IF(AB17="Ｓ-Ｄ",0.57735,1)</f>
        <v>1</v>
      </c>
      <c r="CZ17" s="156"/>
      <c r="DA17" s="156"/>
      <c r="DB17" s="156"/>
    </row>
    <row r="18" spans="2:106" ht="24" customHeight="1" x14ac:dyDescent="0.15">
      <c r="B18" s="5" t="s">
        <v>2</v>
      </c>
      <c r="C18" s="33" t="s">
        <v>40</v>
      </c>
      <c r="E18" s="313"/>
      <c r="F18" s="314"/>
      <c r="G18" s="315"/>
      <c r="H18" s="219"/>
      <c r="I18" s="316"/>
      <c r="J18" s="219"/>
      <c r="K18" s="317"/>
      <c r="L18" s="221"/>
      <c r="M18" s="318"/>
      <c r="N18" s="319"/>
      <c r="O18" s="320"/>
      <c r="P18" s="321"/>
      <c r="Q18" s="199"/>
      <c r="R18" s="205"/>
      <c r="S18" s="322"/>
      <c r="T18" s="134">
        <f>IF(AU18="","",K17*SQRT(CJ17^2+CK17^2)/SQRT(CN17^2+CO17^2))</f>
        <v>207.9520031284012</v>
      </c>
      <c r="U18" s="260"/>
      <c r="V18" s="258"/>
      <c r="W18" s="265"/>
      <c r="X18" s="126">
        <f>IF(X17=0,"",X17*1000/(Y17*Z17*K17*SQRT(G17)))</f>
        <v>234.85030770864515</v>
      </c>
      <c r="Y18" s="203"/>
      <c r="Z18" s="203"/>
      <c r="AA18" s="256"/>
      <c r="AB18" s="78">
        <v>3</v>
      </c>
      <c r="AC18" s="107">
        <f>IF(AV17="","",CT17*AV17/100)</f>
        <v>0.95376636727604192</v>
      </c>
      <c r="AD18" s="252"/>
      <c r="AE18" s="201"/>
      <c r="AF18" s="93" t="s">
        <v>73</v>
      </c>
      <c r="AG18" s="94">
        <v>150</v>
      </c>
      <c r="AH18" s="95">
        <v>1</v>
      </c>
      <c r="AI18" s="96">
        <v>14</v>
      </c>
      <c r="AJ18" s="129">
        <f t="shared" si="0"/>
        <v>2.0201766135989336</v>
      </c>
      <c r="AK18" s="130">
        <f>IF(AF18="","",IF(AF18="IV",(M17/50)*BJ18*AI18,(M17/50)*BJ18*AI18/AH18))</f>
        <v>2.6711999999999998</v>
      </c>
      <c r="AL18" s="98" t="s">
        <v>103</v>
      </c>
      <c r="AM18" s="99"/>
      <c r="AN18" s="102"/>
      <c r="AO18" s="104">
        <f>IF(X17="","",K17/SQRT(CN17^2+CO17^2))</f>
        <v>295.41322278810128</v>
      </c>
      <c r="AP18" s="66">
        <v>60</v>
      </c>
      <c r="AQ18" s="120">
        <f>IF(AF17="","",SQRT(G17)*CS18*((AJ17/1000)*COS(ATAN(CF17/CE17))+(AK17/1000)*SIN(ATAN(CF17/CE17))))</f>
        <v>2.3684433546852293</v>
      </c>
      <c r="AR18" s="110">
        <f>IF(AQ18="","",AQ18*100/K17)</f>
        <v>1.1278301688977281</v>
      </c>
      <c r="AS18" s="118">
        <f>IF(AF18="","",CY17*SQRT(G17)*CS17*((AJ18/1000)*COS(ATAN(BR17/BQ17))+(AK18/1000)*SIN(ATAN(BR17/BQ17))))</f>
        <v>1.5312704990364947</v>
      </c>
      <c r="AT18" s="111">
        <f>IF(AS18="","",AS18*100/K17)</f>
        <v>0.72917642811261651</v>
      </c>
      <c r="AU18" s="112">
        <f>IF(X17="","",CS17*SQRT(BL17^2+BM17^2))</f>
        <v>205.70220022455663</v>
      </c>
      <c r="AV18" s="132">
        <f>IF(AU17="","",AU18*100/K17)</f>
        <v>97.953428678360297</v>
      </c>
      <c r="AW18" s="115" t="s">
        <v>102</v>
      </c>
      <c r="AX18" s="156">
        <v>0.778719132783393</v>
      </c>
      <c r="AY18" s="166">
        <f>IF(X17="","",IF(OR(AJ17="",AK17=""),K17/SQRT((BU17+BE17)^2+(BV17+BF17)^2),K17/SQRT((BU17+(AJ17/1000)+BE17)^2+(BV17+(AK17/1000)+BF17)^2)))</f>
        <v>295.41322278810128</v>
      </c>
      <c r="AZ18" s="159"/>
      <c r="BA18" s="159"/>
      <c r="BB18" s="167"/>
      <c r="BC18" s="158"/>
      <c r="BD18" s="158"/>
      <c r="BE18" s="159"/>
      <c r="BF18" s="159"/>
      <c r="BG18" s="160"/>
      <c r="BH18" s="160" t="b">
        <f t="shared" si="1"/>
        <v>0</v>
      </c>
      <c r="BI18" s="159" t="b">
        <f t="shared" si="2"/>
        <v>0</v>
      </c>
      <c r="BJ18" s="159">
        <f t="shared" si="3"/>
        <v>0.159</v>
      </c>
      <c r="BK18" s="159">
        <f t="shared" si="4"/>
        <v>8.3900000000000002E-2</v>
      </c>
      <c r="BL18" s="159">
        <f>AX18</f>
        <v>0.778719132783393</v>
      </c>
      <c r="BM18" s="160"/>
      <c r="BN18" s="160"/>
      <c r="BO18" s="160"/>
      <c r="BP18" s="168"/>
      <c r="BQ18" s="168"/>
      <c r="BR18" s="156"/>
      <c r="BS18" s="156"/>
      <c r="BT18" s="169"/>
      <c r="BU18" s="169"/>
      <c r="BV18" s="170"/>
      <c r="BW18" s="169"/>
      <c r="BX18" s="169"/>
      <c r="BY18" s="169"/>
      <c r="BZ18" s="169"/>
      <c r="CA18" s="169"/>
      <c r="CB18" s="169"/>
      <c r="CC18" s="169"/>
      <c r="CD18" s="169"/>
      <c r="CE18" s="169"/>
      <c r="CF18" s="169"/>
      <c r="CG18" s="169"/>
      <c r="CH18" s="169"/>
      <c r="CI18" s="169"/>
      <c r="CJ18" s="163"/>
      <c r="CK18" s="163"/>
      <c r="CL18" s="163"/>
      <c r="CM18" s="163"/>
      <c r="CN18" s="163"/>
      <c r="CO18" s="163"/>
      <c r="CP18" s="163"/>
      <c r="CQ18" s="163"/>
      <c r="CR18" s="163">
        <f>K17*SQRT(CL17^2+CM17^2)/(SQRT(CP17^2+CQ17^2)*SQRT(CG17^2+CH17^2))</f>
        <v>558.17767387740059</v>
      </c>
      <c r="CS18" s="163">
        <f>K17*SQRT(CJ17^2+CK17^2)/(SQRT(CN17^2+CO17^2)*SQRT(CE17^2+CF17^2))</f>
        <v>295.41322278810122</v>
      </c>
      <c r="CT18" s="113">
        <f t="shared" si="5"/>
        <v>0</v>
      </c>
      <c r="CU18" s="163"/>
      <c r="CV18" s="156">
        <v>0</v>
      </c>
      <c r="CW18" s="156"/>
      <c r="CX18" s="156"/>
      <c r="CY18" s="156"/>
      <c r="CZ18" s="156"/>
      <c r="DA18" s="156"/>
      <c r="DB18" s="156"/>
    </row>
    <row r="19" spans="2:106" ht="24" customHeight="1" x14ac:dyDescent="0.15">
      <c r="B19" s="4"/>
      <c r="C19" s="34"/>
      <c r="E19" s="303" t="s">
        <v>139</v>
      </c>
      <c r="F19" s="304" t="s">
        <v>144</v>
      </c>
      <c r="G19" s="305">
        <v>3</v>
      </c>
      <c r="H19" s="218" t="str">
        <f>IF(G19="","","φ")</f>
        <v>φ</v>
      </c>
      <c r="I19" s="306" t="s">
        <v>92</v>
      </c>
      <c r="J19" s="218" t="str">
        <f>IF(I19="","","W")</f>
        <v>W</v>
      </c>
      <c r="K19" s="307">
        <v>220</v>
      </c>
      <c r="L19" s="220" t="str">
        <f>IF(K19="","","V")</f>
        <v>V</v>
      </c>
      <c r="M19" s="308">
        <v>60</v>
      </c>
      <c r="N19" s="309" t="s">
        <v>93</v>
      </c>
      <c r="O19" s="310">
        <v>300</v>
      </c>
      <c r="P19" s="311">
        <v>1</v>
      </c>
      <c r="Q19" s="198">
        <f>IF(O19="","",IF(OR(N19="油入自冷",N19="モ－ルド絶縁"),IF(G19=1,SQRT(AY19^2+AZ19^2),IF(G19=3,SQRT(BA19^2+BB19^2))),SQRT(BC19^2+BD19^2)))</f>
        <v>3.5518586683594267</v>
      </c>
      <c r="R19" s="204">
        <f>IF(P19="","",(O19*1000*P19)/(SQRT(G19)*K19))</f>
        <v>787.29582162221698</v>
      </c>
      <c r="S19" s="312"/>
      <c r="T19" s="125">
        <f>IF(AU19="","",K19*SQRT(CL19^2+CM19^2)/SQRT(CP19^2+CQ19^2))</f>
        <v>214.69144021744907</v>
      </c>
      <c r="U19" s="253"/>
      <c r="V19" s="257"/>
      <c r="W19" s="264" t="str">
        <f>IF(OR(U19="",V19=""),"",(U19/V19))</f>
        <v/>
      </c>
      <c r="X19" s="76">
        <v>70.956000000000003</v>
      </c>
      <c r="Y19" s="202">
        <f>IF(X19="","",VLOOKUP(X19,Ｍ,2,FALSE))</f>
        <v>0.92500000000000004</v>
      </c>
      <c r="Z19" s="202">
        <f>IF(X19="","",VLOOKUP(X19,Ｍ,3,FALSE))</f>
        <v>0.89800000000000002</v>
      </c>
      <c r="AA19" s="255">
        <v>0.4</v>
      </c>
      <c r="AB19" s="79" t="s">
        <v>94</v>
      </c>
      <c r="AC19" s="127">
        <f>IF(N(BG19)=0,"",BG19*X19*AB20*1000/(K19*SQRT(G19)))</f>
        <v>558.63362319026032</v>
      </c>
      <c r="AD19" s="251" t="str">
        <f>IF(N(BH19+BI19)=0,"",N(BH19+BI19))</f>
        <v/>
      </c>
      <c r="AE19" s="200"/>
      <c r="AF19" s="97" t="s">
        <v>73</v>
      </c>
      <c r="AG19" s="88">
        <v>200</v>
      </c>
      <c r="AH19" s="89">
        <v>1</v>
      </c>
      <c r="AI19" s="90">
        <v>29</v>
      </c>
      <c r="AJ19" s="128">
        <f t="shared" si="0"/>
        <v>3.0763948709905109</v>
      </c>
      <c r="AK19" s="128">
        <f>IF(AF19="","",IF(AF19="IV",(M19/50)*BJ19*AI19,(M19/50)*BJ19*AI19/AH19))</f>
        <v>4.2107999999999999</v>
      </c>
      <c r="AL19" s="91" t="s">
        <v>104</v>
      </c>
      <c r="AM19" s="92"/>
      <c r="AN19" s="101">
        <f>IF(X19="","",K19/SQRT(CP19^2+CQ19^2))</f>
        <v>534.87041471974521</v>
      </c>
      <c r="AO19" s="103"/>
      <c r="AP19" s="100">
        <v>50</v>
      </c>
      <c r="AQ19" s="119">
        <f>IF(AF19="","",SQRT(G19)*CR20*((AJ19/1000)*COS(ATAN(CH19/CG19))+(AK19/1000)*SIN(ATAN(CH19/CG19))))</f>
        <v>4.7198169185658543</v>
      </c>
      <c r="AR19" s="108">
        <f>IF(AQ19="","",AQ19*100/K19)</f>
        <v>2.1453713266208427</v>
      </c>
      <c r="AS19" s="117">
        <f>IF(AF20="","",SQRT(G19)*CR19*((AJ20/1000)*COS(ATAN(BT19/BS19))+(AK20/1000)*SIN(ATAN(BT19/BS19))))</f>
        <v>2.2965390114803004</v>
      </c>
      <c r="AT19" s="108">
        <f>IF(AS19="","",AS19*100/K19)</f>
        <v>1.043881368854682</v>
      </c>
      <c r="AU19" s="109">
        <f>IF(X19="","",CR19*SQRT(BN19^2+BO19^2))</f>
        <v>210.64161975489819</v>
      </c>
      <c r="AV19" s="131">
        <f>IF(AU19="","",AU19*100/K19)</f>
        <v>95.746190797680995</v>
      </c>
      <c r="AW19" s="114" t="s">
        <v>140</v>
      </c>
      <c r="AX19" s="156">
        <f>AY20/CW19</f>
        <v>0.97531361272209283</v>
      </c>
      <c r="AY19" s="158" t="b">
        <f>IF(G19="","",IF(AND(G19=1,M19=50,N19="油入自冷"),VLOOKUP(O19,変１,2,FALSE),IF(AND(G19=1,M19=50,N19="モ－ルド絶縁"),VLOOKUP(O19,変１,7,FALSE),IF(AND(G19=1,M19=60,N19="油入自冷"),VLOOKUP(O19,変１,12,FALSE),IF(AND(G19=1,M19=60,N19="モ－ルド絶縁"),VLOOKUP(O19,変１,17,FALSE),FALSE)))))</f>
        <v>0</v>
      </c>
      <c r="AZ19" s="158" t="b">
        <f>IF(G19="","",IF(AND(G19=1,M19=50,N19="油入自冷"),VLOOKUP(O19,変１,3,FALSE),IF(AND(G19=1,M19=50,N19="モ－ルド絶縁"),VLOOKUP(O19,変１,8,FALSE),IF(AND(G19=1,M19=60,N19="油入自冷"),VLOOKUP(O19,変１,13,FALSE),IF(AND(G19=1,M19=60,N19="モ－ルド絶縁"),VLOOKUP(O19,変１,18,FALSE),FALSE)))))</f>
        <v>0</v>
      </c>
      <c r="BA19" s="158">
        <f>IF(G19="","",IF(AND(G19=3,M19=50,N19="油入自冷"),VLOOKUP(O19,変３,2,FALSE),IF(AND(G19=3,M19=50,N19="モ－ルド絶縁"),VLOOKUP(O19,変３,7,FALSE),IF(AND(G19=3,M19=60,N19="油入自冷"),VLOOKUP(O19,変３,12,FALSE),IF(AND(G19=3,M19=60,N19="モ－ルド絶縁"),VLOOKUP(O19,変３,17,FALSE),FALSE)))))</f>
        <v>1.41</v>
      </c>
      <c r="BB19" s="158">
        <f>IF(G19="","",IF(AND(G19=3,M19=50,N19="油入自冷"),VLOOKUP(O19,変３,3,FALSE),IF(AND(G19=3,M19=50,N19="モ－ルド絶縁"),VLOOKUP(O19,変３,8,FALSE),IF(AND(G19=3,M19=60,N19="油入自冷"),VLOOKUP(O19,変３,13,FALSE),IF(AND(G19=3,M19=60,N19="モ－ルド絶縁"),VLOOKUP(O19,変３,18,FALSE),FALSE)))))</f>
        <v>3.26</v>
      </c>
      <c r="BC19" s="158">
        <f>IF(ISNA(VLOOKUP(O19,変ＵＳＥＲ,2,FALSE)),0,VLOOKUP(O19,変ＵＳＥＲ,2,FALSE))</f>
        <v>0</v>
      </c>
      <c r="BD19" s="158">
        <f>IF(ISNA(VLOOKUP(O19,変ＵＳＥＲ,3,FALSE)),0,VLOOKUP(O19,変ＵＳＥＲ,3,FALSE)*M19/50)</f>
        <v>0</v>
      </c>
      <c r="BE19" s="159">
        <f>SQRT(G19)*(K19^2)*(N(AY19)+N(BA19)+N(BC19))/(100000*O19*P19)</f>
        <v>3.9400691770576811E-3</v>
      </c>
      <c r="BF19" s="159">
        <f>SQRT(G19)*(K19^2)*(N(AZ19)+N(BB19)+N(BD19))/(100000*O19*P19)</f>
        <v>9.1096634873815887E-3</v>
      </c>
      <c r="BG19" s="160">
        <f>IF(AB19="直 入",1,IF(AB19="Ｓ-Ｄ",1/3,IF(AB19="ﾘｱｸﾄﾙ50%",0.5,IF(AB19="ﾘｱｸﾄﾙ60%",0.6,IF(AB19="ﾘｱｸﾄﾙ80%",0.8,IF(AB19="ｺﾝﾄﾞﾙﾌｧ50%",0.25,IF(AB19="ｺﾝﾄﾞﾙﾌｧ65%",0.4225,IF(AB19="ｺﾝﾄﾞﾙﾌｧ80%",0.64,FALSE))))))))</f>
        <v>1</v>
      </c>
      <c r="BH19" s="160" t="b">
        <f t="shared" si="1"/>
        <v>0</v>
      </c>
      <c r="BI19" s="159">
        <f t="shared" si="2"/>
        <v>0</v>
      </c>
      <c r="BJ19" s="159">
        <f t="shared" si="3"/>
        <v>0.121</v>
      </c>
      <c r="BK19" s="159">
        <f t="shared" si="4"/>
        <v>8.4500000000000006E-2</v>
      </c>
      <c r="BL19" s="159">
        <f>IF(N(BL20)=0,SQRT(G19)*K19^2*Z19^2*Y19/(1000*X19),BL20*SQRT(G19)*K19^2*Z19^2*Y19/(1000*X19))</f>
        <v>0.88127463432742292</v>
      </c>
      <c r="BM19" s="159">
        <f>BL19*(TAN(ACOS(Z19)))</f>
        <v>0.43180048250510278</v>
      </c>
      <c r="BN19" s="160">
        <f>K19*AA19/AC19</f>
        <v>0.15752721702902014</v>
      </c>
      <c r="BO19" s="160">
        <f>BN19*(TAN(ACOS(AA19)))</f>
        <v>0.36094019802561061</v>
      </c>
      <c r="BP19" s="161">
        <f>IF(AE19=0,2*3.141592654*M19*N(AD19)*SQRT(G19)/1000000,AE19*1000*SQRT(G19)/K19^2)</f>
        <v>0</v>
      </c>
      <c r="BQ19" s="162">
        <f>BL19+(AJ20/1000)</f>
        <v>0.88281200143588501</v>
      </c>
      <c r="BR19" s="163">
        <f>BM19+(AK20/1000)</f>
        <v>0.43383328250510278</v>
      </c>
      <c r="BS19" s="163">
        <f>BN19+(AJ20/1000)</f>
        <v>0.15906458413748223</v>
      </c>
      <c r="BT19" s="163">
        <f>BO19+(AK20/1000)</f>
        <v>0.36297299802561062</v>
      </c>
      <c r="BU19" s="164">
        <f>BQ19/((BP19*BQ19)^2+(BP19*BR19-1)^2)</f>
        <v>0.88281200143588501</v>
      </c>
      <c r="BV19" s="165">
        <f>(BR19-BP19*(BQ19^2+BR19^2))/((BP19*BQ19)^2+(BP19*BR19-1)^2)</f>
        <v>0.43383328250510278</v>
      </c>
      <c r="BW19" s="163">
        <f>BS19/((BP19*BS19)^2+(BP19*BT19-1)^2)</f>
        <v>0.15906458413748223</v>
      </c>
      <c r="BX19" s="163">
        <f>(BT19-BP19*(BS19^2+BT19^2))/((BP19*BS19)^2+(BP19*BT19-1)^2)</f>
        <v>0.36297299802561062</v>
      </c>
      <c r="BY19" s="164">
        <f>IF(U19=0,10^20,K19^2*CU19*V19/(1000*W19))</f>
        <v>1E+20</v>
      </c>
      <c r="BZ19" s="164">
        <f>IF(U19=0,10^20,BY19*TAN(ACOS(V19)))</f>
        <v>1E+20</v>
      </c>
      <c r="CA19" s="163">
        <f>(BU19*(BY19^2+BZ19^2)+BY19*(BU19^2+BV19^2))/((BU19+BY19)^2+(BV19+BZ19)^2)</f>
        <v>0.88281200143588501</v>
      </c>
      <c r="CB19" s="163">
        <f>(BZ19*(BU19^2+BV19^2)+BV19*(BY19^2+BZ19^2))/((BU19+BY19)^2+(BV19+BZ19)^2)</f>
        <v>0.43383328250510278</v>
      </c>
      <c r="CC19" s="163">
        <f>(BW19*(BY19^2+BZ19^2)+BY19*(BW19^2+BX19^2))/((BW19+BY19)^2+(BX19+BZ19)^2)</f>
        <v>0.15906458413748226</v>
      </c>
      <c r="CD19" s="163">
        <f>(BZ19*(BW19^2+BX19^2)+BX19*(BY19^2+BZ19^2))/((BW19+BY19)^2+(BX19+BZ19)^2)</f>
        <v>0.36297299802561062</v>
      </c>
      <c r="CE19" s="163">
        <f>CA19+(N(AJ19)/1000)</f>
        <v>0.88588839630687555</v>
      </c>
      <c r="CF19" s="163">
        <f>CB19+(N(AK19)/1000)</f>
        <v>0.43804408250510279</v>
      </c>
      <c r="CG19" s="163">
        <f>CC19+(N(AJ19)/1000)</f>
        <v>0.16214097900847277</v>
      </c>
      <c r="CH19" s="163">
        <f>CD19+(N(AK19)/1000)</f>
        <v>0.36718379802561063</v>
      </c>
      <c r="CI19" s="163">
        <f>S19*1000/K19^2/SQRT(G19)</f>
        <v>0</v>
      </c>
      <c r="CJ19" s="163">
        <f>CE19/((CI19*CE19)^2+(CI19*CF19-1)^2)</f>
        <v>0.88588839630687555</v>
      </c>
      <c r="CK19" s="163">
        <f>(CF19-CI19*(CE19^2+CF19^2))/((CI19*CE19)^2+(CI19*CF19-1)^2)</f>
        <v>0.43804408250510279</v>
      </c>
      <c r="CL19" s="163">
        <f>CG19/((CI19*CG19)^2+(CI19*CH19-1)^2)</f>
        <v>0.16214097900847277</v>
      </c>
      <c r="CM19" s="163">
        <f>(CH19-CI19*(CG19^2+CH19^2))/((CI19*CG19)^2+(CI19*CH19-1)^2)</f>
        <v>0.36718379802561063</v>
      </c>
      <c r="CN19" s="163">
        <f>CJ19+BE19</f>
        <v>0.88982846548393324</v>
      </c>
      <c r="CO19" s="163">
        <f>CK19+BF19</f>
        <v>0.44715374599248436</v>
      </c>
      <c r="CP19" s="163">
        <f>CL19+BE19</f>
        <v>0.16608104818553046</v>
      </c>
      <c r="CQ19" s="163">
        <f>CM19+BF19</f>
        <v>0.3762934615129922</v>
      </c>
      <c r="CR19" s="163">
        <f>K19*SQRT(CC19^2+CD19^2)*SQRT(CL19^2+CM19^2)/(SQRT(CP19^2+CQ19^2)*SQRT(BS19^2+BT19^2)*SQRT(CG19^2+CH19^2))</f>
        <v>534.8704147197451</v>
      </c>
      <c r="CS19" s="163">
        <f>K19*SQRT(CA19^2+CB19^2)*SQRT(CJ19^2+CK19^2)/(SQRT(CN19^2+CO19^2)*SQRT(BQ19^2+BR19^2)*SQRT(CE19^2+CF19^2))</f>
        <v>220.91413743256095</v>
      </c>
      <c r="CT19" s="113">
        <f t="shared" si="5"/>
        <v>1</v>
      </c>
      <c r="CU19" s="163">
        <f>IF(G19=3,SQRT(3),2)</f>
        <v>1.7320508075688772</v>
      </c>
      <c r="CV19" s="156">
        <v>1</v>
      </c>
      <c r="CW19" s="156">
        <f>X20*1.17*(AU20/K19)/((AU20/K19)^2+0.17)</f>
        <v>226.50574599896262</v>
      </c>
      <c r="CX19" s="164">
        <f>AO20/CW19</f>
        <v>0.97531361272209283</v>
      </c>
      <c r="CY19" s="156">
        <f>IF(AB19="Ｓ-Ｄ",0.57735,1)</f>
        <v>1</v>
      </c>
      <c r="CZ19" s="156"/>
      <c r="DA19" s="156"/>
      <c r="DB19" s="156"/>
    </row>
    <row r="20" spans="2:106" ht="24" customHeight="1" x14ac:dyDescent="0.15">
      <c r="E20" s="313"/>
      <c r="F20" s="314"/>
      <c r="G20" s="315"/>
      <c r="H20" s="219"/>
      <c r="I20" s="316"/>
      <c r="J20" s="219"/>
      <c r="K20" s="317"/>
      <c r="L20" s="221"/>
      <c r="M20" s="318"/>
      <c r="N20" s="319"/>
      <c r="O20" s="320"/>
      <c r="P20" s="321"/>
      <c r="Q20" s="199"/>
      <c r="R20" s="205"/>
      <c r="S20" s="322"/>
      <c r="T20" s="134">
        <f>IF(AU20="","",K19*SQRT(CJ19^2+CK19^2)/SQRT(CN19^2+CO19^2))</f>
        <v>218.32318075572451</v>
      </c>
      <c r="U20" s="254"/>
      <c r="V20" s="258"/>
      <c r="W20" s="265"/>
      <c r="X20" s="126">
        <f>IF(X19=0,"",X19*1000/(Y19*Z19*K19*SQRT(G19)))</f>
        <v>224.17529372188858</v>
      </c>
      <c r="Y20" s="203"/>
      <c r="Z20" s="203"/>
      <c r="AA20" s="256"/>
      <c r="AB20" s="78">
        <v>3</v>
      </c>
      <c r="AC20" s="107">
        <f>IF(AV19="","",CT19*AV19/100)</f>
        <v>0.95746190797680997</v>
      </c>
      <c r="AD20" s="252"/>
      <c r="AE20" s="201"/>
      <c r="AF20" s="93" t="s">
        <v>73</v>
      </c>
      <c r="AG20" s="94">
        <v>200</v>
      </c>
      <c r="AH20" s="95">
        <v>1</v>
      </c>
      <c r="AI20" s="96">
        <v>14</v>
      </c>
      <c r="AJ20" s="129">
        <f t="shared" si="0"/>
        <v>1.5373671084620815</v>
      </c>
      <c r="AK20" s="130">
        <f>IF(AF20="","",IF(AF20="IV",(M19/50)*BJ20*AI20,(M19/50)*BJ20*AI20/AH20))</f>
        <v>2.0327999999999999</v>
      </c>
      <c r="AL20" s="98" t="s">
        <v>103</v>
      </c>
      <c r="AM20" s="99"/>
      <c r="AN20" s="102"/>
      <c r="AO20" s="104">
        <f>IF(X19="","",K19/SQRT(CN19^2+CO19^2))</f>
        <v>220.91413743256095</v>
      </c>
      <c r="AP20" s="66">
        <v>60</v>
      </c>
      <c r="AQ20" s="120">
        <f>IF(AF19="","",SQRT(G19)*CS20*((AJ19/1000)*COS(ATAN(CF19/CE19))+(AK19/1000)*SIN(ATAN(CF19/CE19))))</f>
        <v>1.7693369744821132</v>
      </c>
      <c r="AR20" s="110">
        <f>IF(AQ20="","",AQ20*100/K19)</f>
        <v>0.80424407931005149</v>
      </c>
      <c r="AS20" s="118">
        <f>IF(AF20="","",CY19*SQRT(G19)*CS19*((AJ20/1000)*COS(ATAN(BR19/BQ19))+(AK20/1000)*SIN(ATAN(BR19/BQ19))))</f>
        <v>0.87099822922108849</v>
      </c>
      <c r="AT20" s="111">
        <f>IF(AS20="","",AS20*100/K19)</f>
        <v>0.39590828600958566</v>
      </c>
      <c r="AU20" s="112">
        <f>IF(X19="","",CS19*SQRT(BL19^2+BM19^2))</f>
        <v>216.79958316663493</v>
      </c>
      <c r="AV20" s="132">
        <f>IF(AU19="","",AU20*100/K19)</f>
        <v>98.54526507574316</v>
      </c>
      <c r="AW20" s="115" t="s">
        <v>102</v>
      </c>
      <c r="AX20" s="156"/>
      <c r="AY20" s="166">
        <f>IF(X19="","",IF(OR(AJ19="",AK19=""),K19/SQRT((BU19+BE19)^2+(BV19+BF19)^2),K19/SQRT((BU19+(AJ19/1000)+BE19)^2+(BV19+(AK19/1000)+BF19)^2)))</f>
        <v>220.91413743256095</v>
      </c>
      <c r="AZ20" s="159"/>
      <c r="BA20" s="159"/>
      <c r="BB20" s="167"/>
      <c r="BC20" s="158"/>
      <c r="BD20" s="158"/>
      <c r="BE20" s="159"/>
      <c r="BF20" s="159"/>
      <c r="BG20" s="160"/>
      <c r="BH20" s="160" t="b">
        <f t="shared" si="1"/>
        <v>0</v>
      </c>
      <c r="BI20" s="159" t="b">
        <f t="shared" si="2"/>
        <v>0</v>
      </c>
      <c r="BJ20" s="159">
        <f t="shared" si="3"/>
        <v>0.121</v>
      </c>
      <c r="BK20" s="159">
        <f t="shared" si="4"/>
        <v>8.4500000000000006E-2</v>
      </c>
      <c r="BL20" s="159">
        <f>AX20</f>
        <v>0</v>
      </c>
      <c r="BM20" s="160"/>
      <c r="BN20" s="160"/>
      <c r="BO20" s="160"/>
      <c r="BP20" s="168"/>
      <c r="BQ20" s="168"/>
      <c r="BR20" s="156"/>
      <c r="BS20" s="156"/>
      <c r="BT20" s="169"/>
      <c r="BU20" s="169"/>
      <c r="BV20" s="170"/>
      <c r="BW20" s="169"/>
      <c r="BX20" s="169"/>
      <c r="BY20" s="169"/>
      <c r="BZ20" s="169"/>
      <c r="CA20" s="169"/>
      <c r="CB20" s="169"/>
      <c r="CC20" s="169"/>
      <c r="CD20" s="169"/>
      <c r="CE20" s="169"/>
      <c r="CF20" s="169"/>
      <c r="CG20" s="169"/>
      <c r="CH20" s="169"/>
      <c r="CI20" s="169"/>
      <c r="CJ20" s="163"/>
      <c r="CK20" s="163"/>
      <c r="CL20" s="163"/>
      <c r="CM20" s="163"/>
      <c r="CN20" s="163"/>
      <c r="CO20" s="163"/>
      <c r="CP20" s="163"/>
      <c r="CQ20" s="163"/>
      <c r="CR20" s="163">
        <f>K19*SQRT(CL19^2+CM19^2)/(SQRT(CP19^2+CQ19^2)*SQRT(CG19^2+CH19^2))</f>
        <v>534.87041471974533</v>
      </c>
      <c r="CS20" s="163">
        <f>K19*SQRT(CJ19^2+CK19^2)/(SQRT(CN19^2+CO19^2)*SQRT(CE19^2+CF19^2))</f>
        <v>220.91413743256095</v>
      </c>
      <c r="CT20" s="113">
        <f t="shared" si="5"/>
        <v>0</v>
      </c>
      <c r="CU20" s="163"/>
      <c r="CV20" s="156">
        <v>0</v>
      </c>
      <c r="CW20" s="156"/>
      <c r="CX20" s="156"/>
      <c r="CY20" s="156"/>
      <c r="CZ20" s="156"/>
      <c r="DA20" s="156"/>
      <c r="DB20" s="156"/>
    </row>
    <row r="21" spans="2:106" ht="24" customHeight="1" x14ac:dyDescent="0.15">
      <c r="E21" s="303" t="s">
        <v>139</v>
      </c>
      <c r="F21" s="304" t="s">
        <v>145</v>
      </c>
      <c r="G21" s="305">
        <v>3</v>
      </c>
      <c r="H21" s="218" t="str">
        <f>IF(G21="","","φ")</f>
        <v>φ</v>
      </c>
      <c r="I21" s="306" t="s">
        <v>92</v>
      </c>
      <c r="J21" s="218" t="str">
        <f>IF(I21="","","W")</f>
        <v>W</v>
      </c>
      <c r="K21" s="307">
        <v>220</v>
      </c>
      <c r="L21" s="220" t="str">
        <f>IF(K21="","","V")</f>
        <v>V</v>
      </c>
      <c r="M21" s="308">
        <v>60</v>
      </c>
      <c r="N21" s="309" t="s">
        <v>93</v>
      </c>
      <c r="O21" s="310">
        <v>300</v>
      </c>
      <c r="P21" s="311">
        <v>1</v>
      </c>
      <c r="Q21" s="198">
        <f>IF(O21="","",IF(OR(N21="油入自冷",N21="モ－ルド絶縁"),IF(G21=1,SQRT(AY21^2+AZ21^2),IF(G21=3,SQRT(BA21^2+BB21^2))),SQRT(BC21^2+BD21^2)))</f>
        <v>3.5518586683594267</v>
      </c>
      <c r="R21" s="204">
        <f>IF(P21="","",(O21*1000*P21)/(SQRT(G21)*K21))</f>
        <v>787.29582162221698</v>
      </c>
      <c r="S21" s="312"/>
      <c r="T21" s="125">
        <f>IF(AU21="","",K21*SQRT(CL21^2+CM21^2)/SQRT(CP21^2+CQ21^2))</f>
        <v>214.70149421107789</v>
      </c>
      <c r="U21" s="259"/>
      <c r="V21" s="257"/>
      <c r="W21" s="264" t="str">
        <f>IF(OR(U21="",V21=""),"",(U21/V21))</f>
        <v/>
      </c>
      <c r="X21" s="76">
        <v>70.956000000000003</v>
      </c>
      <c r="Y21" s="202">
        <f>IF(X21="","",VLOOKUP(X21,Ｍ,2,FALSE))</f>
        <v>0.92500000000000004</v>
      </c>
      <c r="Z21" s="202">
        <f>IF(X21="","",VLOOKUP(X21,Ｍ,3,FALSE))</f>
        <v>0.89800000000000002</v>
      </c>
      <c r="AA21" s="255">
        <v>0.4</v>
      </c>
      <c r="AB21" s="79" t="s">
        <v>94</v>
      </c>
      <c r="AC21" s="127">
        <f>IF(N(BG21)=0,"",BG21*X21*AB22*1000/(K21*SQRT(G21)))</f>
        <v>558.63362319026032</v>
      </c>
      <c r="AD21" s="251" t="str">
        <f>IF(N(BH21+BI21)=0,"",N(BH21+BI21))</f>
        <v/>
      </c>
      <c r="AE21" s="200"/>
      <c r="AF21" s="97" t="s">
        <v>73</v>
      </c>
      <c r="AG21" s="88">
        <v>200</v>
      </c>
      <c r="AH21" s="89">
        <v>1</v>
      </c>
      <c r="AI21" s="90">
        <v>29</v>
      </c>
      <c r="AJ21" s="128">
        <f t="shared" si="0"/>
        <v>3.0763948709905109</v>
      </c>
      <c r="AK21" s="128">
        <f>IF(AF21="","",IF(AF21="IV",(M21/50)*BJ21*AI21,(M21/50)*BJ21*AI21/AH21))</f>
        <v>4.2107999999999999</v>
      </c>
      <c r="AL21" s="91" t="s">
        <v>104</v>
      </c>
      <c r="AM21" s="92"/>
      <c r="AN21" s="101">
        <f>IF(X21="","",K21/SQRT(CP21^2+CQ21^2))</f>
        <v>533.85927951341296</v>
      </c>
      <c r="AO21" s="103"/>
      <c r="AP21" s="100">
        <v>50</v>
      </c>
      <c r="AQ21" s="119">
        <f>IF(AF21="","",SQRT(G21)*CR22*((AJ21/1000)*COS(ATAN(CH21/CG21))+(AK21/1000)*SIN(ATAN(CH21/CG21))))</f>
        <v>4.7113643682674526</v>
      </c>
      <c r="AR21" s="108">
        <f>IF(AQ21="","",AQ21*100/K21)</f>
        <v>2.1415292583033874</v>
      </c>
      <c r="AS21" s="117">
        <f>IF(AF22="","",SQRT(G21)*CR21*((AJ22/1000)*COS(ATAN(BT21/BS21))+(AK22/1000)*SIN(ATAN(BT21/BS21))))</f>
        <v>3.0123979266312695</v>
      </c>
      <c r="AT21" s="108">
        <f>IF(AS21="","",AS21*100/K21)</f>
        <v>1.3692717848323952</v>
      </c>
      <c r="AU21" s="109">
        <f>IF(X21="","",CR21*SQRT(BN21^2+BO21^2))</f>
        <v>210.24341646716428</v>
      </c>
      <c r="AV21" s="131">
        <f>IF(AU21="","",AU21*100/K21)</f>
        <v>95.565189303256489</v>
      </c>
      <c r="AW21" s="114" t="s">
        <v>140</v>
      </c>
      <c r="AX21" s="156">
        <f>AY22/CW21</f>
        <v>1.2849200728975239</v>
      </c>
      <c r="AY21" s="158" t="b">
        <f>IF(G21="","",IF(AND(G21=1,M21=50,N21="油入自冷"),VLOOKUP(O21,変１,2,FALSE),IF(AND(G21=1,M21=50,N21="モ－ルド絶縁"),VLOOKUP(O21,変１,7,FALSE),IF(AND(G21=1,M21=60,N21="油入自冷"),VLOOKUP(O21,変１,12,FALSE),IF(AND(G21=1,M21=60,N21="モ－ルド絶縁"),VLOOKUP(O21,変１,17,FALSE),FALSE)))))</f>
        <v>0</v>
      </c>
      <c r="AZ21" s="158" t="b">
        <f>IF(G21="","",IF(AND(G21=1,M21=50,N21="油入自冷"),VLOOKUP(O21,変１,3,FALSE),IF(AND(G21=1,M21=50,N21="モ－ルド絶縁"),VLOOKUP(O21,変１,8,FALSE),IF(AND(G21=1,M21=60,N21="油入自冷"),VLOOKUP(O21,変１,13,FALSE),IF(AND(G21=1,M21=60,N21="モ－ルド絶縁"),VLOOKUP(O21,変１,18,FALSE),FALSE)))))</f>
        <v>0</v>
      </c>
      <c r="BA21" s="158">
        <f>IF(G21="","",IF(AND(G21=3,M21=50,N21="油入自冷"),VLOOKUP(O21,変３,2,FALSE),IF(AND(G21=3,M21=50,N21="モ－ルド絶縁"),VLOOKUP(O21,変３,7,FALSE),IF(AND(G21=3,M21=60,N21="油入自冷"),VLOOKUP(O21,変３,12,FALSE),IF(AND(G21=3,M21=60,N21="モ－ルド絶縁"),VLOOKUP(O21,変３,17,FALSE),FALSE)))))</f>
        <v>1.41</v>
      </c>
      <c r="BB21" s="158">
        <f>IF(G21="","",IF(AND(G21=3,M21=50,N21="油入自冷"),VLOOKUP(O21,変３,3,FALSE),IF(AND(G21=3,M21=50,N21="モ－ルド絶縁"),VLOOKUP(O21,変３,8,FALSE),IF(AND(G21=3,M21=60,N21="油入自冷"),VLOOKUP(O21,変３,13,FALSE),IF(AND(G21=3,M21=60,N21="モ－ルド絶縁"),VLOOKUP(O21,変３,18,FALSE),FALSE)))))</f>
        <v>3.26</v>
      </c>
      <c r="BC21" s="158">
        <f>IF(ISNA(VLOOKUP(O21,変ＵＳＥＲ,2,FALSE)),0,VLOOKUP(O21,変ＵＳＥＲ,2,FALSE))</f>
        <v>0</v>
      </c>
      <c r="BD21" s="158">
        <f>IF(ISNA(VLOOKUP(O21,変ＵＳＥＲ,3,FALSE)),0,VLOOKUP(O21,変ＵＳＥＲ,3,FALSE)*M21/50)</f>
        <v>0</v>
      </c>
      <c r="BE21" s="159">
        <f>SQRT(G21)*(K21^2)*(N(AY21)+N(BA21)+N(BC21))/(100000*O21*P21)</f>
        <v>3.9400691770576811E-3</v>
      </c>
      <c r="BF21" s="159">
        <f>SQRT(G21)*(K21^2)*(N(AZ21)+N(BB21)+N(BD21))/(100000*O21*P21)</f>
        <v>9.1096634873815887E-3</v>
      </c>
      <c r="BG21" s="160">
        <f>IF(AB21="直 入",1,IF(AB21="Ｓ-Ｄ",1/3,IF(AB21="ﾘｱｸﾄﾙ50%",0.5,IF(AB21="ﾘｱｸﾄﾙ60%",0.6,IF(AB21="ﾘｱｸﾄﾙ80%",0.8,IF(AB21="ｺﾝﾄﾞﾙﾌｧ50%",0.25,IF(AB21="ｺﾝﾄﾞﾙﾌｧ65%",0.4225,IF(AB21="ｺﾝﾄﾞﾙﾌｧ80%",0.64,FALSE))))))))</f>
        <v>1</v>
      </c>
      <c r="BH21" s="160" t="b">
        <f t="shared" si="1"/>
        <v>0</v>
      </c>
      <c r="BI21" s="159">
        <f t="shared" si="2"/>
        <v>0</v>
      </c>
      <c r="BJ21" s="159">
        <f t="shared" si="3"/>
        <v>0.121</v>
      </c>
      <c r="BK21" s="159">
        <f t="shared" si="4"/>
        <v>8.4500000000000006E-2</v>
      </c>
      <c r="BL21" s="159">
        <f>IF(N(BL22)=0,SQRT(G21)*K21^2*Z21^2*Y21/(1000*X21),BL22*SQRT(G21)*K21^2*Z21^2*Y21/(1000*X21))</f>
        <v>0.66239293422525658</v>
      </c>
      <c r="BM21" s="159">
        <f>BL21*(TAN(ACOS(Z21)))</f>
        <v>0.32455443225677827</v>
      </c>
      <c r="BN21" s="160">
        <f>K21*AA21/AC21</f>
        <v>0.15752721702902014</v>
      </c>
      <c r="BO21" s="160">
        <f>BN21*(TAN(ACOS(AA21)))</f>
        <v>0.36094019802561061</v>
      </c>
      <c r="BP21" s="161">
        <f>IF(AE21=0,2*3.141592654*M21*N(AD21)*SQRT(G21)/1000000,AE21*1000*SQRT(G21)/K21^2)</f>
        <v>0</v>
      </c>
      <c r="BQ21" s="162">
        <f>BL21+(AJ22/1000)</f>
        <v>0.66441311083885546</v>
      </c>
      <c r="BR21" s="163">
        <f>BM21+(AK22/1000)</f>
        <v>0.32722563225677825</v>
      </c>
      <c r="BS21" s="163">
        <f>BN21+(AJ22/1000)</f>
        <v>0.15954739364261908</v>
      </c>
      <c r="BT21" s="163">
        <f>BO21+(AK22/1000)</f>
        <v>0.3636113980256106</v>
      </c>
      <c r="BU21" s="164">
        <f>BQ21/((BP21*BQ21)^2+(BP21*BR21-1)^2)</f>
        <v>0.66441311083885546</v>
      </c>
      <c r="BV21" s="165">
        <f>(BR21-BP21*(BQ21^2+BR21^2))/((BP21*BQ21)^2+(BP21*BR21-1)^2)</f>
        <v>0.32722563225677825</v>
      </c>
      <c r="BW21" s="163">
        <f>BS21/((BP21*BS21)^2+(BP21*BT21-1)^2)</f>
        <v>0.15954739364261908</v>
      </c>
      <c r="BX21" s="163">
        <f>(BT21-BP21*(BS21^2+BT21^2))/((BP21*BS21)^2+(BP21*BT21-1)^2)</f>
        <v>0.3636113980256106</v>
      </c>
      <c r="BY21" s="164">
        <f>IF(U21=0,10^20,K21^2*CU21*V21/(1000*W21))</f>
        <v>1E+20</v>
      </c>
      <c r="BZ21" s="164">
        <f>IF(U21=0,10^20,BY21*TAN(ACOS(V21)))</f>
        <v>1E+20</v>
      </c>
      <c r="CA21" s="163">
        <f>(BU21*(BY21^2+BZ21^2)+BY21*(BU21^2+BV21^2))/((BU21+BY21)^2+(BV21+BZ21)^2)</f>
        <v>0.66441311083885535</v>
      </c>
      <c r="CB21" s="163">
        <f>(BZ21*(BU21^2+BV21^2)+BV21*(BY21^2+BZ21^2))/((BU21+BY21)^2+(BV21+BZ21)^2)</f>
        <v>0.32722563225677825</v>
      </c>
      <c r="CC21" s="163">
        <f>(BW21*(BY21^2+BZ21^2)+BY21*(BW21^2+BX21^2))/((BW21+BY21)^2+(BX21+BZ21)^2)</f>
        <v>0.15954739364261905</v>
      </c>
      <c r="CD21" s="163">
        <f>(BZ21*(BW21^2+BX21^2)+BX21*(BY21^2+BZ21^2))/((BW21+BY21)^2+(BX21+BZ21)^2)</f>
        <v>0.3636113980256106</v>
      </c>
      <c r="CE21" s="163">
        <f>CA21+(N(AJ21)/1000)</f>
        <v>0.66748950570984589</v>
      </c>
      <c r="CF21" s="163">
        <f>CB21+(N(AK21)/1000)</f>
        <v>0.33143643225677827</v>
      </c>
      <c r="CG21" s="163">
        <f>CC21+(N(AJ21)/1000)</f>
        <v>0.16262378851360956</v>
      </c>
      <c r="CH21" s="163">
        <f>CD21+(N(AK21)/1000)</f>
        <v>0.36782219802561061</v>
      </c>
      <c r="CI21" s="163">
        <f>S21*1000/K21^2/SQRT(G21)</f>
        <v>0</v>
      </c>
      <c r="CJ21" s="163">
        <f>CE21/((CI21*CE21)^2+(CI21*CF21-1)^2)</f>
        <v>0.66748950570984589</v>
      </c>
      <c r="CK21" s="163">
        <f>(CF21-CI21*(CE21^2+CF21^2))/((CI21*CE21)^2+(CI21*CF21-1)^2)</f>
        <v>0.33143643225677827</v>
      </c>
      <c r="CL21" s="163">
        <f>CG21/((CI21*CG21)^2+(CI21*CH21-1)^2)</f>
        <v>0.16262378851360956</v>
      </c>
      <c r="CM21" s="163">
        <f>(CH21-CI21*(CG21^2+CH21^2))/((CI21*CG21)^2+(CI21*CH21-1)^2)</f>
        <v>0.36782219802561061</v>
      </c>
      <c r="CN21" s="163">
        <f>CJ21+BE21</f>
        <v>0.67142957488690358</v>
      </c>
      <c r="CO21" s="163">
        <f>CK21+BF21</f>
        <v>0.34054609574415984</v>
      </c>
      <c r="CP21" s="163">
        <f>CL21+BE21</f>
        <v>0.16656385769066726</v>
      </c>
      <c r="CQ21" s="163">
        <f>CM21+BF21</f>
        <v>0.37693186151299218</v>
      </c>
      <c r="CR21" s="163">
        <f>K21*SQRT(CC21^2+CD21^2)*SQRT(CL21^2+CM21^2)/(SQRT(CP21^2+CQ21^2)*SQRT(BS21^2+BT21^2)*SQRT(CG21^2+CH21^2))</f>
        <v>533.85927951341296</v>
      </c>
      <c r="CS21" s="163">
        <f>K21*SQRT(CA21^2+CB21^2)*SQRT(CJ21^2+CK21^2)/(SQRT(CN21^2+CO21^2)*SQRT(BQ21^2+BR21^2)*SQRT(CE21^2+CF21^2))</f>
        <v>292.2212894008195</v>
      </c>
      <c r="CT21" s="113">
        <f t="shared" si="5"/>
        <v>1</v>
      </c>
      <c r="CU21" s="163">
        <f>IF(G21=3,SQRT(3),2)</f>
        <v>1.7320508075688772</v>
      </c>
      <c r="CV21" s="156">
        <v>1</v>
      </c>
      <c r="CW21" s="156">
        <f>X22*1.17*(AU22/K21)/((AU22/K21)^2+0.17)</f>
        <v>227.42370950891441</v>
      </c>
      <c r="CX21" s="164">
        <f>AO22/CW21</f>
        <v>1.2849200728975239</v>
      </c>
      <c r="CY21" s="156">
        <f>IF(AB21="Ｓ-Ｄ",0.57735,1)</f>
        <v>1</v>
      </c>
      <c r="CZ21" s="156"/>
      <c r="DA21" s="156"/>
      <c r="DB21" s="156"/>
    </row>
    <row r="22" spans="2:106" ht="24" customHeight="1" x14ac:dyDescent="0.15">
      <c r="E22" s="313"/>
      <c r="F22" s="314"/>
      <c r="G22" s="315"/>
      <c r="H22" s="219"/>
      <c r="I22" s="316"/>
      <c r="J22" s="219"/>
      <c r="K22" s="317"/>
      <c r="L22" s="221"/>
      <c r="M22" s="318"/>
      <c r="N22" s="319"/>
      <c r="O22" s="320"/>
      <c r="P22" s="321"/>
      <c r="Q22" s="199"/>
      <c r="R22" s="205"/>
      <c r="S22" s="322"/>
      <c r="T22" s="134">
        <f>IF(AU22="","",K21*SQRT(CJ21^2+CK21^2)/SQRT(CN21^2+CO21^2))</f>
        <v>217.77689375875858</v>
      </c>
      <c r="U22" s="260"/>
      <c r="V22" s="258"/>
      <c r="W22" s="265"/>
      <c r="X22" s="126">
        <f>IF(X21=0,"",X21*1000/(Y21*Z21*K21*SQRT(G21)))</f>
        <v>224.17529372188858</v>
      </c>
      <c r="Y22" s="203"/>
      <c r="Z22" s="203"/>
      <c r="AA22" s="256"/>
      <c r="AB22" s="78">
        <v>3</v>
      </c>
      <c r="AC22" s="107">
        <f>IF(AV21="","",CT21*AV21/100)</f>
        <v>0.95565189303256493</v>
      </c>
      <c r="AD22" s="252"/>
      <c r="AE22" s="201"/>
      <c r="AF22" s="93" t="s">
        <v>73</v>
      </c>
      <c r="AG22" s="94">
        <v>150</v>
      </c>
      <c r="AH22" s="95">
        <v>1</v>
      </c>
      <c r="AI22" s="96">
        <v>14</v>
      </c>
      <c r="AJ22" s="129">
        <f t="shared" si="0"/>
        <v>2.0201766135989336</v>
      </c>
      <c r="AK22" s="130">
        <f>IF(AF22="","",IF(AF22="IV",(M21/50)*BJ22*AI22,(M21/50)*BJ22*AI22/AH22))</f>
        <v>2.6711999999999998</v>
      </c>
      <c r="AL22" s="98" t="s">
        <v>103</v>
      </c>
      <c r="AM22" s="99"/>
      <c r="AN22" s="102"/>
      <c r="AO22" s="104">
        <f>IF(X21="","",K21/SQRT(CN21^2+CO21^2))</f>
        <v>292.22128940081961</v>
      </c>
      <c r="AP22" s="66">
        <v>60</v>
      </c>
      <c r="AQ22" s="120">
        <f>IF(AF21="","",SQRT(G21)*CS22*((AJ21/1000)*COS(ATAN(CF21/CE21))+(AK21/1000)*SIN(ATAN(CF21/CE21))))</f>
        <v>2.3424753176609183</v>
      </c>
      <c r="AR22" s="110">
        <f>IF(AQ22="","",AQ22*100/K21)</f>
        <v>1.0647615080276902</v>
      </c>
      <c r="AS22" s="118">
        <f>IF(AF22="","",CY21*SQRT(G21)*CS21*((AJ22/1000)*COS(ATAN(BR21/BQ21))+(AK22/1000)*SIN(ATAN(BR21/BQ21))))</f>
        <v>1.514633503082349</v>
      </c>
      <c r="AT22" s="111">
        <f>IF(AS22="","",AS22*100/K21)</f>
        <v>0.68846977412834054</v>
      </c>
      <c r="AU22" s="112">
        <f>IF(X21="","",CS21*SQRT(BL21^2+BM21^2))</f>
        <v>215.55157831770234</v>
      </c>
      <c r="AV22" s="132">
        <f>IF(AU21="","",AU22*100/K21)</f>
        <v>97.977990144410157</v>
      </c>
      <c r="AW22" s="115" t="s">
        <v>102</v>
      </c>
      <c r="AX22" s="156">
        <v>0.75163054560260434</v>
      </c>
      <c r="AY22" s="166">
        <f>IF(X21="","",IF(OR(AJ21="",AK21=""),K21/SQRT((BU21+BE21)^2+(BV21+BF21)^2),K21/SQRT((BU21+(AJ21/1000)+BE21)^2+(BV21+(AK21/1000)+BF21)^2)))</f>
        <v>292.22128940081961</v>
      </c>
      <c r="AZ22" s="159"/>
      <c r="BA22" s="159"/>
      <c r="BB22" s="167"/>
      <c r="BC22" s="158"/>
      <c r="BD22" s="158"/>
      <c r="BE22" s="159"/>
      <c r="BF22" s="159"/>
      <c r="BG22" s="160"/>
      <c r="BH22" s="160" t="b">
        <f t="shared" si="1"/>
        <v>0</v>
      </c>
      <c r="BI22" s="159" t="b">
        <f t="shared" si="2"/>
        <v>0</v>
      </c>
      <c r="BJ22" s="159">
        <f t="shared" si="3"/>
        <v>0.159</v>
      </c>
      <c r="BK22" s="159">
        <f t="shared" si="4"/>
        <v>8.3900000000000002E-2</v>
      </c>
      <c r="BL22" s="159">
        <f>AX22</f>
        <v>0.75163054560260434</v>
      </c>
      <c r="BM22" s="160"/>
      <c r="BN22" s="160"/>
      <c r="BO22" s="160"/>
      <c r="BP22" s="168"/>
      <c r="BQ22" s="168"/>
      <c r="BR22" s="156"/>
      <c r="BS22" s="156"/>
      <c r="BT22" s="169"/>
      <c r="BU22" s="169"/>
      <c r="BV22" s="170"/>
      <c r="BW22" s="169"/>
      <c r="BX22" s="169"/>
      <c r="BY22" s="169"/>
      <c r="BZ22" s="169"/>
      <c r="CA22" s="169"/>
      <c r="CB22" s="169"/>
      <c r="CC22" s="169"/>
      <c r="CD22" s="169"/>
      <c r="CE22" s="169"/>
      <c r="CF22" s="169"/>
      <c r="CG22" s="169"/>
      <c r="CH22" s="169"/>
      <c r="CI22" s="169"/>
      <c r="CJ22" s="163"/>
      <c r="CK22" s="163"/>
      <c r="CL22" s="163"/>
      <c r="CM22" s="163"/>
      <c r="CN22" s="163"/>
      <c r="CO22" s="163"/>
      <c r="CP22" s="163"/>
      <c r="CQ22" s="163"/>
      <c r="CR22" s="163">
        <f>K21*SQRT(CL21^2+CM21^2)/(SQRT(CP21^2+CQ21^2)*SQRT(CG21^2+CH21^2))</f>
        <v>533.85927951341307</v>
      </c>
      <c r="CS22" s="163">
        <f>K21*SQRT(CJ21^2+CK21^2)/(SQRT(CN21^2+CO21^2)*SQRT(CE21^2+CF21^2))</f>
        <v>292.22128940081956</v>
      </c>
      <c r="CT22" s="113">
        <f t="shared" si="5"/>
        <v>0</v>
      </c>
      <c r="CU22" s="163"/>
      <c r="CV22" s="156">
        <v>0</v>
      </c>
      <c r="CW22" s="156"/>
      <c r="CX22" s="156"/>
      <c r="CY22" s="156"/>
      <c r="CZ22" s="156"/>
      <c r="DA22" s="156"/>
      <c r="DB22" s="156"/>
    </row>
    <row r="23" spans="2:106" ht="24" customHeight="1" x14ac:dyDescent="0.15">
      <c r="E23" s="303"/>
      <c r="F23" s="304"/>
      <c r="G23" s="305"/>
      <c r="H23" s="218" t="str">
        <f>IF(G23="","","φ")</f>
        <v/>
      </c>
      <c r="I23" s="306"/>
      <c r="J23" s="218" t="str">
        <f>IF(I23="","","W")</f>
        <v/>
      </c>
      <c r="K23" s="307"/>
      <c r="L23" s="220" t="str">
        <f>IF(K23="","","V")</f>
        <v/>
      </c>
      <c r="M23" s="308"/>
      <c r="N23" s="309"/>
      <c r="O23" s="310"/>
      <c r="P23" s="311"/>
      <c r="Q23" s="198" t="str">
        <f>IF(O23="","",IF(OR(N23="油入自冷",N23="モ－ルド絶縁"),IF(G23=1,SQRT(AY23^2+AZ23^2),IF(G23=3,SQRT(BA23^2+BB23^2))),SQRT(BC23^2+BD23^2)))</f>
        <v/>
      </c>
      <c r="R23" s="204" t="str">
        <f>IF(P23="","",(O23*1000*P23)/(SQRT(G23)*K23))</f>
        <v/>
      </c>
      <c r="S23" s="312"/>
      <c r="T23" s="125" t="str">
        <f>IF(AU23="","",K23*SQRT(CL23^2+CM23^2)/SQRT(CP23^2+CQ23^2))</f>
        <v/>
      </c>
      <c r="U23" s="253"/>
      <c r="V23" s="257"/>
      <c r="W23" s="264" t="str">
        <f>IF(OR(U23="",V23=""),"",(U23/V23))</f>
        <v/>
      </c>
      <c r="X23" s="76"/>
      <c r="Y23" s="202" t="str">
        <f>IF(X23="","",VLOOKUP(X23,Ｍ,2,FALSE))</f>
        <v/>
      </c>
      <c r="Z23" s="202" t="str">
        <f>IF(X23="","",VLOOKUP(X23,Ｍ,3,FALSE))</f>
        <v/>
      </c>
      <c r="AA23" s="255"/>
      <c r="AB23" s="79"/>
      <c r="AC23" s="127" t="str">
        <f>IF(N(BG23)=0,"",BG23*X23*AB24*1000/(K23*SQRT(G23)))</f>
        <v/>
      </c>
      <c r="AD23" s="251" t="str">
        <f>IF(N(BH23+BI23)=0,"",N(BH23+BI23))</f>
        <v/>
      </c>
      <c r="AE23" s="200"/>
      <c r="AF23" s="97"/>
      <c r="AG23" s="88"/>
      <c r="AH23" s="89"/>
      <c r="AI23" s="90"/>
      <c r="AJ23" s="128" t="str">
        <f t="shared" si="0"/>
        <v/>
      </c>
      <c r="AK23" s="128" t="str">
        <f>IF(AF23="","",IF(AF23="IV",(M23/50)*BJ23*AI23,(M23/50)*BJ23*AI23/AH23))</f>
        <v/>
      </c>
      <c r="AL23" s="91"/>
      <c r="AM23" s="92"/>
      <c r="AN23" s="101" t="str">
        <f>IF(X23="","",K23/SQRT(CP23^2+CQ23^2))</f>
        <v/>
      </c>
      <c r="AO23" s="103"/>
      <c r="AP23" s="100"/>
      <c r="AQ23" s="119" t="str">
        <f>IF(AF23="","",SQRT(G23)*CR24*((AJ23/1000)*COS(ATAN(CH23/CG23))+(AK23/1000)*SIN(ATAN(CH23/CG23))))</f>
        <v/>
      </c>
      <c r="AR23" s="108" t="str">
        <f>IF(AQ23="","",AQ23*100/K23)</f>
        <v/>
      </c>
      <c r="AS23" s="117" t="str">
        <f>IF(AF24="","",SQRT(G23)*CR23*((AJ24/1000)*COS(ATAN(BT23/BS23))+(AK24/1000)*SIN(ATAN(BT23/BS23))))</f>
        <v/>
      </c>
      <c r="AT23" s="108" t="str">
        <f>IF(AS23="","",AS23*100/K23)</f>
        <v/>
      </c>
      <c r="AU23" s="109" t="str">
        <f>IF(X23="","",CR23*SQRT(BN23^2+BO23^2))</f>
        <v/>
      </c>
      <c r="AV23" s="131" t="str">
        <f>IF(AU23="","",AU23*100/K23)</f>
        <v/>
      </c>
      <c r="AW23" s="114"/>
      <c r="AX23" s="156" t="e">
        <f>AY24/CW23</f>
        <v>#VALUE!</v>
      </c>
      <c r="AY23" s="158" t="str">
        <f>IF(G23="","",IF(AND(G23=1,M23=50,N23="油入自冷"),VLOOKUP(O23,変１,2,FALSE),IF(AND(G23=1,M23=50,N23="モ－ルド絶縁"),VLOOKUP(O23,変１,7,FALSE),IF(AND(G23=1,M23=60,N23="油入自冷"),VLOOKUP(O23,変１,12,FALSE),IF(AND(G23=1,M23=60,N23="モ－ルド絶縁"),VLOOKUP(O23,変１,17,FALSE),FALSE)))))</f>
        <v/>
      </c>
      <c r="AZ23" s="158" t="str">
        <f>IF(G23="","",IF(AND(G23=1,M23=50,N23="油入自冷"),VLOOKUP(O23,変１,3,FALSE),IF(AND(G23=1,M23=50,N23="モ－ルド絶縁"),VLOOKUP(O23,変１,8,FALSE),IF(AND(G23=1,M23=60,N23="油入自冷"),VLOOKUP(O23,変１,13,FALSE),IF(AND(G23=1,M23=60,N23="モ－ルド絶縁"),VLOOKUP(O23,変１,18,FALSE),FALSE)))))</f>
        <v/>
      </c>
      <c r="BA23" s="158" t="str">
        <f>IF(G23="","",IF(AND(G23=3,M23=50,N23="油入自冷"),VLOOKUP(O23,変３,2,FALSE),IF(AND(G23=3,M23=50,N23="モ－ルド絶縁"),VLOOKUP(O23,変３,7,FALSE),IF(AND(G23=3,M23=60,N23="油入自冷"),VLOOKUP(O23,変３,12,FALSE),IF(AND(G23=3,M23=60,N23="モ－ルド絶縁"),VLOOKUP(O23,変３,17,FALSE),FALSE)))))</f>
        <v/>
      </c>
      <c r="BB23" s="158" t="str">
        <f>IF(G23="","",IF(AND(G23=3,M23=50,N23="油入自冷"),VLOOKUP(O23,変３,3,FALSE),IF(AND(G23=3,M23=50,N23="モ－ルド絶縁"),VLOOKUP(O23,変３,8,FALSE),IF(AND(G23=3,M23=60,N23="油入自冷"),VLOOKUP(O23,変３,13,FALSE),IF(AND(G23=3,M23=60,N23="モ－ルド絶縁"),VLOOKUP(O23,変３,18,FALSE),FALSE)))))</f>
        <v/>
      </c>
      <c r="BC23" s="158">
        <f>IF(ISNA(VLOOKUP(O23,変ＵＳＥＲ,2,FALSE)),0,VLOOKUP(O23,変ＵＳＥＲ,2,FALSE))</f>
        <v>0</v>
      </c>
      <c r="BD23" s="158">
        <f>IF(ISNA(VLOOKUP(O23,変ＵＳＥＲ,3,FALSE)),0,VLOOKUP(O23,変ＵＳＥＲ,3,FALSE)*M23/50)</f>
        <v>0</v>
      </c>
      <c r="BE23" s="159" t="e">
        <f>SQRT(G23)*(K23^2)*(N(AY23)+N(BA23)+N(BC23))/(100000*O23*P23)</f>
        <v>#DIV/0!</v>
      </c>
      <c r="BF23" s="159" t="e">
        <f>SQRT(G23)*(K23^2)*(N(AZ23)+N(BB23)+N(BD23))/(100000*O23*P23)</f>
        <v>#DIV/0!</v>
      </c>
      <c r="BG23" s="160" t="b">
        <f>IF(AB23="直 入",1,IF(AB23="Ｓ-Ｄ",1/3,IF(AB23="ﾘｱｸﾄﾙ50%",0.5,IF(AB23="ﾘｱｸﾄﾙ60%",0.6,IF(AB23="ﾘｱｸﾄﾙ80%",0.8,IF(AB23="ｺﾝﾄﾞﾙﾌｧ50%",0.25,IF(AB23="ｺﾝﾄﾞﾙﾌｧ65%",0.4225,IF(AB23="ｺﾝﾄﾞﾙﾌｧ80%",0.64,FALSE))))))))</f>
        <v>0</v>
      </c>
      <c r="BH23" s="160" t="b">
        <f t="shared" si="1"/>
        <v>0</v>
      </c>
      <c r="BI23" s="159" t="b">
        <f t="shared" si="2"/>
        <v>0</v>
      </c>
      <c r="BJ23" s="159" t="e">
        <f t="shared" si="3"/>
        <v>#N/A</v>
      </c>
      <c r="BK23" s="159" t="e">
        <f t="shared" si="4"/>
        <v>#N/A</v>
      </c>
      <c r="BL23" s="159" t="e">
        <f>IF(N(BL24)=0,SQRT(G23)*K23^2*Z23^2*Y23/(1000*X23),BL24*SQRT(G23)*K23^2*Z23^2*Y23/(1000*X23))</f>
        <v>#VALUE!</v>
      </c>
      <c r="BM23" s="159" t="e">
        <f>BL23*(TAN(ACOS(Z23)))</f>
        <v>#VALUE!</v>
      </c>
      <c r="BN23" s="160" t="e">
        <f>K23*AA23/AC23</f>
        <v>#VALUE!</v>
      </c>
      <c r="BO23" s="160" t="e">
        <f>BN23*(TAN(ACOS(AA23)))</f>
        <v>#VALUE!</v>
      </c>
      <c r="BP23" s="161">
        <f>IF(AE23=0,2*3.141592654*M23*N(AD23)*SQRT(G23)/1000000,AE23*1000*SQRT(G23)/K23^2)</f>
        <v>0</v>
      </c>
      <c r="BQ23" s="162" t="e">
        <f>BL23+(AJ24/1000)</f>
        <v>#VALUE!</v>
      </c>
      <c r="BR23" s="163" t="e">
        <f>BM23+(AK24/1000)</f>
        <v>#VALUE!</v>
      </c>
      <c r="BS23" s="163" t="e">
        <f>BN23+(AJ24/1000)</f>
        <v>#VALUE!</v>
      </c>
      <c r="BT23" s="163" t="e">
        <f>BO23+(AK24/1000)</f>
        <v>#VALUE!</v>
      </c>
      <c r="BU23" s="164" t="e">
        <f>BQ23/((BP23*BQ23)^2+(BP23*BR23-1)^2)</f>
        <v>#VALUE!</v>
      </c>
      <c r="BV23" s="165" t="e">
        <f>(BR23-BP23*(BQ23^2+BR23^2))/((BP23*BQ23)^2+(BP23*BR23-1)^2)</f>
        <v>#VALUE!</v>
      </c>
      <c r="BW23" s="163" t="e">
        <f>BS23/((BP23*BS23)^2+(BP23*BT23-1)^2)</f>
        <v>#VALUE!</v>
      </c>
      <c r="BX23" s="163" t="e">
        <f>(BT23-BP23*(BS23^2+BT23^2))/((BP23*BS23)^2+(BP23*BT23-1)^2)</f>
        <v>#VALUE!</v>
      </c>
      <c r="BY23" s="164">
        <f>IF(U23=0,10^20,K23^2*CU23*V23/(1000*W23))</f>
        <v>1E+20</v>
      </c>
      <c r="BZ23" s="164">
        <f>IF(U23=0,10^20,BY23*TAN(ACOS(V23)))</f>
        <v>1E+20</v>
      </c>
      <c r="CA23" s="163" t="e">
        <f>(BU23*(BY23^2+BZ23^2)+BY23*(BU23^2+BV23^2))/((BU23+BY23)^2+(BV23+BZ23)^2)</f>
        <v>#VALUE!</v>
      </c>
      <c r="CB23" s="163" t="e">
        <f>(BZ23*(BU23^2+BV23^2)+BV23*(BY23^2+BZ23^2))/((BU23+BY23)^2+(BV23+BZ23)^2)</f>
        <v>#VALUE!</v>
      </c>
      <c r="CC23" s="163" t="e">
        <f>(BW23*(BY23^2+BZ23^2)+BY23*(BW23^2+BX23^2))/((BW23+BY23)^2+(BX23+BZ23)^2)</f>
        <v>#VALUE!</v>
      </c>
      <c r="CD23" s="163" t="e">
        <f>(BZ23*(BW23^2+BX23^2)+BX23*(BY23^2+BZ23^2))/((BW23+BY23)^2+(BX23+BZ23)^2)</f>
        <v>#VALUE!</v>
      </c>
      <c r="CE23" s="163" t="e">
        <f>CA23+(N(AJ23)/1000)</f>
        <v>#VALUE!</v>
      </c>
      <c r="CF23" s="163" t="e">
        <f>CB23+(N(AK23)/1000)</f>
        <v>#VALUE!</v>
      </c>
      <c r="CG23" s="163" t="e">
        <f>CC23+(N(AJ23)/1000)</f>
        <v>#VALUE!</v>
      </c>
      <c r="CH23" s="163" t="e">
        <f>CD23+(N(AK23)/1000)</f>
        <v>#VALUE!</v>
      </c>
      <c r="CI23" s="163" t="e">
        <f>S23*1000/K23^2/SQRT(G23)</f>
        <v>#DIV/0!</v>
      </c>
      <c r="CJ23" s="163" t="e">
        <f>CE23/((CI23*CE23)^2+(CI23*CF23-1)^2)</f>
        <v>#VALUE!</v>
      </c>
      <c r="CK23" s="163" t="e">
        <f>(CF23-CI23*(CE23^2+CF23^2))/((CI23*CE23)^2+(CI23*CF23-1)^2)</f>
        <v>#VALUE!</v>
      </c>
      <c r="CL23" s="163" t="e">
        <f>CG23/((CI23*CG23)^2+(CI23*CH23-1)^2)</f>
        <v>#VALUE!</v>
      </c>
      <c r="CM23" s="163" t="e">
        <f>(CH23-CI23*(CG23^2+CH23^2))/((CI23*CG23)^2+(CI23*CH23-1)^2)</f>
        <v>#VALUE!</v>
      </c>
      <c r="CN23" s="163" t="e">
        <f>CJ23+BE23</f>
        <v>#VALUE!</v>
      </c>
      <c r="CO23" s="163" t="e">
        <f>CK23+BF23</f>
        <v>#VALUE!</v>
      </c>
      <c r="CP23" s="163" t="e">
        <f>CL23+BE23</f>
        <v>#VALUE!</v>
      </c>
      <c r="CQ23" s="163" t="e">
        <f>CM23+BF23</f>
        <v>#VALUE!</v>
      </c>
      <c r="CR23" s="163" t="e">
        <f>K23*SQRT(CC23^2+CD23^2)*SQRT(CL23^2+CM23^2)/(SQRT(CP23^2+CQ23^2)*SQRT(BS23^2+BT23^2)*SQRT(CG23^2+CH23^2))</f>
        <v>#VALUE!</v>
      </c>
      <c r="CS23" s="163" t="e">
        <f>K23*SQRT(CA23^2+CB23^2)*SQRT(CJ23^2+CK23^2)/(SQRT(CN23^2+CO23^2)*SQRT(BQ23^2+BR23^2)*SQRT(CE23^2+CF23^2))</f>
        <v>#VALUE!</v>
      </c>
      <c r="CT23" s="113">
        <f t="shared" si="5"/>
        <v>1</v>
      </c>
      <c r="CU23" s="163">
        <f>IF(G23=3,SQRT(3),2)</f>
        <v>2</v>
      </c>
      <c r="CV23" s="156">
        <v>1</v>
      </c>
      <c r="CW23" s="156" t="e">
        <f>X24*1.17*(AU24/K23)/((AU24/K23)^2+0.17)</f>
        <v>#VALUE!</v>
      </c>
      <c r="CX23" s="164" t="e">
        <f>AO24/CW23</f>
        <v>#VALUE!</v>
      </c>
      <c r="CY23" s="156">
        <f>IF(AB23="Ｓ-Ｄ",0.57735,1)</f>
        <v>1</v>
      </c>
      <c r="CZ23" s="156"/>
      <c r="DA23" s="156"/>
      <c r="DB23" s="156"/>
    </row>
    <row r="24" spans="2:106" ht="24" customHeight="1" x14ac:dyDescent="0.15">
      <c r="E24" s="313"/>
      <c r="F24" s="314"/>
      <c r="G24" s="315"/>
      <c r="H24" s="219"/>
      <c r="I24" s="316"/>
      <c r="J24" s="219"/>
      <c r="K24" s="317"/>
      <c r="L24" s="221"/>
      <c r="M24" s="318"/>
      <c r="N24" s="319"/>
      <c r="O24" s="320"/>
      <c r="P24" s="321"/>
      <c r="Q24" s="199"/>
      <c r="R24" s="205"/>
      <c r="S24" s="322"/>
      <c r="T24" s="134" t="str">
        <f>IF(AU24="","",K23*SQRT(CJ23^2+CK23^2)/SQRT(CN23^2+CO23^2))</f>
        <v/>
      </c>
      <c r="U24" s="254"/>
      <c r="V24" s="258"/>
      <c r="W24" s="265"/>
      <c r="X24" s="126" t="str">
        <f>IF(X23=0,"",X23*1000/(Y23*Z23*K23*SQRT(G23)))</f>
        <v/>
      </c>
      <c r="Y24" s="203"/>
      <c r="Z24" s="203"/>
      <c r="AA24" s="256"/>
      <c r="AB24" s="78"/>
      <c r="AC24" s="107" t="str">
        <f>IF(AV23="","",CT23*AV23/100)</f>
        <v/>
      </c>
      <c r="AD24" s="252"/>
      <c r="AE24" s="201"/>
      <c r="AF24" s="93"/>
      <c r="AG24" s="94"/>
      <c r="AH24" s="95"/>
      <c r="AI24" s="96"/>
      <c r="AJ24" s="129" t="str">
        <f t="shared" si="0"/>
        <v/>
      </c>
      <c r="AK24" s="130" t="str">
        <f>IF(AF24="","",IF(AF24="IV",(M23/50)*BJ24*AI24,(M23/50)*BJ24*AI24/AH24))</f>
        <v/>
      </c>
      <c r="AL24" s="98"/>
      <c r="AM24" s="99"/>
      <c r="AN24" s="102"/>
      <c r="AO24" s="104" t="str">
        <f>IF(X23="","",K23/SQRT(CN23^2+CO23^2))</f>
        <v/>
      </c>
      <c r="AP24" s="66"/>
      <c r="AQ24" s="120" t="str">
        <f>IF(AF23="","",SQRT(G23)*CS24*((AJ23/1000)*COS(ATAN(CF23/CE23))+(AK23/1000)*SIN(ATAN(CF23/CE23))))</f>
        <v/>
      </c>
      <c r="AR24" s="110" t="str">
        <f>IF(AQ24="","",AQ24*100/K23)</f>
        <v/>
      </c>
      <c r="AS24" s="118" t="str">
        <f>IF(AF24="","",CY23*SQRT(G23)*CS23*((AJ24/1000)*COS(ATAN(BR23/BQ23))+(AK24/1000)*SIN(ATAN(BR23/BQ23))))</f>
        <v/>
      </c>
      <c r="AT24" s="111" t="str">
        <f>IF(AS24="","",AS24*100/K23)</f>
        <v/>
      </c>
      <c r="AU24" s="112" t="str">
        <f>IF(X23="","",CS23*SQRT(BL23^2+BM23^2))</f>
        <v/>
      </c>
      <c r="AV24" s="132" t="str">
        <f>IF(AU23="","",AU24*100/K23)</f>
        <v/>
      </c>
      <c r="AW24" s="115"/>
      <c r="AX24" s="156">
        <v>0.73687113734312226</v>
      </c>
      <c r="AY24" s="166" t="str">
        <f>IF(X23="","",IF(OR(AJ23="",AK23=""),K23/SQRT((BU23+BE23)^2+(BV23+BF23)^2),K23/SQRT((BU23+(AJ23/1000)+BE23)^2+(BV23+(AK23/1000)+BF23)^2)))</f>
        <v/>
      </c>
      <c r="AZ24" s="159"/>
      <c r="BA24" s="159"/>
      <c r="BB24" s="167"/>
      <c r="BC24" s="158"/>
      <c r="BD24" s="158"/>
      <c r="BE24" s="159"/>
      <c r="BF24" s="159"/>
      <c r="BG24" s="160"/>
      <c r="BH24" s="160" t="b">
        <f t="shared" si="1"/>
        <v>0</v>
      </c>
      <c r="BI24" s="159" t="b">
        <f t="shared" si="2"/>
        <v>0</v>
      </c>
      <c r="BJ24" s="159" t="e">
        <f t="shared" si="3"/>
        <v>#N/A</v>
      </c>
      <c r="BK24" s="159" t="e">
        <f t="shared" si="4"/>
        <v>#N/A</v>
      </c>
      <c r="BL24" s="159">
        <f>AX24</f>
        <v>0.73687113734312226</v>
      </c>
      <c r="BM24" s="160"/>
      <c r="BN24" s="160"/>
      <c r="BO24" s="160"/>
      <c r="BP24" s="168"/>
      <c r="BQ24" s="168"/>
      <c r="BR24" s="156"/>
      <c r="BS24" s="156"/>
      <c r="BT24" s="169"/>
      <c r="BU24" s="169"/>
      <c r="BV24" s="170"/>
      <c r="BW24" s="169"/>
      <c r="BX24" s="169"/>
      <c r="BY24" s="169"/>
      <c r="BZ24" s="169"/>
      <c r="CA24" s="169"/>
      <c r="CB24" s="169"/>
      <c r="CC24" s="169"/>
      <c r="CD24" s="169"/>
      <c r="CE24" s="169"/>
      <c r="CF24" s="169"/>
      <c r="CG24" s="169"/>
      <c r="CH24" s="169"/>
      <c r="CI24" s="169"/>
      <c r="CJ24" s="163"/>
      <c r="CK24" s="163"/>
      <c r="CL24" s="163"/>
      <c r="CM24" s="163"/>
      <c r="CN24" s="163"/>
      <c r="CO24" s="163"/>
      <c r="CP24" s="163"/>
      <c r="CQ24" s="163"/>
      <c r="CR24" s="163" t="e">
        <f>K23*SQRT(CL23^2+CM23^2)/(SQRT(CP23^2+CQ23^2)*SQRT(CG23^2+CH23^2))</f>
        <v>#VALUE!</v>
      </c>
      <c r="CS24" s="163" t="e">
        <f>K23*SQRT(CJ23^2+CK23^2)/(SQRT(CN23^2+CO23^2)*SQRT(CE23^2+CF23^2))</f>
        <v>#VALUE!</v>
      </c>
      <c r="CT24" s="113">
        <f t="shared" si="5"/>
        <v>0</v>
      </c>
      <c r="CU24" s="163"/>
      <c r="CV24" s="156">
        <v>0</v>
      </c>
      <c r="CW24" s="156"/>
      <c r="CX24" s="156"/>
      <c r="CY24" s="156"/>
      <c r="CZ24" s="156"/>
      <c r="DA24" s="156"/>
      <c r="DB24" s="156"/>
    </row>
    <row r="25" spans="2:106" ht="24" customHeight="1" x14ac:dyDescent="0.15">
      <c r="E25" s="303" t="s">
        <v>141</v>
      </c>
      <c r="F25" s="304" t="s">
        <v>143</v>
      </c>
      <c r="G25" s="305">
        <v>3</v>
      </c>
      <c r="H25" s="218" t="str">
        <f>IF(G25="","","φ")</f>
        <v>φ</v>
      </c>
      <c r="I25" s="306" t="s">
        <v>92</v>
      </c>
      <c r="J25" s="218" t="str">
        <f>IF(I25="","","W")</f>
        <v>W</v>
      </c>
      <c r="K25" s="307">
        <v>210</v>
      </c>
      <c r="L25" s="220" t="str">
        <f>IF(K25="","","V")</f>
        <v>V</v>
      </c>
      <c r="M25" s="308">
        <v>60</v>
      </c>
      <c r="N25" s="309" t="s">
        <v>93</v>
      </c>
      <c r="O25" s="310">
        <v>300</v>
      </c>
      <c r="P25" s="311">
        <v>1</v>
      </c>
      <c r="Q25" s="198">
        <f>IF(O25="","",IF(OR(N25="油入自冷",N25="モ－ルド絶縁"),IF(G25=1,SQRT(AY25^2+AZ25^2),IF(G25=3,SQRT(BA25^2+BB25^2))),SQRT(BC25^2+BD25^2)))</f>
        <v>3.5518586683594267</v>
      </c>
      <c r="R25" s="204">
        <f>IF(P25="","",(O25*1000*P25)/(SQRT(G25)*K25))</f>
        <v>824.78609884232264</v>
      </c>
      <c r="S25" s="312"/>
      <c r="T25" s="125">
        <f>IF(AU25="","",K25*SQRT(CL25^2+CM25^2)/SQRT(CP25^2+CQ25^2))</f>
        <v>203.40675844275333</v>
      </c>
      <c r="U25" s="253">
        <v>76.7</v>
      </c>
      <c r="V25" s="257">
        <v>0.89800000000000002</v>
      </c>
      <c r="W25" s="264">
        <f>IF(OR(U25="",V25=""),"",(U25/V25))</f>
        <v>85.412026726057903</v>
      </c>
      <c r="X25" s="76">
        <v>70.956000000000003</v>
      </c>
      <c r="Y25" s="202">
        <f>IF(X25="","",VLOOKUP(X25,Ｍ,2,FALSE))</f>
        <v>0.92500000000000004</v>
      </c>
      <c r="Z25" s="202">
        <f>IF(X25="","",VLOOKUP(X25,Ｍ,3,FALSE))</f>
        <v>0.89800000000000002</v>
      </c>
      <c r="AA25" s="255">
        <v>0.4</v>
      </c>
      <c r="AB25" s="79" t="s">
        <v>94</v>
      </c>
      <c r="AC25" s="127">
        <f>IF(N(BG25)=0,"",BG25*X25*AB26*1000/(K25*SQRT(G25)))</f>
        <v>585.23522429455841</v>
      </c>
      <c r="AD25" s="251" t="str">
        <f>IF(N(BH25+BI25)=0,"",N(BH25+BI25))</f>
        <v/>
      </c>
      <c r="AE25" s="200"/>
      <c r="AF25" s="97" t="s">
        <v>73</v>
      </c>
      <c r="AG25" s="88">
        <v>200</v>
      </c>
      <c r="AH25" s="89">
        <v>2</v>
      </c>
      <c r="AI25" s="90">
        <v>29</v>
      </c>
      <c r="AJ25" s="128">
        <f t="shared" si="0"/>
        <v>1.5381974354952554</v>
      </c>
      <c r="AK25" s="128">
        <f>IF(AF25="","",IF(AF25="IV",(M25/50)*BJ25*AI25,(M25/50)*BJ25*AI25/AH25))</f>
        <v>2.1053999999999999</v>
      </c>
      <c r="AL25" s="91" t="s">
        <v>104</v>
      </c>
      <c r="AM25" s="92"/>
      <c r="AN25" s="101">
        <f>IF(X25="","",K25/SQRT(CP25^2+CQ25^2))</f>
        <v>743.7228337038805</v>
      </c>
      <c r="AO25" s="103"/>
      <c r="AP25" s="100">
        <v>50</v>
      </c>
      <c r="AQ25" s="119">
        <f>IF(AF25="","",SQRT(G25)*CR26*((AJ25/1000)*COS(ATAN(CH25/CG25))+(AK25/1000)*SIN(ATAN(CH25/CG25))))</f>
        <v>3.3581042902380633</v>
      </c>
      <c r="AR25" s="108">
        <f>IF(AQ25="","",AQ25*100/K25)</f>
        <v>1.5990972810657442</v>
      </c>
      <c r="AS25" s="117">
        <f>IF(AF26="","",SQRT(G25)*CR25*((AJ26/1000)*COS(ATAN(BT25/BS25))+(AK26/1000)*SIN(ATAN(BT25/BS25))))</f>
        <v>2.564074185599305</v>
      </c>
      <c r="AT25" s="108">
        <f>IF(AS25="","",AS25*100/K25)</f>
        <v>1.2209877074282405</v>
      </c>
      <c r="AU25" s="109">
        <f>IF(X25="","",CR25*SQRT(BN25^2+BO25^2))</f>
        <v>199.98790301344127</v>
      </c>
      <c r="AV25" s="131">
        <f>IF(AU25="","",AU25*100/K25)</f>
        <v>95.232334768305378</v>
      </c>
      <c r="AW25" s="114" t="s">
        <v>140</v>
      </c>
      <c r="AX25" s="156">
        <f>AY26/CW25</f>
        <v>0.9711752891507448</v>
      </c>
      <c r="AY25" s="158" t="b">
        <f>IF(G25="","",IF(AND(G25=1,M25=50,N25="油入自冷"),VLOOKUP(O25,変１,2,FALSE),IF(AND(G25=1,M25=50,N25="モ－ルド絶縁"),VLOOKUP(O25,変１,7,FALSE),IF(AND(G25=1,M25=60,N25="油入自冷"),VLOOKUP(O25,変１,12,FALSE),IF(AND(G25=1,M25=60,N25="モ－ルド絶縁"),VLOOKUP(O25,変１,17,FALSE),FALSE)))))</f>
        <v>0</v>
      </c>
      <c r="AZ25" s="158" t="b">
        <f>IF(G25="","",IF(AND(G25=1,M25=50,N25="油入自冷"),VLOOKUP(O25,変１,3,FALSE),IF(AND(G25=1,M25=50,N25="モ－ルド絶縁"),VLOOKUP(O25,変１,8,FALSE),IF(AND(G25=1,M25=60,N25="油入自冷"),VLOOKUP(O25,変１,13,FALSE),IF(AND(G25=1,M25=60,N25="モ－ルド絶縁"),VLOOKUP(O25,変１,18,FALSE),FALSE)))))</f>
        <v>0</v>
      </c>
      <c r="BA25" s="158">
        <f>IF(G25="","",IF(AND(G25=3,M25=50,N25="油入自冷"),VLOOKUP(O25,変３,2,FALSE),IF(AND(G25=3,M25=50,N25="モ－ルド絶縁"),VLOOKUP(O25,変３,7,FALSE),IF(AND(G25=3,M25=60,N25="油入自冷"),VLOOKUP(O25,変３,12,FALSE),IF(AND(G25=3,M25=60,N25="モ－ルド絶縁"),VLOOKUP(O25,変３,17,FALSE),FALSE)))))</f>
        <v>1.41</v>
      </c>
      <c r="BB25" s="158">
        <f>IF(G25="","",IF(AND(G25=3,M25=50,N25="油入自冷"),VLOOKUP(O25,変３,3,FALSE),IF(AND(G25=3,M25=50,N25="モ－ルド絶縁"),VLOOKUP(O25,変３,8,FALSE),IF(AND(G25=3,M25=60,N25="油入自冷"),VLOOKUP(O25,変３,13,FALSE),IF(AND(G25=3,M25=60,N25="モ－ルド絶縁"),VLOOKUP(O25,変３,18,FALSE),FALSE)))))</f>
        <v>3.26</v>
      </c>
      <c r="BC25" s="158">
        <f>IF(ISNA(VLOOKUP(O25,変ＵＳＥＲ,2,FALSE)),0,VLOOKUP(O25,変ＵＳＥＲ,2,FALSE))</f>
        <v>0</v>
      </c>
      <c r="BD25" s="158">
        <f>IF(ISNA(VLOOKUP(O25,変ＵＳＥＲ,3,FALSE)),0,VLOOKUP(O25,変ＵＳＥＲ,3,FALSE)*M25/50)</f>
        <v>0</v>
      </c>
      <c r="BE25" s="159">
        <f>SQRT(G25)*(K25^2)*(N(AY25)+N(BA25)+N(BC25))/(100000*O25*P25)</f>
        <v>3.5900217088480116E-3</v>
      </c>
      <c r="BF25" s="159">
        <f>SQRT(G25)*(K25^2)*(N(AZ25)+N(BB25)+N(BD25))/(100000*O25*P25)</f>
        <v>8.3003338800315737E-3</v>
      </c>
      <c r="BG25" s="160">
        <f>IF(AB25="直 入",1,IF(AB25="Ｓ-Ｄ",1/3,IF(AB25="ﾘｱｸﾄﾙ50%",0.5,IF(AB25="ﾘｱｸﾄﾙ60%",0.6,IF(AB25="ﾘｱｸﾄﾙ80%",0.8,IF(AB25="ｺﾝﾄﾞﾙﾌｧ50%",0.25,IF(AB25="ｺﾝﾄﾞﾙﾌｧ65%",0.4225,IF(AB25="ｺﾝﾄﾞﾙﾌｧ80%",0.64,FALSE))))))))</f>
        <v>1</v>
      </c>
      <c r="BH25" s="160" t="b">
        <f t="shared" si="1"/>
        <v>0</v>
      </c>
      <c r="BI25" s="159">
        <f t="shared" si="2"/>
        <v>0</v>
      </c>
      <c r="BJ25" s="159">
        <f t="shared" si="3"/>
        <v>0.121</v>
      </c>
      <c r="BK25" s="159">
        <f t="shared" si="4"/>
        <v>8.4500000000000006E-2</v>
      </c>
      <c r="BL25" s="159">
        <f>IF(N(BL26)=0,SQRT(G25)*K25^2*Z25^2*Y25/(1000*X25),BL26*SQRT(G25)*K25^2*Z25^2*Y25/(1000*X25))</f>
        <v>0.80297957383965612</v>
      </c>
      <c r="BM25" s="159">
        <f>BL25*(TAN(ACOS(Z25)))</f>
        <v>0.39343804294369911</v>
      </c>
      <c r="BN25" s="160">
        <f>K25*AA25/AC25</f>
        <v>0.14353203039214441</v>
      </c>
      <c r="BO25" s="160">
        <f>BN25*(TAN(ACOS(AA25)))</f>
        <v>0.32887319696135187</v>
      </c>
      <c r="BP25" s="161">
        <f>IF(AE25=0,2*3.141592654*M25*N(AD25)*SQRT(G25)/1000000,AE25*1000*SQRT(G25)/K25^2)</f>
        <v>0</v>
      </c>
      <c r="BQ25" s="162">
        <f>BL25+(AJ26/1000)</f>
        <v>0.80462675288443697</v>
      </c>
      <c r="BR25" s="163">
        <f>BM25+(AK26/1000)</f>
        <v>0.39561604294369912</v>
      </c>
      <c r="BS25" s="163">
        <f>BN25+(AJ26/1000)</f>
        <v>0.14517920943692519</v>
      </c>
      <c r="BT25" s="163">
        <f>BO25+(AK26/1000)</f>
        <v>0.33105119696135188</v>
      </c>
      <c r="BU25" s="164">
        <f>BQ25/((BP25*BQ25)^2+(BP25*BR25-1)^2)</f>
        <v>0.80462675288443697</v>
      </c>
      <c r="BV25" s="165">
        <f>(BR25-BP25*(BQ25^2+BR25^2))/((BP25*BQ25)^2+(BP25*BR25-1)^2)</f>
        <v>0.39561604294369912</v>
      </c>
      <c r="BW25" s="163">
        <f>BS25/((BP25*BS25)^2+(BP25*BT25-1)^2)</f>
        <v>0.14517920943692519</v>
      </c>
      <c r="BX25" s="163">
        <f>(BT25-BP25*(BS25^2+BT25^2))/((BP25*BS25)^2+(BP25*BT25-1)^2)</f>
        <v>0.33105119696135188</v>
      </c>
      <c r="BY25" s="164">
        <f>IF(U25=0,10^20,K25^2*CU25*V25/(1000*W25))</f>
        <v>0.80307577633273397</v>
      </c>
      <c r="BZ25" s="164">
        <f>IF(U25=0,10^20,BY25*TAN(ACOS(V25)))</f>
        <v>0.3934851795357569</v>
      </c>
      <c r="CA25" s="163">
        <f>(BU25*(BY25^2+BZ25^2)+BY25*(BU25^2+BV25^2))/((BU25+BY25)^2+(BV25+BZ25)^2)</f>
        <v>0.40192549330449029</v>
      </c>
      <c r="CB25" s="163">
        <f>(BZ25*(BU25^2+BV25^2)+BV25*(BY25^2+BZ25^2))/((BU25+BY25)^2+(BV25+BZ25)^2)</f>
        <v>0.19727434600535307</v>
      </c>
      <c r="CC25" s="163">
        <f>(BW25*(BY25^2+BZ25^2)+BY25*(BW25^2+BX25^2))/((BW25+BY25)^2+(BX25+BZ25)^2)</f>
        <v>0.15521512854736183</v>
      </c>
      <c r="CD25" s="163">
        <f>(BZ25*(BW25^2+BX25^2)+BX25*(BY25^2+BZ25^2))/((BW25+BY25)^2+(BX25+BZ25)^2)</f>
        <v>0.22201418462319236</v>
      </c>
      <c r="CE25" s="163">
        <f>CA25+(N(AJ25)/1000)</f>
        <v>0.40346369073998556</v>
      </c>
      <c r="CF25" s="163">
        <f>CB25+(N(AK25)/1000)</f>
        <v>0.19937974600535308</v>
      </c>
      <c r="CG25" s="163">
        <f>CC25+(N(AJ25)/1000)</f>
        <v>0.15675332598285707</v>
      </c>
      <c r="CH25" s="163">
        <f>CD25+(N(AK25)/1000)</f>
        <v>0.22411958462319237</v>
      </c>
      <c r="CI25" s="163">
        <f>S25*1000/K25^2/SQRT(G25)</f>
        <v>0</v>
      </c>
      <c r="CJ25" s="163">
        <f>CE25/((CI25*CE25)^2+(CI25*CF25-1)^2)</f>
        <v>0.40346369073998556</v>
      </c>
      <c r="CK25" s="163">
        <f>(CF25-CI25*(CE25^2+CF25^2))/((CI25*CE25)^2+(CI25*CF25-1)^2)</f>
        <v>0.19937974600535308</v>
      </c>
      <c r="CL25" s="163">
        <f>CG25/((CI25*CG25)^2+(CI25*CH25-1)^2)</f>
        <v>0.15675332598285707</v>
      </c>
      <c r="CM25" s="163">
        <f>(CH25-CI25*(CG25^2+CH25^2))/((CI25*CG25)^2+(CI25*CH25-1)^2)</f>
        <v>0.22411958462319237</v>
      </c>
      <c r="CN25" s="163">
        <f>CJ25+BE25</f>
        <v>0.40705371244883359</v>
      </c>
      <c r="CO25" s="163">
        <f>CK25+BF25</f>
        <v>0.20768007988538464</v>
      </c>
      <c r="CP25" s="163">
        <f>CL25+BE25</f>
        <v>0.16034334769170508</v>
      </c>
      <c r="CQ25" s="163">
        <f>CM25+BF25</f>
        <v>0.23241991850322394</v>
      </c>
      <c r="CR25" s="163">
        <f>K25*SQRT(CC25^2+CD25^2)*SQRT(CL25^2+CM25^2)/(SQRT(CP25^2+CQ25^2)*SQRT(BS25^2+BT25^2)*SQRT(CG25^2+CH25^2))</f>
        <v>557.33316798223677</v>
      </c>
      <c r="CS25" s="163">
        <f>K25*SQRT(CA25^2+CB25^2)*SQRT(CJ25^2+CK25^2)/(SQRT(CN25^2+CO25^2)*SQRT(BQ25^2+BR25^2)*SQRT(CE25^2+CF25^2))</f>
        <v>229.47415963232896</v>
      </c>
      <c r="CT25" s="113">
        <f t="shared" si="5"/>
        <v>1</v>
      </c>
      <c r="CU25" s="163">
        <f>IF(G25=3,SQRT(3),2)</f>
        <v>1.7320508075688772</v>
      </c>
      <c r="CV25" s="156">
        <v>1</v>
      </c>
      <c r="CW25" s="156">
        <f>X26*1.17*(AU26/K25)/((AU26/K25)^2+0.17)</f>
        <v>238.70820512238018</v>
      </c>
      <c r="CX25" s="164">
        <f>AO26/CW25</f>
        <v>1.925138645654058</v>
      </c>
      <c r="CY25" s="156">
        <f>IF(AB25="Ｓ-Ｄ",0.57735,1)</f>
        <v>1</v>
      </c>
      <c r="CZ25" s="156"/>
      <c r="DA25" s="156"/>
      <c r="DB25" s="156"/>
    </row>
    <row r="26" spans="2:106" ht="24" customHeight="1" x14ac:dyDescent="0.15">
      <c r="E26" s="313"/>
      <c r="F26" s="314"/>
      <c r="G26" s="315"/>
      <c r="H26" s="219"/>
      <c r="I26" s="316"/>
      <c r="J26" s="219"/>
      <c r="K26" s="317"/>
      <c r="L26" s="221"/>
      <c r="M26" s="318"/>
      <c r="N26" s="319"/>
      <c r="O26" s="320"/>
      <c r="P26" s="321"/>
      <c r="Q26" s="199"/>
      <c r="R26" s="205"/>
      <c r="S26" s="322"/>
      <c r="T26" s="134">
        <f>IF(AU26="","",K25*SQRT(CJ25^2+CK25^2)/SQRT(CN25^2+CO25^2))</f>
        <v>206.81386518952931</v>
      </c>
      <c r="U26" s="254"/>
      <c r="V26" s="258"/>
      <c r="W26" s="265"/>
      <c r="X26" s="126">
        <f>IF(X25=0,"",X25*1000/(Y25*Z25*K25*SQRT(G25)))</f>
        <v>234.85030770864515</v>
      </c>
      <c r="Y26" s="203"/>
      <c r="Z26" s="203"/>
      <c r="AA26" s="256"/>
      <c r="AB26" s="78">
        <v>3</v>
      </c>
      <c r="AC26" s="107">
        <f>IF(AV25="","",CT25*AV25/100)</f>
        <v>0.95232334768305382</v>
      </c>
      <c r="AD26" s="252"/>
      <c r="AE26" s="201"/>
      <c r="AF26" s="93" t="s">
        <v>73</v>
      </c>
      <c r="AG26" s="94">
        <v>200</v>
      </c>
      <c r="AH26" s="95">
        <v>1</v>
      </c>
      <c r="AI26" s="96">
        <v>15</v>
      </c>
      <c r="AJ26" s="129">
        <f t="shared" si="0"/>
        <v>1.6471790447808017</v>
      </c>
      <c r="AK26" s="130">
        <f>IF(AF26="","",IF(AF26="IV",(M25/50)*BJ26*AI26,(M25/50)*BJ26*AI26/AH26))</f>
        <v>2.1779999999999999</v>
      </c>
      <c r="AL26" s="98" t="s">
        <v>103</v>
      </c>
      <c r="AM26" s="99"/>
      <c r="AN26" s="102"/>
      <c r="AO26" s="104">
        <f>IF(X25="","",K25/SQRT(CN25^2+CO25^2))</f>
        <v>459.54639071581005</v>
      </c>
      <c r="AP26" s="66">
        <v>60</v>
      </c>
      <c r="AQ26" s="120">
        <f>IF(AF25="","",SQRT(G25)*CS26*((AJ25/1000)*COS(ATAN(CF25/CE25))+(AK25/1000)*SIN(ATAN(CF25/CE25))))</f>
        <v>1.8400603992422346</v>
      </c>
      <c r="AR26" s="110">
        <f>IF(AQ26="","",AQ26*100/K25)</f>
        <v>0.87621923773439747</v>
      </c>
      <c r="AS26" s="118">
        <f>IF(AF26="","",CY25*SQRT(G25)*CS25*((AJ26/1000)*COS(ATAN(BR25/BQ25))+(AK26/1000)*SIN(ATAN(BR25/BQ25))))</f>
        <v>0.96947268952839272</v>
      </c>
      <c r="AT26" s="111">
        <f>IF(AS26="","",AS26*100/K25)</f>
        <v>0.46165366168018696</v>
      </c>
      <c r="AU26" s="112">
        <f>IF(X25="","",CS25*SQRT(BL25^2+BM25^2))</f>
        <v>205.19272038839722</v>
      </c>
      <c r="AV26" s="132">
        <f>IF(AU25="","",AU26*100/K25)</f>
        <v>97.710819232570103</v>
      </c>
      <c r="AW26" s="115" t="s">
        <v>102</v>
      </c>
      <c r="AX26" s="156"/>
      <c r="AY26" s="166">
        <f>IF(X25="","",IF(OR(AJ25="",AK25=""),K25/SQRT((BU25+BE25)^2+(BV25+BF25)^2),K25/SQRT((BU25+(AJ25/1000)+BE25)^2+(BV25+(AK25/1000)+BF25)^2)))</f>
        <v>231.82751013238288</v>
      </c>
      <c r="AZ26" s="159"/>
      <c r="BA26" s="159"/>
      <c r="BB26" s="167"/>
      <c r="BC26" s="158"/>
      <c r="BD26" s="158"/>
      <c r="BE26" s="159"/>
      <c r="BF26" s="159"/>
      <c r="BG26" s="160"/>
      <c r="BH26" s="160" t="b">
        <f t="shared" si="1"/>
        <v>0</v>
      </c>
      <c r="BI26" s="159" t="b">
        <f t="shared" si="2"/>
        <v>0</v>
      </c>
      <c r="BJ26" s="159">
        <f t="shared" si="3"/>
        <v>0.121</v>
      </c>
      <c r="BK26" s="159">
        <f t="shared" si="4"/>
        <v>8.4500000000000006E-2</v>
      </c>
      <c r="BL26" s="159">
        <f>AX26</f>
        <v>0</v>
      </c>
      <c r="BM26" s="160"/>
      <c r="BN26" s="160"/>
      <c r="BO26" s="160"/>
      <c r="BP26" s="168"/>
      <c r="BQ26" s="168"/>
      <c r="BR26" s="156"/>
      <c r="BS26" s="156"/>
      <c r="BT26" s="169"/>
      <c r="BU26" s="169"/>
      <c r="BV26" s="170"/>
      <c r="BW26" s="169"/>
      <c r="BX26" s="169"/>
      <c r="BY26" s="169"/>
      <c r="BZ26" s="169"/>
      <c r="CA26" s="169"/>
      <c r="CB26" s="169"/>
      <c r="CC26" s="169"/>
      <c r="CD26" s="169"/>
      <c r="CE26" s="169"/>
      <c r="CF26" s="169"/>
      <c r="CG26" s="169"/>
      <c r="CH26" s="169"/>
      <c r="CI26" s="169"/>
      <c r="CJ26" s="163"/>
      <c r="CK26" s="163"/>
      <c r="CL26" s="163"/>
      <c r="CM26" s="163"/>
      <c r="CN26" s="163"/>
      <c r="CO26" s="163"/>
      <c r="CP26" s="163"/>
      <c r="CQ26" s="163"/>
      <c r="CR26" s="163">
        <f>K25*SQRT(CL25^2+CM25^2)/(SQRT(CP25^2+CQ25^2)*SQRT(CG25^2+CH25^2))</f>
        <v>743.72283370388061</v>
      </c>
      <c r="CS26" s="163">
        <f>K25*SQRT(CJ25^2+CK25^2)/(SQRT(CN25^2+CO25^2)*SQRT(CE25^2+CF25^2))</f>
        <v>459.54639071581011</v>
      </c>
      <c r="CT26" s="113">
        <f t="shared" si="5"/>
        <v>0</v>
      </c>
      <c r="CU26" s="163"/>
      <c r="CV26" s="156">
        <v>0</v>
      </c>
      <c r="CW26" s="156"/>
      <c r="CX26" s="156"/>
      <c r="CY26" s="156"/>
      <c r="CZ26" s="156"/>
      <c r="DA26" s="156"/>
      <c r="DB26" s="156"/>
    </row>
    <row r="27" spans="2:106" ht="24" customHeight="1" x14ac:dyDescent="0.15">
      <c r="E27" s="303" t="s">
        <v>141</v>
      </c>
      <c r="F27" s="304" t="s">
        <v>146</v>
      </c>
      <c r="G27" s="305">
        <v>3</v>
      </c>
      <c r="H27" s="218" t="str">
        <f>IF(G27="","","φ")</f>
        <v>φ</v>
      </c>
      <c r="I27" s="306" t="s">
        <v>92</v>
      </c>
      <c r="J27" s="218" t="str">
        <f>IF(I27="","","W")</f>
        <v>W</v>
      </c>
      <c r="K27" s="307">
        <v>210</v>
      </c>
      <c r="L27" s="220" t="str">
        <f>IF(K27="","","V")</f>
        <v>V</v>
      </c>
      <c r="M27" s="308">
        <v>60</v>
      </c>
      <c r="N27" s="309" t="s">
        <v>93</v>
      </c>
      <c r="O27" s="310">
        <v>300</v>
      </c>
      <c r="P27" s="311">
        <v>1</v>
      </c>
      <c r="Q27" s="198">
        <f>IF(O27="","",IF(OR(N27="油入自冷",N27="モ－ルド絶縁"),IF(G27=1,SQRT(AY27^2+AZ27^2),IF(G27=3,SQRT(BA27^2+BB27^2))),SQRT(BC27^2+BD27^2)))</f>
        <v>3.5518586683594267</v>
      </c>
      <c r="R27" s="204">
        <f>IF(P27="","",(O27*1000*P27)/(SQRT(G27)*K27))</f>
        <v>824.78609884232264</v>
      </c>
      <c r="S27" s="312"/>
      <c r="T27" s="125">
        <f>IF(AU27="","",K27*SQRT(CL27^2+CM27^2)/SQRT(CP27^2+CQ27^2))</f>
        <v>203.4178906638254</v>
      </c>
      <c r="U27" s="253">
        <v>76.7</v>
      </c>
      <c r="V27" s="257">
        <v>0.89800000000000002</v>
      </c>
      <c r="W27" s="264">
        <f>IF(OR(U27="",V27=""),"",(U27/V27))</f>
        <v>85.412026726057903</v>
      </c>
      <c r="X27" s="76">
        <v>70.956000000000003</v>
      </c>
      <c r="Y27" s="202">
        <f>IF(X27="","",VLOOKUP(X27,Ｍ,2,FALSE))</f>
        <v>0.92500000000000004</v>
      </c>
      <c r="Z27" s="202">
        <f>IF(X27="","",VLOOKUP(X27,Ｍ,3,FALSE))</f>
        <v>0.89800000000000002</v>
      </c>
      <c r="AA27" s="255">
        <v>0.4</v>
      </c>
      <c r="AB27" s="79" t="s">
        <v>94</v>
      </c>
      <c r="AC27" s="127">
        <f>IF(N(BG27)=0,"",BG27*X27*AB28*1000/(K27*SQRT(G27)))</f>
        <v>585.23522429455841</v>
      </c>
      <c r="AD27" s="251" t="str">
        <f>IF(N(BH27+BI27)=0,"",N(BH27+BI27))</f>
        <v/>
      </c>
      <c r="AE27" s="200"/>
      <c r="AF27" s="97" t="s">
        <v>73</v>
      </c>
      <c r="AG27" s="88">
        <v>200</v>
      </c>
      <c r="AH27" s="89">
        <v>2</v>
      </c>
      <c r="AI27" s="90">
        <v>29</v>
      </c>
      <c r="AJ27" s="128">
        <f t="shared" si="0"/>
        <v>1.5381974354952554</v>
      </c>
      <c r="AK27" s="128">
        <f>IF(AF27="","",IF(AF27="IV",(M27/50)*BJ27*AI27,(M27/50)*BJ27*AI27/AH27))</f>
        <v>2.1053999999999999</v>
      </c>
      <c r="AL27" s="91" t="s">
        <v>104</v>
      </c>
      <c r="AM27" s="92"/>
      <c r="AN27" s="101">
        <f>IF(X27="","",K27/SQRT(CP27^2+CQ27^2))</f>
        <v>742.57619048393235</v>
      </c>
      <c r="AO27" s="103"/>
      <c r="AP27" s="100">
        <v>50</v>
      </c>
      <c r="AQ27" s="119">
        <f>IF(AF27="","",SQRT(G27)*CR28*((AJ27/1000)*COS(ATAN(CH27/CG27))+(AK27/1000)*SIN(ATAN(CH27/CG27))))</f>
        <v>3.3529767790998126</v>
      </c>
      <c r="AR27" s="108">
        <f>IF(AQ27="","",AQ27*100/K27)</f>
        <v>1.5966556090951487</v>
      </c>
      <c r="AS27" s="117">
        <f>IF(AF28="","",SQRT(G27)*CR27*((AJ28/1000)*COS(ATAN(BT27/BS27))+(AK28/1000)*SIN(ATAN(BT27/BS27))))</f>
        <v>3.3622382187726476</v>
      </c>
      <c r="AT27" s="108">
        <f>IF(AS27="","",AS27*100/K27)</f>
        <v>1.6010658184631654</v>
      </c>
      <c r="AU27" s="109">
        <f>IF(X27="","",CR27*SQRT(BN27^2+BO27^2))</f>
        <v>199.54139811365582</v>
      </c>
      <c r="AV27" s="131">
        <f>IF(AU27="","",AU27*100/K27)</f>
        <v>95.019713387455155</v>
      </c>
      <c r="AW27" s="114" t="s">
        <v>140</v>
      </c>
      <c r="AX27" s="156">
        <f>AY28/CW27</f>
        <v>1.3709013443415121</v>
      </c>
      <c r="AY27" s="158" t="b">
        <f>IF(G27="","",IF(AND(G27=1,M27=50,N27="油入自冷"),VLOOKUP(O27,変１,2,FALSE),IF(AND(G27=1,M27=50,N27="モ－ルド絶縁"),VLOOKUP(O27,変１,7,FALSE),IF(AND(G27=1,M27=60,N27="油入自冷"),VLOOKUP(O27,変１,12,FALSE),IF(AND(G27=1,M27=60,N27="モ－ルド絶縁"),VLOOKUP(O27,変１,17,FALSE),FALSE)))))</f>
        <v>0</v>
      </c>
      <c r="AZ27" s="158" t="b">
        <f>IF(G27="","",IF(AND(G27=1,M27=50,N27="油入自冷"),VLOOKUP(O27,変１,3,FALSE),IF(AND(G27=1,M27=50,N27="モ－ルド絶縁"),VLOOKUP(O27,変１,8,FALSE),IF(AND(G27=1,M27=60,N27="油入自冷"),VLOOKUP(O27,変１,13,FALSE),IF(AND(G27=1,M27=60,N27="モ－ルド絶縁"),VLOOKUP(O27,変１,18,FALSE),FALSE)))))</f>
        <v>0</v>
      </c>
      <c r="BA27" s="158">
        <f>IF(G27="","",IF(AND(G27=3,M27=50,N27="油入自冷"),VLOOKUP(O27,変３,2,FALSE),IF(AND(G27=3,M27=50,N27="モ－ルド絶縁"),VLOOKUP(O27,変３,7,FALSE),IF(AND(G27=3,M27=60,N27="油入自冷"),VLOOKUP(O27,変３,12,FALSE),IF(AND(G27=3,M27=60,N27="モ－ルド絶縁"),VLOOKUP(O27,変３,17,FALSE),FALSE)))))</f>
        <v>1.41</v>
      </c>
      <c r="BB27" s="158">
        <f>IF(G27="","",IF(AND(G27=3,M27=50,N27="油入自冷"),VLOOKUP(O27,変３,3,FALSE),IF(AND(G27=3,M27=50,N27="モ－ルド絶縁"),VLOOKUP(O27,変３,8,FALSE),IF(AND(G27=3,M27=60,N27="油入自冷"),VLOOKUP(O27,変３,13,FALSE),IF(AND(G27=3,M27=60,N27="モ－ルド絶縁"),VLOOKUP(O27,変３,18,FALSE),FALSE)))))</f>
        <v>3.26</v>
      </c>
      <c r="BC27" s="158">
        <f>IF(ISNA(VLOOKUP(O27,変ＵＳＥＲ,2,FALSE)),0,VLOOKUP(O27,変ＵＳＥＲ,2,FALSE))</f>
        <v>0</v>
      </c>
      <c r="BD27" s="158">
        <f>IF(ISNA(VLOOKUP(O27,変ＵＳＥＲ,3,FALSE)),0,VLOOKUP(O27,変ＵＳＥＲ,3,FALSE)*M27/50)</f>
        <v>0</v>
      </c>
      <c r="BE27" s="159">
        <f>SQRT(G27)*(K27^2)*(N(AY27)+N(BA27)+N(BC27))/(100000*O27*P27)</f>
        <v>3.5900217088480116E-3</v>
      </c>
      <c r="BF27" s="159">
        <f>SQRT(G27)*(K27^2)*(N(AZ27)+N(BB27)+N(BD27))/(100000*O27*P27)</f>
        <v>8.3003338800315737E-3</v>
      </c>
      <c r="BG27" s="160">
        <f>IF(AB27="直 入",1,IF(AB27="Ｓ-Ｄ",1/3,IF(AB27="ﾘｱｸﾄﾙ50%",0.5,IF(AB27="ﾘｱｸﾄﾙ60%",0.6,IF(AB27="ﾘｱｸﾄﾙ80%",0.8,IF(AB27="ｺﾝﾄﾞﾙﾌｧ50%",0.25,IF(AB27="ｺﾝﾄﾞﾙﾌｧ65%",0.4225,IF(AB27="ｺﾝﾄﾞﾙﾌｧ80%",0.64,FALSE))))))))</f>
        <v>1</v>
      </c>
      <c r="BH27" s="160" t="b">
        <f t="shared" si="1"/>
        <v>0</v>
      </c>
      <c r="BI27" s="159">
        <f t="shared" si="2"/>
        <v>0</v>
      </c>
      <c r="BJ27" s="159">
        <f t="shared" si="3"/>
        <v>0.121</v>
      </c>
      <c r="BK27" s="159">
        <f t="shared" si="4"/>
        <v>8.4500000000000006E-2</v>
      </c>
      <c r="BL27" s="159">
        <f>IF(N(BL28)=0,SQRT(G27)*K27^2*Z27^2*Y27/(1000*X27),BL28*SQRT(G27)*K27^2*Z27^2*Y27/(1000*X27))</f>
        <v>0.56240609046884227</v>
      </c>
      <c r="BM27" s="159">
        <f>BL27*(TAN(ACOS(Z27)))</f>
        <v>0.27556361180597505</v>
      </c>
      <c r="BN27" s="160">
        <f>K27*AA27/AC27</f>
        <v>0.14353203039214441</v>
      </c>
      <c r="BO27" s="160">
        <f>BN27*(TAN(ACOS(AA27)))</f>
        <v>0.32887319696135187</v>
      </c>
      <c r="BP27" s="161">
        <f>IF(AE27=0,2*3.141592654*M27*N(AD27)*SQRT(G27)/1000000,AE27*1000*SQRT(G27)/K27^2)</f>
        <v>0</v>
      </c>
      <c r="BQ27" s="162">
        <f>BL27+(AJ28/1000)</f>
        <v>0.56457056541198403</v>
      </c>
      <c r="BR27" s="163">
        <f>BM27+(AK28/1000)</f>
        <v>0.27842561180597503</v>
      </c>
      <c r="BS27" s="163">
        <f>BN27+(AJ28/1000)</f>
        <v>0.14569650533528611</v>
      </c>
      <c r="BT27" s="163">
        <f>BO27+(AK28/1000)</f>
        <v>0.33173519696135184</v>
      </c>
      <c r="BU27" s="164">
        <f>BQ27/((BP27*BQ27)^2+(BP27*BR27-1)^2)</f>
        <v>0.56457056541198403</v>
      </c>
      <c r="BV27" s="165">
        <f>(BR27-BP27*(BQ27^2+BR27^2))/((BP27*BQ27)^2+(BP27*BR27-1)^2)</f>
        <v>0.27842561180597503</v>
      </c>
      <c r="BW27" s="163">
        <f>BS27/((BP27*BS27)^2+(BP27*BT27-1)^2)</f>
        <v>0.14569650533528611</v>
      </c>
      <c r="BX27" s="163">
        <f>(BT27-BP27*(BS27^2+BT27^2))/((BP27*BS27)^2+(BP27*BT27-1)^2)</f>
        <v>0.33173519696135184</v>
      </c>
      <c r="BY27" s="164">
        <f>IF(U27=0,10^20,K27^2*CU27*V27/(1000*W27))</f>
        <v>0.80307577633273397</v>
      </c>
      <c r="BZ27" s="164">
        <f>IF(U27=0,10^20,BY27*TAN(ACOS(V27)))</f>
        <v>0.3934851795357569</v>
      </c>
      <c r="CA27" s="163">
        <f>(BU27*(BY27^2+BZ27^2)+BY27*(BU27^2+BV27^2))/((BU27+BY27)^2+(BV27+BZ27)^2)</f>
        <v>0.33151395406464496</v>
      </c>
      <c r="CB27" s="163">
        <f>(BZ27*(BU27^2+BV27^2)+BV27*(BY27^2+BZ27^2))/((BU27+BY27)^2+(BV27+BZ27)^2)</f>
        <v>0.16305327234148415</v>
      </c>
      <c r="CC27" s="163">
        <f>(BW27*(BY27^2+BZ27^2)+BY27*(BW27^2+BX27^2))/((BW27+BY27)^2+(BX27+BZ27)^2)</f>
        <v>0.15563051574439779</v>
      </c>
      <c r="CD27" s="163">
        <f>(BZ27*(BW27^2+BX27^2)+BX27*(BY27^2+BZ27^2))/((BW27+BY27)^2+(BX27+BZ27)^2)</f>
        <v>0.22225722573060053</v>
      </c>
      <c r="CE27" s="163">
        <f>CA27+(N(AJ27)/1000)</f>
        <v>0.33305215150014023</v>
      </c>
      <c r="CF27" s="163">
        <f>CB27+(N(AK27)/1000)</f>
        <v>0.16515867234148415</v>
      </c>
      <c r="CG27" s="163">
        <f>CC27+(N(AJ27)/1000)</f>
        <v>0.15716871317989303</v>
      </c>
      <c r="CH27" s="163">
        <f>CD27+(N(AK27)/1000)</f>
        <v>0.22436262573060053</v>
      </c>
      <c r="CI27" s="163">
        <f>S27*1000/K27^2/SQRT(G27)</f>
        <v>0</v>
      </c>
      <c r="CJ27" s="163">
        <f>CE27/((CI27*CE27)^2+(CI27*CF27-1)^2)</f>
        <v>0.33305215150014023</v>
      </c>
      <c r="CK27" s="163">
        <f>(CF27-CI27*(CE27^2+CF27^2))/((CI27*CE27)^2+(CI27*CF27-1)^2)</f>
        <v>0.16515867234148415</v>
      </c>
      <c r="CL27" s="163">
        <f>CG27/((CI27*CG27)^2+(CI27*CH27-1)^2)</f>
        <v>0.15716871317989303</v>
      </c>
      <c r="CM27" s="163">
        <f>(CH27-CI27*(CG27^2+CH27^2))/((CI27*CG27)^2+(CI27*CH27-1)^2)</f>
        <v>0.22436262573060053</v>
      </c>
      <c r="CN27" s="163">
        <f>CJ27+BE27</f>
        <v>0.33664217320898826</v>
      </c>
      <c r="CO27" s="163">
        <f>CK27+BF27</f>
        <v>0.17345900622151572</v>
      </c>
      <c r="CP27" s="163">
        <f>CL27+BE27</f>
        <v>0.16075873488874104</v>
      </c>
      <c r="CQ27" s="163">
        <f>CM27+BF27</f>
        <v>0.2326629596106321</v>
      </c>
      <c r="CR27" s="163">
        <f>K27*SQRT(CC27^2+CD27^2)*SQRT(CL27^2+CM27^2)/(SQRT(CP27^2+CQ27^2)*SQRT(BS27^2+BT27^2)*SQRT(CG27^2+CH27^2))</f>
        <v>556.08883276711981</v>
      </c>
      <c r="CS27" s="163">
        <f>K27*SQRT(CA27^2+CB27^2)*SQRT(CJ27^2+CK27^2)/(SQRT(CN27^2+CO27^2)*SQRT(BQ27^2+BR27^2)*SQRT(CE27^2+CF27^2))</f>
        <v>325.44456829488337</v>
      </c>
      <c r="CT27" s="113">
        <f t="shared" si="5"/>
        <v>1</v>
      </c>
      <c r="CU27" s="163">
        <f>IF(G27=3,SQRT(3),2)</f>
        <v>1.7320508075688772</v>
      </c>
      <c r="CV27" s="156">
        <v>1</v>
      </c>
      <c r="CW27" s="156">
        <f>X28*1.17*(AU28/K27)/((AU28/K27)^2+0.17)</f>
        <v>239.82448570720467</v>
      </c>
      <c r="CX27" s="164">
        <f>AO28/CW27</f>
        <v>2.3122085407416781</v>
      </c>
      <c r="CY27" s="156">
        <f>IF(AB27="Ｓ-Ｄ",0.57735,1)</f>
        <v>1</v>
      </c>
      <c r="CZ27" s="156"/>
      <c r="DA27" s="156"/>
      <c r="DB27" s="156"/>
    </row>
    <row r="28" spans="2:106" ht="24" customHeight="1" x14ac:dyDescent="0.15">
      <c r="E28" s="313"/>
      <c r="F28" s="314"/>
      <c r="G28" s="315"/>
      <c r="H28" s="219"/>
      <c r="I28" s="316"/>
      <c r="J28" s="219"/>
      <c r="K28" s="317"/>
      <c r="L28" s="221"/>
      <c r="M28" s="318"/>
      <c r="N28" s="319"/>
      <c r="O28" s="320"/>
      <c r="P28" s="321"/>
      <c r="Q28" s="199"/>
      <c r="R28" s="205"/>
      <c r="S28" s="322"/>
      <c r="T28" s="134">
        <f>IF(AU28="","",K27*SQRT(CJ27^2+CK27^2)/SQRT(CN27^2+CO27^2))</f>
        <v>206.14666267201662</v>
      </c>
      <c r="U28" s="254"/>
      <c r="V28" s="258"/>
      <c r="W28" s="265"/>
      <c r="X28" s="126">
        <f>IF(X27=0,"",X27*1000/(Y27*Z27*K27*SQRT(G27)))</f>
        <v>234.85030770864515</v>
      </c>
      <c r="Y28" s="203"/>
      <c r="Z28" s="203"/>
      <c r="AA28" s="256"/>
      <c r="AB28" s="78">
        <v>3</v>
      </c>
      <c r="AC28" s="107">
        <f>IF(AV27="","",CT27*AV27/100)</f>
        <v>0.95019713387455151</v>
      </c>
      <c r="AD28" s="252"/>
      <c r="AE28" s="201"/>
      <c r="AF28" s="93" t="s">
        <v>73</v>
      </c>
      <c r="AG28" s="94">
        <v>150</v>
      </c>
      <c r="AH28" s="95">
        <v>1</v>
      </c>
      <c r="AI28" s="96">
        <v>15</v>
      </c>
      <c r="AJ28" s="129">
        <f t="shared" si="0"/>
        <v>2.1644749431417147</v>
      </c>
      <c r="AK28" s="130">
        <f>IF(AF28="","",IF(AF28="IV",(M27/50)*BJ28*AI28,(M27/50)*BJ28*AI28/AH28))</f>
        <v>2.8620000000000001</v>
      </c>
      <c r="AL28" s="98" t="s">
        <v>103</v>
      </c>
      <c r="AM28" s="99"/>
      <c r="AN28" s="102"/>
      <c r="AO28" s="104">
        <f>IF(X27="","",K27/SQRT(CN27^2+CO27^2))</f>
        <v>554.52422413117915</v>
      </c>
      <c r="AP28" s="66">
        <v>60</v>
      </c>
      <c r="AQ28" s="120">
        <f>IF(AF27="","",SQRT(G27)*CS28*((AJ27/1000)*COS(ATAN(CF27/CE27))+(AK27/1000)*SIN(ATAN(CF27/CE27))))</f>
        <v>2.2219611325075008</v>
      </c>
      <c r="AR28" s="110">
        <f>IF(AQ28="","",AQ28*100/K27)</f>
        <v>1.0580767297654765</v>
      </c>
      <c r="AS28" s="118">
        <f>IF(AF28="","",CY27*SQRT(G27)*CS27*((AJ28/1000)*COS(ATAN(BR27/BQ27))+(AK28/1000)*SIN(ATAN(BR27/BQ27))))</f>
        <v>1.8078059631215571</v>
      </c>
      <c r="AT28" s="111">
        <f>IF(AS28="","",AS28*100/K27)</f>
        <v>0.86085998243883666</v>
      </c>
      <c r="AU28" s="112">
        <f>IF(X27="","",CS27*SQRT(BL27^2+BM27^2))</f>
        <v>203.82183443100831</v>
      </c>
      <c r="AV28" s="132">
        <f>IF(AU27="","",AU28*100/K27)</f>
        <v>97.058016395718241</v>
      </c>
      <c r="AW28" s="115" t="s">
        <v>102</v>
      </c>
      <c r="AX28" s="156">
        <v>0.70039899991422083</v>
      </c>
      <c r="AY28" s="166">
        <f>IF(X27="","",IF(OR(AJ27="",AK27=""),K27/SQRT((BU27+BE27)^2+(BV27+BF27)^2),K27/SQRT((BU27+(AJ27/1000)+BE27)^2+(BV27+(AK27/1000)+BF27)^2)))</f>
        <v>328.77570986201863</v>
      </c>
      <c r="AZ28" s="159"/>
      <c r="BA28" s="159"/>
      <c r="BB28" s="167"/>
      <c r="BC28" s="158"/>
      <c r="BD28" s="158"/>
      <c r="BE28" s="159"/>
      <c r="BF28" s="159"/>
      <c r="BG28" s="160"/>
      <c r="BH28" s="160" t="b">
        <f t="shared" si="1"/>
        <v>0</v>
      </c>
      <c r="BI28" s="159" t="b">
        <f t="shared" si="2"/>
        <v>0</v>
      </c>
      <c r="BJ28" s="159">
        <f t="shared" si="3"/>
        <v>0.159</v>
      </c>
      <c r="BK28" s="159">
        <f t="shared" si="4"/>
        <v>8.3900000000000002E-2</v>
      </c>
      <c r="BL28" s="159">
        <f>AX28</f>
        <v>0.70039899991422083</v>
      </c>
      <c r="BM28" s="160"/>
      <c r="BN28" s="160"/>
      <c r="BO28" s="160"/>
      <c r="BP28" s="168"/>
      <c r="BQ28" s="168"/>
      <c r="BR28" s="156"/>
      <c r="BS28" s="156"/>
      <c r="BT28" s="169"/>
      <c r="BU28" s="169"/>
      <c r="BV28" s="170"/>
      <c r="BW28" s="169"/>
      <c r="BX28" s="169"/>
      <c r="BY28" s="169"/>
      <c r="BZ28" s="169"/>
      <c r="CA28" s="169"/>
      <c r="CB28" s="169"/>
      <c r="CC28" s="169"/>
      <c r="CD28" s="169"/>
      <c r="CE28" s="169"/>
      <c r="CF28" s="169"/>
      <c r="CG28" s="169"/>
      <c r="CH28" s="169"/>
      <c r="CI28" s="169"/>
      <c r="CJ28" s="163"/>
      <c r="CK28" s="163"/>
      <c r="CL28" s="163"/>
      <c r="CM28" s="163"/>
      <c r="CN28" s="163"/>
      <c r="CO28" s="163"/>
      <c r="CP28" s="163"/>
      <c r="CQ28" s="163"/>
      <c r="CR28" s="163">
        <f>K27*SQRT(CL27^2+CM27^2)/(SQRT(CP27^2+CQ27^2)*SQRT(CG27^2+CH27^2))</f>
        <v>742.57619048393235</v>
      </c>
      <c r="CS28" s="163">
        <f>K27*SQRT(CJ27^2+CK27^2)/(SQRT(CN27^2+CO27^2)*SQRT(CE27^2+CF27^2))</f>
        <v>554.52422413117927</v>
      </c>
      <c r="CT28" s="113">
        <f t="shared" si="5"/>
        <v>0</v>
      </c>
      <c r="CU28" s="163"/>
      <c r="CV28" s="156">
        <v>0</v>
      </c>
      <c r="CW28" s="156"/>
      <c r="CX28" s="156"/>
      <c r="CY28" s="156"/>
      <c r="CZ28" s="156"/>
      <c r="DA28" s="156"/>
      <c r="DB28" s="156"/>
    </row>
    <row r="29" spans="2:106" ht="24" customHeight="1" x14ac:dyDescent="0.15">
      <c r="E29" s="303" t="s">
        <v>141</v>
      </c>
      <c r="F29" s="304" t="s">
        <v>143</v>
      </c>
      <c r="G29" s="305">
        <v>3</v>
      </c>
      <c r="H29" s="218" t="str">
        <f>IF(G29="","","φ")</f>
        <v>φ</v>
      </c>
      <c r="I29" s="306" t="s">
        <v>92</v>
      </c>
      <c r="J29" s="218" t="str">
        <f>IF(I29="","","W")</f>
        <v>W</v>
      </c>
      <c r="K29" s="307">
        <v>220</v>
      </c>
      <c r="L29" s="220" t="str">
        <f>IF(K29="","","V")</f>
        <v>V</v>
      </c>
      <c r="M29" s="308">
        <v>60</v>
      </c>
      <c r="N29" s="309" t="s">
        <v>93</v>
      </c>
      <c r="O29" s="310">
        <v>300</v>
      </c>
      <c r="P29" s="311">
        <v>1</v>
      </c>
      <c r="Q29" s="198">
        <f>IF(O29="","",IF(OR(N29="油入自冷",N29="モ－ルド絶縁"),IF(G29=1,SQRT(AY29^2+AZ29^2),IF(G29=3,SQRT(BA29^2+BB29^2))),SQRT(BC29^2+BD29^2)))</f>
        <v>3.5518586683594267</v>
      </c>
      <c r="R29" s="204">
        <f>IF(P29="","",(O29*1000*P29)/(SQRT(G29)*K29))</f>
        <v>787.29582162221698</v>
      </c>
      <c r="S29" s="312"/>
      <c r="T29" s="125">
        <f>IF(AU29="","",K29*SQRT(CL29^2+CM29^2)/SQRT(CP29^2+CQ29^2))</f>
        <v>213.08378400183804</v>
      </c>
      <c r="U29" s="253">
        <v>76.7</v>
      </c>
      <c r="V29" s="257">
        <v>0.89800000000000002</v>
      </c>
      <c r="W29" s="264">
        <f>IF(OR(U29="",V29=""),"",(U29/V29))</f>
        <v>85.412026726057903</v>
      </c>
      <c r="X29" s="76">
        <v>70.956000000000003</v>
      </c>
      <c r="Y29" s="202">
        <f>IF(X29="","",VLOOKUP(X29,Ｍ,2,FALSE))</f>
        <v>0.92500000000000004</v>
      </c>
      <c r="Z29" s="202">
        <f>IF(X29="","",VLOOKUP(X29,Ｍ,3,FALSE))</f>
        <v>0.89800000000000002</v>
      </c>
      <c r="AA29" s="255">
        <v>0.4</v>
      </c>
      <c r="AB29" s="79" t="s">
        <v>94</v>
      </c>
      <c r="AC29" s="127">
        <f>IF(N(BG29)=0,"",BG29*X29*AB30*1000/(K29*SQRT(G29)))</f>
        <v>558.63362319026032</v>
      </c>
      <c r="AD29" s="251" t="str">
        <f>IF(N(BH29+BI29)=0,"",N(BH29+BI29))</f>
        <v/>
      </c>
      <c r="AE29" s="200"/>
      <c r="AF29" s="97" t="s">
        <v>73</v>
      </c>
      <c r="AG29" s="88">
        <v>200</v>
      </c>
      <c r="AH29" s="89">
        <v>2</v>
      </c>
      <c r="AI29" s="90">
        <v>29</v>
      </c>
      <c r="AJ29" s="128">
        <f t="shared" si="0"/>
        <v>1.5381974354952554</v>
      </c>
      <c r="AK29" s="128">
        <f>IF(AF29="","",IF(AF29="IV",(M29/50)*BJ29*AI29,(M29/50)*BJ29*AI29/AH29))</f>
        <v>2.1053999999999999</v>
      </c>
      <c r="AL29" s="91" t="s">
        <v>104</v>
      </c>
      <c r="AM29" s="92"/>
      <c r="AN29" s="101">
        <f>IF(X29="","",K29/SQRT(CP29^2+CQ29^2))</f>
        <v>710.81093606296304</v>
      </c>
      <c r="AO29" s="103"/>
      <c r="AP29" s="100">
        <v>50</v>
      </c>
      <c r="AQ29" s="119">
        <f>IF(AF29="","",SQRT(G29)*CR30*((AJ29/1000)*COS(ATAN(CH29/CG29))+(AK29/1000)*SIN(ATAN(CH29/CG29))))</f>
        <v>3.2094833738688031</v>
      </c>
      <c r="AR29" s="108">
        <f>IF(AQ29="","",AQ29*100/K29)</f>
        <v>1.4588560790312741</v>
      </c>
      <c r="AS29" s="117">
        <f>IF(AF30="","",SQRT(G29)*CR29*((AJ30/1000)*COS(ATAN(BT29/BS29))+(AK30/1000)*SIN(ATAN(BT29/BS29))))</f>
        <v>2.4509953857975173</v>
      </c>
      <c r="AT29" s="108">
        <f>IF(AS29="","",AS29*100/K29)</f>
        <v>1.1140888117261443</v>
      </c>
      <c r="AU29" s="109">
        <f>IF(X29="","",CR29*SQRT(BN29^2+BO29^2))</f>
        <v>209.81598065608208</v>
      </c>
      <c r="AV29" s="131">
        <f>IF(AU29="","",AU29*100/K29)</f>
        <v>95.370900298219127</v>
      </c>
      <c r="AW29" s="114" t="s">
        <v>140</v>
      </c>
      <c r="AX29" s="156">
        <f>AY30/CW29</f>
        <v>1.4330322007202478</v>
      </c>
      <c r="AY29" s="158" t="b">
        <f>IF(G29="","",IF(AND(G29=1,M29=50,N29="油入自冷"),VLOOKUP(O29,変１,2,FALSE),IF(AND(G29=1,M29=50,N29="モ－ルド絶縁"),VLOOKUP(O29,変１,7,FALSE),IF(AND(G29=1,M29=60,N29="油入自冷"),VLOOKUP(O29,変１,12,FALSE),IF(AND(G29=1,M29=60,N29="モ－ルド絶縁"),VLOOKUP(O29,変１,17,FALSE),FALSE)))))</f>
        <v>0</v>
      </c>
      <c r="AZ29" s="158" t="b">
        <f>IF(G29="","",IF(AND(G29=1,M29=50,N29="油入自冷"),VLOOKUP(O29,変１,3,FALSE),IF(AND(G29=1,M29=50,N29="モ－ルド絶縁"),VLOOKUP(O29,変１,8,FALSE),IF(AND(G29=1,M29=60,N29="油入自冷"),VLOOKUP(O29,変１,13,FALSE),IF(AND(G29=1,M29=60,N29="モ－ルド絶縁"),VLOOKUP(O29,変１,18,FALSE),FALSE)))))</f>
        <v>0</v>
      </c>
      <c r="BA29" s="158">
        <f>IF(G29="","",IF(AND(G29=3,M29=50,N29="油入自冷"),VLOOKUP(O29,変３,2,FALSE),IF(AND(G29=3,M29=50,N29="モ－ルド絶縁"),VLOOKUP(O29,変３,7,FALSE),IF(AND(G29=3,M29=60,N29="油入自冷"),VLOOKUP(O29,変３,12,FALSE),IF(AND(G29=3,M29=60,N29="モ－ルド絶縁"),VLOOKUP(O29,変３,17,FALSE),FALSE)))))</f>
        <v>1.41</v>
      </c>
      <c r="BB29" s="158">
        <f>IF(G29="","",IF(AND(G29=3,M29=50,N29="油入自冷"),VLOOKUP(O29,変３,3,FALSE),IF(AND(G29=3,M29=50,N29="モ－ルド絶縁"),VLOOKUP(O29,変３,8,FALSE),IF(AND(G29=3,M29=60,N29="油入自冷"),VLOOKUP(O29,変３,13,FALSE),IF(AND(G29=3,M29=60,N29="モ－ルド絶縁"),VLOOKUP(O29,変３,18,FALSE),FALSE)))))</f>
        <v>3.26</v>
      </c>
      <c r="BC29" s="158">
        <f>IF(ISNA(VLOOKUP(O29,変ＵＳＥＲ,2,FALSE)),0,VLOOKUP(O29,変ＵＳＥＲ,2,FALSE))</f>
        <v>0</v>
      </c>
      <c r="BD29" s="158">
        <f>IF(ISNA(VLOOKUP(O29,変ＵＳＥＲ,3,FALSE)),0,VLOOKUP(O29,変ＵＳＥＲ,3,FALSE)*M29/50)</f>
        <v>0</v>
      </c>
      <c r="BE29" s="159">
        <f>SQRT(G29)*(K29^2)*(N(AY29)+N(BA29)+N(BC29))/(100000*O29*P29)</f>
        <v>3.9400691770576811E-3</v>
      </c>
      <c r="BF29" s="159">
        <f>SQRT(G29)*(K29^2)*(N(AZ29)+N(BB29)+N(BD29))/(100000*O29*P29)</f>
        <v>9.1096634873815887E-3</v>
      </c>
      <c r="BG29" s="160">
        <f>IF(AB29="直 入",1,IF(AB29="Ｓ-Ｄ",1/3,IF(AB29="ﾘｱｸﾄﾙ50%",0.5,IF(AB29="ﾘｱｸﾄﾙ60%",0.6,IF(AB29="ﾘｱｸﾄﾙ80%",0.8,IF(AB29="ｺﾝﾄﾞﾙﾌｧ50%",0.25,IF(AB29="ｺﾝﾄﾞﾙﾌｧ65%",0.4225,IF(AB29="ｺﾝﾄﾞﾙﾌｧ80%",0.64,FALSE))))))))</f>
        <v>1</v>
      </c>
      <c r="BH29" s="160" t="b">
        <f t="shared" si="1"/>
        <v>0</v>
      </c>
      <c r="BI29" s="159">
        <f t="shared" si="2"/>
        <v>0</v>
      </c>
      <c r="BJ29" s="159">
        <f t="shared" si="3"/>
        <v>0.121</v>
      </c>
      <c r="BK29" s="159">
        <f t="shared" si="4"/>
        <v>8.4500000000000006E-2</v>
      </c>
      <c r="BL29" s="159">
        <f>IF(N(BL30)=0,SQRT(G29)*K29^2*Z29^2*Y29/(1000*X29),BL30*SQRT(G29)*K29^2*Z29^2*Y29/(1000*X29))</f>
        <v>0.59168417666002193</v>
      </c>
      <c r="BM29" s="159">
        <f>BL29*(TAN(ACOS(Z29)))</f>
        <v>0.28990907376724639</v>
      </c>
      <c r="BN29" s="160">
        <f>K29*AA29/AC29</f>
        <v>0.15752721702902014</v>
      </c>
      <c r="BO29" s="160">
        <f>BN29*(TAN(ACOS(AA29)))</f>
        <v>0.36094019802561061</v>
      </c>
      <c r="BP29" s="161">
        <f>IF(AE29=0,2*3.141592654*M29*N(AD29)*SQRT(G29)/1000000,AE29*1000*SQRT(G29)/K29^2)</f>
        <v>0</v>
      </c>
      <c r="BQ29" s="162">
        <f>BL29+(AJ30/1000)</f>
        <v>0.59333135570480278</v>
      </c>
      <c r="BR29" s="163">
        <f>BM29+(AK30/1000)</f>
        <v>0.29208707376724641</v>
      </c>
      <c r="BS29" s="163">
        <f>BN29+(AJ30/1000)</f>
        <v>0.15917439607380093</v>
      </c>
      <c r="BT29" s="163">
        <f>BO29+(AK30/1000)</f>
        <v>0.36311819802561063</v>
      </c>
      <c r="BU29" s="164">
        <f>BQ29/((BP29*BQ29)^2+(BP29*BR29-1)^2)</f>
        <v>0.59333135570480278</v>
      </c>
      <c r="BV29" s="165">
        <f>(BR29-BP29*(BQ29^2+BR29^2))/((BP29*BQ29)^2+(BP29*BR29-1)^2)</f>
        <v>0.29208707376724641</v>
      </c>
      <c r="BW29" s="163">
        <f>BS29/((BP29*BS29)^2+(BP29*BT29-1)^2)</f>
        <v>0.15917439607380093</v>
      </c>
      <c r="BX29" s="163">
        <f>(BT29-BP29*(BS29^2+BT29^2))/((BP29*BS29)^2+(BP29*BT29-1)^2)</f>
        <v>0.36311819802561063</v>
      </c>
      <c r="BY29" s="164">
        <f>IF(U29=0,10^20,K29^2*CU29*V29/(1000*W29))</f>
        <v>0.88138021710894143</v>
      </c>
      <c r="BZ29" s="164">
        <f>IF(U29=0,10^20,BY29*TAN(ACOS(V29)))</f>
        <v>0.43185221518210049</v>
      </c>
      <c r="CA29" s="163">
        <f>(BU29*(BY29^2+BZ29^2)+BY29*(BU29^2+BV29^2))/((BU29+BY29)^2+(BV29+BZ29)^2)</f>
        <v>0.35461243386241187</v>
      </c>
      <c r="CB29" s="163">
        <f>(BZ29*(BU29^2+BV29^2)+BV29*(BY29^2+BZ29^2))/((BU29+BY29)^2+(BV29+BZ29)^2)</f>
        <v>0.17423973630083553</v>
      </c>
      <c r="CC29" s="163">
        <f>(BW29*(BY29^2+BZ29^2)+BY29*(BW29^2+BX29^2))/((BW29+BY29)^2+(BX29+BZ29)^2)</f>
        <v>0.1702204186935021</v>
      </c>
      <c r="CD29" s="163">
        <f>(BZ29*(BW29^2+BX29^2)+BX29*(BY29^2+BZ29^2))/((BW29+BY29)^2+(BX29+BZ29)^2)</f>
        <v>0.24358626828468805</v>
      </c>
      <c r="CE29" s="163">
        <f>CA29+(N(AJ29)/1000)</f>
        <v>0.35615063129790714</v>
      </c>
      <c r="CF29" s="163">
        <f>CB29+(N(AK29)/1000)</f>
        <v>0.17634513630083554</v>
      </c>
      <c r="CG29" s="163">
        <f>CC29+(N(AJ29)/1000)</f>
        <v>0.17175861612899734</v>
      </c>
      <c r="CH29" s="163">
        <f>CD29+(N(AK29)/1000)</f>
        <v>0.24569166828468805</v>
      </c>
      <c r="CI29" s="163">
        <f>S29*1000/K29^2/SQRT(G29)</f>
        <v>0</v>
      </c>
      <c r="CJ29" s="163">
        <f>CE29/((CI29*CE29)^2+(CI29*CF29-1)^2)</f>
        <v>0.35615063129790714</v>
      </c>
      <c r="CK29" s="163">
        <f>(CF29-CI29*(CE29^2+CF29^2))/((CI29*CE29)^2+(CI29*CF29-1)^2)</f>
        <v>0.17634513630083554</v>
      </c>
      <c r="CL29" s="163">
        <f>CG29/((CI29*CG29)^2+(CI29*CH29-1)^2)</f>
        <v>0.17175861612899734</v>
      </c>
      <c r="CM29" s="163">
        <f>(CH29-CI29*(CG29^2+CH29^2))/((CI29*CG29)^2+(CI29*CH29-1)^2)</f>
        <v>0.24569166828468805</v>
      </c>
      <c r="CN29" s="163">
        <f>CJ29+BE29</f>
        <v>0.36009070047496483</v>
      </c>
      <c r="CO29" s="163">
        <f>CK29+BF29</f>
        <v>0.18545479978821713</v>
      </c>
      <c r="CP29" s="163">
        <f>CL29+BE29</f>
        <v>0.17569868530605504</v>
      </c>
      <c r="CQ29" s="163">
        <f>CM29+BF29</f>
        <v>0.25480133177206965</v>
      </c>
      <c r="CR29" s="163">
        <f>K29*SQRT(CC29^2+CD29^2)*SQRT(CL29^2+CM29^2)/(SQRT(CP29^2+CQ29^2)*SQRT(BS29^2+BT29^2)*SQRT(CG29^2+CH29^2))</f>
        <v>532.77391580511244</v>
      </c>
      <c r="CS29" s="163">
        <f>K29*SQRT(CA29^2+CB29^2)*SQRT(CJ29^2+CK29^2)/(SQRT(CN29^2+CO29^2)*SQRT(BQ29^2+BR29^2)*SQRT(CE29^2+CF29^2))</f>
        <v>324.50359962325314</v>
      </c>
      <c r="CT29" s="113">
        <f t="shared" si="5"/>
        <v>1</v>
      </c>
      <c r="CU29" s="163">
        <f>IF(G29=3,SQRT(3),2)</f>
        <v>1.7320508075688772</v>
      </c>
      <c r="CV29" s="156">
        <v>1</v>
      </c>
      <c r="CW29" s="156">
        <f>X30*1.17*(AU30/K29)/((AU30/K29)^2+0.17)</f>
        <v>228.71146347790196</v>
      </c>
      <c r="CX29" s="164">
        <f>AO30/CW29</f>
        <v>2.3748434646613794</v>
      </c>
      <c r="CY29" s="156">
        <f>IF(AB29="Ｓ-Ｄ",0.57735,1)</f>
        <v>1</v>
      </c>
      <c r="CZ29" s="156"/>
      <c r="DA29" s="156"/>
      <c r="DB29" s="156"/>
    </row>
    <row r="30" spans="2:106" ht="24" customHeight="1" x14ac:dyDescent="0.15">
      <c r="E30" s="313"/>
      <c r="F30" s="314"/>
      <c r="G30" s="315"/>
      <c r="H30" s="219"/>
      <c r="I30" s="316"/>
      <c r="J30" s="219"/>
      <c r="K30" s="317"/>
      <c r="L30" s="221"/>
      <c r="M30" s="318"/>
      <c r="N30" s="319"/>
      <c r="O30" s="320"/>
      <c r="P30" s="321"/>
      <c r="Q30" s="199"/>
      <c r="R30" s="205"/>
      <c r="S30" s="322"/>
      <c r="T30" s="134">
        <f>IF(AU30="","",K29*SQRT(CJ29^2+CK29^2)/SQRT(CN29^2+CO29^2))</f>
        <v>215.85901820403501</v>
      </c>
      <c r="U30" s="254"/>
      <c r="V30" s="258"/>
      <c r="W30" s="265"/>
      <c r="X30" s="126">
        <f>IF(X29=0,"",X29*1000/(Y29*Z29*K29*SQRT(G29)))</f>
        <v>224.17529372188858</v>
      </c>
      <c r="Y30" s="203"/>
      <c r="Z30" s="203"/>
      <c r="AA30" s="256"/>
      <c r="AB30" s="78">
        <v>3</v>
      </c>
      <c r="AC30" s="107">
        <f>IF(AV29="","",CT29*AV29/100)</f>
        <v>0.9537090029821913</v>
      </c>
      <c r="AD30" s="252"/>
      <c r="AE30" s="201"/>
      <c r="AF30" s="93" t="s">
        <v>73</v>
      </c>
      <c r="AG30" s="94">
        <v>200</v>
      </c>
      <c r="AH30" s="95">
        <v>1</v>
      </c>
      <c r="AI30" s="96">
        <v>15</v>
      </c>
      <c r="AJ30" s="129">
        <f t="shared" si="0"/>
        <v>1.6471790447808017</v>
      </c>
      <c r="AK30" s="130">
        <f>IF(AF30="","",IF(AF30="IV",(M29/50)*BJ30*AI30,(M29/50)*BJ30*AI30/AH30))</f>
        <v>2.1779999999999999</v>
      </c>
      <c r="AL30" s="98" t="s">
        <v>103</v>
      </c>
      <c r="AM30" s="99"/>
      <c r="AN30" s="102"/>
      <c r="AO30" s="104">
        <f>IF(X29="","",K29/SQRT(CN29^2+CO29^2))</f>
        <v>543.15392433363525</v>
      </c>
      <c r="AP30" s="66">
        <v>60</v>
      </c>
      <c r="AQ30" s="120">
        <f>IF(AF29="","",SQRT(G29)*CS30*((AJ29/1000)*COS(ATAN(CF29/CE29))+(AK29/1000)*SIN(ATAN(CF29/CE29))))</f>
        <v>2.1757167984302206</v>
      </c>
      <c r="AR30" s="110">
        <f>IF(AQ30="","",AQ30*100/K29)</f>
        <v>0.98896218110464573</v>
      </c>
      <c r="AS30" s="118">
        <f>IF(AF30="","",CY29*SQRT(G29)*CS29*((AJ30/1000)*COS(ATAN(BR29/BQ29))+(AK30/1000)*SIN(ATAN(BR29/BQ29))))</f>
        <v>1.3712859744540766</v>
      </c>
      <c r="AT30" s="111">
        <f>IF(AS30="","",AS30*100/K29)</f>
        <v>0.62331180657003482</v>
      </c>
      <c r="AU30" s="112">
        <f>IF(X29="","",CS29*SQRT(BL29^2+BM29^2))</f>
        <v>213.81252245690192</v>
      </c>
      <c r="AV30" s="132">
        <f>IF(AU29="","",AU30*100/K29)</f>
        <v>97.187510207682692</v>
      </c>
      <c r="AW30" s="115" t="s">
        <v>102</v>
      </c>
      <c r="AX30" s="156">
        <v>0.67139590045228903</v>
      </c>
      <c r="AY30" s="166">
        <f>IF(X29="","",IF(OR(AJ29="",AK29=""),K29/SQRT((BU29+BE29)^2+(BV29+BF29)^2),K29/SQRT((BU29+(AJ29/1000)+BE29)^2+(BV29+(AK29/1000)+BF29)^2)))</f>
        <v>327.75089183768642</v>
      </c>
      <c r="AZ30" s="159"/>
      <c r="BA30" s="159"/>
      <c r="BB30" s="167"/>
      <c r="BC30" s="158"/>
      <c r="BD30" s="158"/>
      <c r="BE30" s="159"/>
      <c r="BF30" s="159"/>
      <c r="BG30" s="160"/>
      <c r="BH30" s="160" t="b">
        <f t="shared" si="1"/>
        <v>0</v>
      </c>
      <c r="BI30" s="159" t="b">
        <f t="shared" si="2"/>
        <v>0</v>
      </c>
      <c r="BJ30" s="159">
        <f t="shared" si="3"/>
        <v>0.121</v>
      </c>
      <c r="BK30" s="159">
        <f t="shared" si="4"/>
        <v>8.4500000000000006E-2</v>
      </c>
      <c r="BL30" s="159">
        <f>AX30</f>
        <v>0.67139590045228903</v>
      </c>
      <c r="BM30" s="160"/>
      <c r="BN30" s="160"/>
      <c r="BO30" s="160"/>
      <c r="BP30" s="168"/>
      <c r="BQ30" s="168"/>
      <c r="BR30" s="156"/>
      <c r="BS30" s="156"/>
      <c r="BT30" s="169"/>
      <c r="BU30" s="169"/>
      <c r="BV30" s="170"/>
      <c r="BW30" s="169"/>
      <c r="BX30" s="169"/>
      <c r="BY30" s="169"/>
      <c r="BZ30" s="169"/>
      <c r="CA30" s="169"/>
      <c r="CB30" s="169"/>
      <c r="CC30" s="169"/>
      <c r="CD30" s="169"/>
      <c r="CE30" s="169"/>
      <c r="CF30" s="169"/>
      <c r="CG30" s="169"/>
      <c r="CH30" s="169"/>
      <c r="CI30" s="169"/>
      <c r="CJ30" s="163"/>
      <c r="CK30" s="163"/>
      <c r="CL30" s="163"/>
      <c r="CM30" s="163"/>
      <c r="CN30" s="163"/>
      <c r="CO30" s="163"/>
      <c r="CP30" s="163"/>
      <c r="CQ30" s="163"/>
      <c r="CR30" s="163">
        <f>K29*SQRT(CL29^2+CM29^2)/(SQRT(CP29^2+CQ29^2)*SQRT(CG29^2+CH29^2))</f>
        <v>710.81093606296292</v>
      </c>
      <c r="CS30" s="163">
        <f>K29*SQRT(CJ29^2+CK29^2)/(SQRT(CN29^2+CO29^2)*SQRT(CE29^2+CF29^2))</f>
        <v>543.15392433363525</v>
      </c>
      <c r="CT30" s="113">
        <f t="shared" si="5"/>
        <v>0</v>
      </c>
      <c r="CU30" s="163"/>
      <c r="CV30" s="156">
        <v>0</v>
      </c>
      <c r="CW30" s="156"/>
      <c r="CX30" s="156"/>
      <c r="CY30" s="156"/>
      <c r="CZ30" s="156"/>
      <c r="DA30" s="156"/>
      <c r="DB30" s="156"/>
    </row>
    <row r="31" spans="2:106" ht="24" customHeight="1" x14ac:dyDescent="0.15">
      <c r="E31" s="303" t="s">
        <v>141</v>
      </c>
      <c r="F31" s="304" t="s">
        <v>146</v>
      </c>
      <c r="G31" s="305">
        <v>3</v>
      </c>
      <c r="H31" s="218" t="str">
        <f>IF(G31="","","φ")</f>
        <v>φ</v>
      </c>
      <c r="I31" s="306" t="s">
        <v>92</v>
      </c>
      <c r="J31" s="218" t="str">
        <f>IF(I31="","","W")</f>
        <v>W</v>
      </c>
      <c r="K31" s="307">
        <v>220</v>
      </c>
      <c r="L31" s="220" t="str">
        <f>IF(K31="","","V")</f>
        <v>V</v>
      </c>
      <c r="M31" s="308">
        <v>60</v>
      </c>
      <c r="N31" s="309" t="s">
        <v>93</v>
      </c>
      <c r="O31" s="310">
        <v>300</v>
      </c>
      <c r="P31" s="311">
        <v>1</v>
      </c>
      <c r="Q31" s="198">
        <f>IF(O31="","",IF(OR(N31="油入自冷",N31="モ－ルド絶縁"),IF(G31=1,SQRT(AY31^2+AZ31^2),IF(G31=3,SQRT(BA31^2+BB31^2))),SQRT(BC31^2+BD31^2)))</f>
        <v>3.5518586683594267</v>
      </c>
      <c r="R31" s="204">
        <f>IF(P31="","",(O31*1000*P31)/(SQRT(G31)*K31))</f>
        <v>787.29582162221698</v>
      </c>
      <c r="S31" s="312"/>
      <c r="T31" s="125">
        <f>IF(AU31="","",K31*SQRT(CL31^2+CM31^2)/SQRT(CP31^2+CQ31^2))</f>
        <v>213.09444225252122</v>
      </c>
      <c r="U31" s="253">
        <v>76.7</v>
      </c>
      <c r="V31" s="257">
        <v>0.89800000000000002</v>
      </c>
      <c r="W31" s="264">
        <f>IF(OR(U31="",V31=""),"",(U31/V31))</f>
        <v>85.412026726057903</v>
      </c>
      <c r="X31" s="76">
        <v>70.956000000000003</v>
      </c>
      <c r="Y31" s="202">
        <f>IF(X31="","",VLOOKUP(X31,Ｍ,2,FALSE))</f>
        <v>0.92500000000000004</v>
      </c>
      <c r="Z31" s="202">
        <f>IF(X31="","",VLOOKUP(X31,Ｍ,3,FALSE))</f>
        <v>0.89800000000000002</v>
      </c>
      <c r="AA31" s="255">
        <v>0.4</v>
      </c>
      <c r="AB31" s="79" t="s">
        <v>94</v>
      </c>
      <c r="AC31" s="127">
        <f>IF(N(BG31)=0,"",BG31*X31*AB32*1000/(K31*SQRT(G31)))</f>
        <v>558.63362319026032</v>
      </c>
      <c r="AD31" s="251" t="str">
        <f>IF(N(BH31+BI31)=0,"",N(BH31+BI31))</f>
        <v/>
      </c>
      <c r="AE31" s="200"/>
      <c r="AF31" s="97" t="s">
        <v>73</v>
      </c>
      <c r="AG31" s="88">
        <v>200</v>
      </c>
      <c r="AH31" s="89">
        <v>2</v>
      </c>
      <c r="AI31" s="90">
        <v>29</v>
      </c>
      <c r="AJ31" s="128">
        <f t="shared" si="0"/>
        <v>1.5381974354952554</v>
      </c>
      <c r="AK31" s="128">
        <f>IF(AF31="","",IF(AF31="IV",(M31/50)*BJ31*AI31,(M31/50)*BJ31*AI31/AH31))</f>
        <v>2.1053999999999999</v>
      </c>
      <c r="AL31" s="91" t="s">
        <v>104</v>
      </c>
      <c r="AM31" s="92"/>
      <c r="AN31" s="101">
        <f>IF(X31="","",K31/SQRT(CP31^2+CQ31^2))</f>
        <v>709.810615248158</v>
      </c>
      <c r="AO31" s="103"/>
      <c r="AP31" s="100">
        <v>50</v>
      </c>
      <c r="AQ31" s="119">
        <f>IF(AF31="","",SQRT(G31)*CR32*((AJ31/1000)*COS(ATAN(CH31/CG31))+(AK31/1000)*SIN(ATAN(CH31/CG31))))</f>
        <v>3.2050107760771875</v>
      </c>
      <c r="AR31" s="108">
        <f>IF(AQ31="","",AQ31*100/K31)</f>
        <v>1.4568230800350852</v>
      </c>
      <c r="AS31" s="117">
        <f>IF(AF32="","",SQRT(G31)*CR31*((AJ32/1000)*COS(ATAN(BT31/BS31))+(AK32/1000)*SIN(ATAN(BT31/BS31))))</f>
        <v>3.2145530040677235</v>
      </c>
      <c r="AT31" s="108">
        <f>IF(AS31="","",AS31*100/K31)</f>
        <v>1.4611604563944196</v>
      </c>
      <c r="AU31" s="109">
        <f>IF(X31="","",CR31*SQRT(BN31^2+BO31^2))</f>
        <v>209.38857551767876</v>
      </c>
      <c r="AV31" s="131">
        <f>IF(AU31="","",AU31*100/K31)</f>
        <v>95.176625235308535</v>
      </c>
      <c r="AW31" s="114" t="s">
        <v>140</v>
      </c>
      <c r="AX31" s="156">
        <f>AY32/CW31</f>
        <v>1.3645106167287966</v>
      </c>
      <c r="AY31" s="158" t="b">
        <f>IF(G31="","",IF(AND(G31=1,M31=50,N31="油入自冷"),VLOOKUP(O31,変１,2,FALSE),IF(AND(G31=1,M31=50,N31="モ－ルド絶縁"),VLOOKUP(O31,変１,7,FALSE),IF(AND(G31=1,M31=60,N31="油入自冷"),VLOOKUP(O31,変１,12,FALSE),IF(AND(G31=1,M31=60,N31="モ－ルド絶縁"),VLOOKUP(O31,変１,17,FALSE),FALSE)))))</f>
        <v>0</v>
      </c>
      <c r="AZ31" s="158" t="b">
        <f>IF(G31="","",IF(AND(G31=1,M31=50,N31="油入自冷"),VLOOKUP(O31,変１,3,FALSE),IF(AND(G31=1,M31=50,N31="モ－ルド絶縁"),VLOOKUP(O31,変１,8,FALSE),IF(AND(G31=1,M31=60,N31="油入自冷"),VLOOKUP(O31,変１,13,FALSE),IF(AND(G31=1,M31=60,N31="モ－ルド絶縁"),VLOOKUP(O31,変１,18,FALSE),FALSE)))))</f>
        <v>0</v>
      </c>
      <c r="BA31" s="158">
        <f>IF(G31="","",IF(AND(G31=3,M31=50,N31="油入自冷"),VLOOKUP(O31,変３,2,FALSE),IF(AND(G31=3,M31=50,N31="モ－ルド絶縁"),VLOOKUP(O31,変３,7,FALSE),IF(AND(G31=3,M31=60,N31="油入自冷"),VLOOKUP(O31,変３,12,FALSE),IF(AND(G31=3,M31=60,N31="モ－ルド絶縁"),VLOOKUP(O31,変３,17,FALSE),FALSE)))))</f>
        <v>1.41</v>
      </c>
      <c r="BB31" s="158">
        <f>IF(G31="","",IF(AND(G31=3,M31=50,N31="油入自冷"),VLOOKUP(O31,変３,3,FALSE),IF(AND(G31=3,M31=50,N31="モ－ルド絶縁"),VLOOKUP(O31,変３,8,FALSE),IF(AND(G31=3,M31=60,N31="油入自冷"),VLOOKUP(O31,変３,13,FALSE),IF(AND(G31=3,M31=60,N31="モ－ルド絶縁"),VLOOKUP(O31,変３,18,FALSE),FALSE)))))</f>
        <v>3.26</v>
      </c>
      <c r="BC31" s="158">
        <f>IF(ISNA(VLOOKUP(O31,変ＵＳＥＲ,2,FALSE)),0,VLOOKUP(O31,変ＵＳＥＲ,2,FALSE))</f>
        <v>0</v>
      </c>
      <c r="BD31" s="158">
        <f>IF(ISNA(VLOOKUP(O31,変ＵＳＥＲ,3,FALSE)),0,VLOOKUP(O31,変ＵＳＥＲ,3,FALSE)*M31/50)</f>
        <v>0</v>
      </c>
      <c r="BE31" s="159">
        <f>SQRT(G31)*(K31^2)*(N(AY31)+N(BA31)+N(BC31))/(100000*O31*P31)</f>
        <v>3.9400691770576811E-3</v>
      </c>
      <c r="BF31" s="159">
        <f>SQRT(G31)*(K31^2)*(N(AZ31)+N(BB31)+N(BD31))/(100000*O31*P31)</f>
        <v>9.1096634873815887E-3</v>
      </c>
      <c r="BG31" s="160">
        <f>IF(AB31="直 入",1,IF(AB31="Ｓ-Ｄ",1/3,IF(AB31="ﾘｱｸﾄﾙ50%",0.5,IF(AB31="ﾘｱｸﾄﾙ60%",0.6,IF(AB31="ﾘｱｸﾄﾙ80%",0.8,IF(AB31="ｺﾝﾄﾞﾙﾌｧ50%",0.25,IF(AB31="ｺﾝﾄﾞﾙﾌｧ65%",0.4225,IF(AB31="ｺﾝﾄﾞﾙﾌｧ80%",0.64,FALSE))))))))</f>
        <v>1</v>
      </c>
      <c r="BH31" s="160" t="b">
        <f t="shared" si="1"/>
        <v>0</v>
      </c>
      <c r="BI31" s="159">
        <f t="shared" si="2"/>
        <v>0</v>
      </c>
      <c r="BJ31" s="159">
        <f t="shared" si="3"/>
        <v>0.121</v>
      </c>
      <c r="BK31" s="159">
        <f t="shared" si="4"/>
        <v>8.4500000000000006E-2</v>
      </c>
      <c r="BL31" s="159">
        <f>IF(N(BL32)=0,SQRT(G31)*K31^2*Z31^2*Y31/(1000*X31),BL32*SQRT(G31)*K31^2*Z31^2*Y31/(1000*X31))</f>
        <v>0.62116800718801612</v>
      </c>
      <c r="BM31" s="159">
        <f>BL31*(TAN(ACOS(Z31)))</f>
        <v>0.30435534482984516</v>
      </c>
      <c r="BN31" s="160">
        <f>K31*AA31/AC31</f>
        <v>0.15752721702902014</v>
      </c>
      <c r="BO31" s="160">
        <f>BN31*(TAN(ACOS(AA31)))</f>
        <v>0.36094019802561061</v>
      </c>
      <c r="BP31" s="161">
        <f>IF(AE31=0,2*3.141592654*M31*N(AD31)*SQRT(G31)/1000000,AE31*1000*SQRT(G31)/K31^2)</f>
        <v>0</v>
      </c>
      <c r="BQ31" s="162">
        <f>BL31+(AJ32/1000)</f>
        <v>0.62333248213115788</v>
      </c>
      <c r="BR31" s="163">
        <f>BM31+(AK32/1000)</f>
        <v>0.30721734482984514</v>
      </c>
      <c r="BS31" s="163">
        <f>BN31+(AJ32/1000)</f>
        <v>0.15969169197216185</v>
      </c>
      <c r="BT31" s="163">
        <f>BO31+(AK32/1000)</f>
        <v>0.36380219802561059</v>
      </c>
      <c r="BU31" s="164">
        <f>BQ31/((BP31*BQ31)^2+(BP31*BR31-1)^2)</f>
        <v>0.62333248213115788</v>
      </c>
      <c r="BV31" s="165">
        <f>(BR31-BP31*(BQ31^2+BR31^2))/((BP31*BQ31)^2+(BP31*BR31-1)^2)</f>
        <v>0.30721734482984514</v>
      </c>
      <c r="BW31" s="163">
        <f>BS31/((BP31*BS31)^2+(BP31*BT31-1)^2)</f>
        <v>0.15969169197216185</v>
      </c>
      <c r="BX31" s="163">
        <f>(BT31-BP31*(BS31^2+BT31^2))/((BP31*BS31)^2+(BP31*BT31-1)^2)</f>
        <v>0.36380219802561059</v>
      </c>
      <c r="BY31" s="164">
        <f>IF(U31=0,10^20,K31^2*CU31*V31/(1000*W31))</f>
        <v>0.88138021710894143</v>
      </c>
      <c r="BZ31" s="164">
        <f>IF(U31=0,10^20,BY31*TAN(ACOS(V31)))</f>
        <v>0.43185221518210049</v>
      </c>
      <c r="CA31" s="163">
        <f>(BU31*(BY31^2+BZ31^2)+BY31*(BU31^2+BV31^2))/((BU31+BY31)^2+(BV31+BZ31)^2)</f>
        <v>0.36511542419511422</v>
      </c>
      <c r="CB31" s="163">
        <f>(BZ31*(BU31^2+BV31^2)+BV31*(BY31^2+BZ31^2))/((BU31+BY31)^2+(BV31+BZ31)^2)</f>
        <v>0.17951407435586475</v>
      </c>
      <c r="CC31" s="163">
        <f>(BW31*(BY31^2+BZ31^2)+BY31*(BW31^2+BX31^2))/((BW31+BY31)^2+(BX31+BZ31)^2)</f>
        <v>0.17063596358403094</v>
      </c>
      <c r="CD31" s="163">
        <f>(BZ31*(BW31^2+BX31^2)+BX31*(BY31^2+BZ31^2))/((BW31+BY31)^2+(BX31+BZ31)^2)</f>
        <v>0.24382947182903827</v>
      </c>
      <c r="CE31" s="163">
        <f>CA31+(N(AJ31)/1000)</f>
        <v>0.36665362163060949</v>
      </c>
      <c r="CF31" s="163">
        <f>CB31+(N(AK31)/1000)</f>
        <v>0.18161947435586476</v>
      </c>
      <c r="CG31" s="163">
        <f>CC31+(N(AJ31)/1000)</f>
        <v>0.17217416101952618</v>
      </c>
      <c r="CH31" s="163">
        <f>CD31+(N(AK31)/1000)</f>
        <v>0.24593487182903828</v>
      </c>
      <c r="CI31" s="163">
        <f>S31*1000/K31^2/SQRT(G31)</f>
        <v>0</v>
      </c>
      <c r="CJ31" s="163">
        <f>CE31/((CI31*CE31)^2+(CI31*CF31-1)^2)</f>
        <v>0.36665362163060949</v>
      </c>
      <c r="CK31" s="163">
        <f>(CF31-CI31*(CE31^2+CF31^2))/((CI31*CE31)^2+(CI31*CF31-1)^2)</f>
        <v>0.18161947435586476</v>
      </c>
      <c r="CL31" s="163">
        <f>CG31/((CI31*CG31)^2+(CI31*CH31-1)^2)</f>
        <v>0.17217416101952618</v>
      </c>
      <c r="CM31" s="163">
        <f>(CH31-CI31*(CG31^2+CH31^2))/((CI31*CG31)^2+(CI31*CH31-1)^2)</f>
        <v>0.24593487182903828</v>
      </c>
      <c r="CN31" s="163">
        <f>CJ31+BE31</f>
        <v>0.37059369080766719</v>
      </c>
      <c r="CO31" s="163">
        <f>CK31+BF31</f>
        <v>0.19072913784324635</v>
      </c>
      <c r="CP31" s="163">
        <f>CL31+BE31</f>
        <v>0.17611423019658387</v>
      </c>
      <c r="CQ31" s="163">
        <f>CM31+BF31</f>
        <v>0.25504453531641985</v>
      </c>
      <c r="CR31" s="163">
        <f>K31*SQRT(CC31^2+CD31^2)*SQRT(CL31^2+CM31^2)/(SQRT(CP31^2+CQ31^2)*SQRT(BS31^2+BT31^2)*SQRT(CG31^2+CH31^2))</f>
        <v>531.68862998221982</v>
      </c>
      <c r="CS31" s="163">
        <f>K31*SQRT(CA31^2+CB31^2)*SQRT(CJ31^2+CK31^2)/(SQRT(CN31^2+CO31^2)*SQRT(BQ31^2+BR31^2)*SQRT(CE31^2+CF31^2))</f>
        <v>309.0333010748156</v>
      </c>
      <c r="CT31" s="113">
        <f t="shared" si="5"/>
        <v>1</v>
      </c>
      <c r="CU31" s="163">
        <f>IF(G31=3,SQRT(3),2)</f>
        <v>1.7320508075688772</v>
      </c>
      <c r="CV31" s="156">
        <v>1</v>
      </c>
      <c r="CW31" s="156">
        <f>X32*1.17*(AU32/K31)/((AU32/K31)^2+0.17)</f>
        <v>228.74627238472533</v>
      </c>
      <c r="CX31" s="164">
        <f>AO32/CW31</f>
        <v>2.3075288273137513</v>
      </c>
      <c r="CY31" s="156">
        <f>IF(AB31="Ｓ-Ｄ",0.57735,1)</f>
        <v>1</v>
      </c>
      <c r="CZ31" s="156"/>
      <c r="DA31" s="156"/>
      <c r="DB31" s="156"/>
    </row>
    <row r="32" spans="2:106" ht="24" customHeight="1" x14ac:dyDescent="0.15">
      <c r="E32" s="313"/>
      <c r="F32" s="314"/>
      <c r="G32" s="315"/>
      <c r="H32" s="219"/>
      <c r="I32" s="316"/>
      <c r="J32" s="219"/>
      <c r="K32" s="317"/>
      <c r="L32" s="221"/>
      <c r="M32" s="318"/>
      <c r="N32" s="319"/>
      <c r="O32" s="320"/>
      <c r="P32" s="321"/>
      <c r="Q32" s="199"/>
      <c r="R32" s="205"/>
      <c r="S32" s="322"/>
      <c r="T32" s="134">
        <f>IF(AU32="","",K31*SQRT(CJ31^2+CK31^2)/SQRT(CN31^2+CO31^2))</f>
        <v>215.9759999149795</v>
      </c>
      <c r="U32" s="254"/>
      <c r="V32" s="258"/>
      <c r="W32" s="265"/>
      <c r="X32" s="126">
        <f>IF(X31=0,"",X31*1000/(Y31*Z31*K31*SQRT(G31)))</f>
        <v>224.17529372188858</v>
      </c>
      <c r="Y32" s="203"/>
      <c r="Z32" s="203"/>
      <c r="AA32" s="256"/>
      <c r="AB32" s="78">
        <v>3</v>
      </c>
      <c r="AC32" s="107">
        <f>IF(AV31="","",CT31*AV31/100)</f>
        <v>0.95176625235308532</v>
      </c>
      <c r="AD32" s="252"/>
      <c r="AE32" s="201"/>
      <c r="AF32" s="93" t="s">
        <v>73</v>
      </c>
      <c r="AG32" s="94">
        <v>150</v>
      </c>
      <c r="AH32" s="95">
        <v>1</v>
      </c>
      <c r="AI32" s="96">
        <v>15</v>
      </c>
      <c r="AJ32" s="129">
        <f t="shared" si="0"/>
        <v>2.1644749431417147</v>
      </c>
      <c r="AK32" s="130">
        <f>IF(AF32="","",IF(AF32="IV",(M31/50)*BJ32*AI32,(M31/50)*BJ32*AI32/AH32))</f>
        <v>2.8620000000000001</v>
      </c>
      <c r="AL32" s="98" t="s">
        <v>103</v>
      </c>
      <c r="AM32" s="99"/>
      <c r="AN32" s="102"/>
      <c r="AO32" s="104">
        <f>IF(X31="","",K31/SQRT(CN31^2+CO31^2))</f>
        <v>527.83861766831717</v>
      </c>
      <c r="AP32" s="66">
        <v>60</v>
      </c>
      <c r="AQ32" s="120">
        <f>IF(AF31="","",SQRT(G31)*CS32*((AJ31/1000)*COS(ATAN(CF31/CE31))+(AK31/1000)*SIN(ATAN(CF31/CE31))))</f>
        <v>2.1145462186005552</v>
      </c>
      <c r="AR32" s="110">
        <f>IF(AQ32="","",AQ32*100/K31)</f>
        <v>0.96115737209116137</v>
      </c>
      <c r="AS32" s="118">
        <f>IF(AF32="","",CY31*SQRT(G31)*CS31*((AJ32/1000)*COS(ATAN(BR31/BQ31))+(AK32/1000)*SIN(ATAN(BR31/BQ31))))</f>
        <v>1.7164348009393728</v>
      </c>
      <c r="AT32" s="111">
        <f>IF(AS32="","",AS32*100/K31)</f>
        <v>0.78019763679062404</v>
      </c>
      <c r="AU32" s="112">
        <f>IF(X31="","",CS31*SQRT(BL31^2+BM31^2))</f>
        <v>213.76570131779221</v>
      </c>
      <c r="AV32" s="132">
        <f>IF(AU31="","",AU32*100/K31)</f>
        <v>97.16622787172372</v>
      </c>
      <c r="AW32" s="115" t="s">
        <v>102</v>
      </c>
      <c r="AX32" s="156">
        <v>0.7048517941993</v>
      </c>
      <c r="AY32" s="166">
        <f>IF(X31="","",IF(OR(AJ31="",AK31=""),K31/SQRT((BU31+BE31)^2+(BV31+BF31)^2),K31/SQRT((BU31+(AJ31/1000)+BE31)^2+(BV31+(AK31/1000)+BF31)^2)))</f>
        <v>312.12671720609484</v>
      </c>
      <c r="AZ32" s="159"/>
      <c r="BA32" s="159"/>
      <c r="BB32" s="167"/>
      <c r="BC32" s="158"/>
      <c r="BD32" s="158"/>
      <c r="BE32" s="159"/>
      <c r="BF32" s="159"/>
      <c r="BG32" s="160"/>
      <c r="BH32" s="160" t="b">
        <f t="shared" si="1"/>
        <v>0</v>
      </c>
      <c r="BI32" s="159" t="b">
        <f t="shared" si="2"/>
        <v>0</v>
      </c>
      <c r="BJ32" s="159">
        <f t="shared" si="3"/>
        <v>0.159</v>
      </c>
      <c r="BK32" s="159">
        <f t="shared" si="4"/>
        <v>8.3900000000000002E-2</v>
      </c>
      <c r="BL32" s="159">
        <f>AX32</f>
        <v>0.7048517941993</v>
      </c>
      <c r="BM32" s="160"/>
      <c r="BN32" s="160"/>
      <c r="BO32" s="160"/>
      <c r="BP32" s="168"/>
      <c r="BQ32" s="168"/>
      <c r="BR32" s="156"/>
      <c r="BS32" s="156"/>
      <c r="BT32" s="169"/>
      <c r="BU32" s="169"/>
      <c r="BV32" s="170"/>
      <c r="BW32" s="169"/>
      <c r="BX32" s="169"/>
      <c r="BY32" s="169"/>
      <c r="BZ32" s="169"/>
      <c r="CA32" s="169"/>
      <c r="CB32" s="169"/>
      <c r="CC32" s="169"/>
      <c r="CD32" s="169"/>
      <c r="CE32" s="169"/>
      <c r="CF32" s="169"/>
      <c r="CG32" s="169"/>
      <c r="CH32" s="169"/>
      <c r="CI32" s="169"/>
      <c r="CJ32" s="163"/>
      <c r="CK32" s="163"/>
      <c r="CL32" s="163"/>
      <c r="CM32" s="163"/>
      <c r="CN32" s="163"/>
      <c r="CO32" s="163"/>
      <c r="CP32" s="163"/>
      <c r="CQ32" s="163"/>
      <c r="CR32" s="163">
        <f>K31*SQRT(CL31^2+CM31^2)/(SQRT(CP31^2+CQ31^2)*SQRT(CG31^2+CH31^2))</f>
        <v>709.810615248158</v>
      </c>
      <c r="CS32" s="163">
        <f>K31*SQRT(CJ31^2+CK31^2)/(SQRT(CN31^2+CO31^2)*SQRT(CE31^2+CF31^2))</f>
        <v>527.83861766831717</v>
      </c>
      <c r="CT32" s="113">
        <f t="shared" si="5"/>
        <v>0</v>
      </c>
      <c r="CU32" s="163"/>
      <c r="CV32" s="156">
        <v>0</v>
      </c>
      <c r="CW32" s="156"/>
      <c r="CX32" s="156"/>
      <c r="CY32" s="156"/>
      <c r="CZ32" s="156"/>
      <c r="DA32" s="156"/>
      <c r="DB32" s="156"/>
    </row>
    <row r="33" spans="5:106" ht="24" customHeight="1" x14ac:dyDescent="0.15">
      <c r="E33" s="303"/>
      <c r="F33" s="304"/>
      <c r="G33" s="305"/>
      <c r="H33" s="218" t="str">
        <f>IF(G33="","","φ")</f>
        <v/>
      </c>
      <c r="I33" s="306"/>
      <c r="J33" s="218" t="str">
        <f>IF(I33="","","W")</f>
        <v/>
      </c>
      <c r="K33" s="307"/>
      <c r="L33" s="220" t="str">
        <f>IF(K33="","","V")</f>
        <v/>
      </c>
      <c r="M33" s="308"/>
      <c r="N33" s="309"/>
      <c r="O33" s="310"/>
      <c r="P33" s="311"/>
      <c r="Q33" s="198" t="str">
        <f>IF(O33="","",IF(OR(N33="油入自冷",N33="モ－ルド絶縁"),IF(G33=1,SQRT(AY33^2+AZ33^2),IF(G33=3,SQRT(BA33^2+BB33^2))),SQRT(BC33^2+BD33^2)))</f>
        <v/>
      </c>
      <c r="R33" s="204" t="str">
        <f>IF(P33="","",(O33*1000*P33)/(SQRT(G33)*K33))</f>
        <v/>
      </c>
      <c r="S33" s="312"/>
      <c r="T33" s="125" t="str">
        <f>IF(AU33="","",K33*SQRT(CL33^2+CM33^2)/SQRT(CP33^2+CQ33^2))</f>
        <v/>
      </c>
      <c r="U33" s="253"/>
      <c r="V33" s="257"/>
      <c r="W33" s="264" t="str">
        <f>IF(OR(U33="",V33=""),"",(U33/V33))</f>
        <v/>
      </c>
      <c r="X33" s="76"/>
      <c r="Y33" s="202" t="str">
        <f>IF(X33="","",VLOOKUP(X33,Ｍ,2,FALSE))</f>
        <v/>
      </c>
      <c r="Z33" s="202" t="str">
        <f>IF(X33="","",VLOOKUP(X33,Ｍ,3,FALSE))</f>
        <v/>
      </c>
      <c r="AA33" s="255"/>
      <c r="AB33" s="79"/>
      <c r="AC33" s="127" t="str">
        <f>IF(N(BG33)=0,"",BG33*X33*AB34*1000/(K33*SQRT(G33)))</f>
        <v/>
      </c>
      <c r="AD33" s="251" t="str">
        <f>IF(N(BH33+BI33)=0,"",N(BH33+BI33))</f>
        <v/>
      </c>
      <c r="AE33" s="200"/>
      <c r="AF33" s="97"/>
      <c r="AG33" s="88"/>
      <c r="AH33" s="89"/>
      <c r="AI33" s="90"/>
      <c r="AJ33" s="128" t="str">
        <f t="shared" si="0"/>
        <v/>
      </c>
      <c r="AK33" s="128" t="str">
        <f>IF(AF33="","",IF(AF33="IV",(M33/50)*BJ33*AI33,(M33/50)*BJ33*AI33/AH33))</f>
        <v/>
      </c>
      <c r="AL33" s="91"/>
      <c r="AM33" s="92"/>
      <c r="AN33" s="101" t="str">
        <f>IF(X33="","",K33/SQRT(CP33^2+CQ33^2))</f>
        <v/>
      </c>
      <c r="AO33" s="103"/>
      <c r="AP33" s="100"/>
      <c r="AQ33" s="119" t="str">
        <f>IF(AF33="","",SQRT(G33)*CR34*((AJ33/1000)*COS(ATAN(CH33/CG33))+(AK33/1000)*SIN(ATAN(CH33/CG33))))</f>
        <v/>
      </c>
      <c r="AR33" s="108" t="str">
        <f>IF(AQ33="","",AQ33*100/K33)</f>
        <v/>
      </c>
      <c r="AS33" s="117" t="str">
        <f>IF(AF34="","",SQRT(G33)*CR33*((AJ34/1000)*COS(ATAN(BT33/BS33))+(AK34/1000)*SIN(ATAN(BT33/BS33))))</f>
        <v/>
      </c>
      <c r="AT33" s="108" t="str">
        <f>IF(AS33="","",AS33*100/K33)</f>
        <v/>
      </c>
      <c r="AU33" s="109" t="str">
        <f>IF(X33="","",CR33*SQRT(BN33^2+BO33^2))</f>
        <v/>
      </c>
      <c r="AV33" s="131" t="str">
        <f>IF(AU33="","",AU33*100/K33)</f>
        <v/>
      </c>
      <c r="AW33" s="114"/>
      <c r="AX33" s="156" t="e">
        <f>AY34/CW33</f>
        <v>#VALUE!</v>
      </c>
      <c r="AY33" s="158" t="str">
        <f>IF(G33="","",IF(AND(G33=1,M33=50,N33="油入自冷"),VLOOKUP(O33,変１,2,FALSE),IF(AND(G33=1,M33=50,N33="モ－ルド絶縁"),VLOOKUP(O33,変１,7,FALSE),IF(AND(G33=1,M33=60,N33="油入自冷"),VLOOKUP(O33,変１,12,FALSE),IF(AND(G33=1,M33=60,N33="モ－ルド絶縁"),VLOOKUP(O33,変１,17,FALSE),FALSE)))))</f>
        <v/>
      </c>
      <c r="AZ33" s="158" t="str">
        <f>IF(G33="","",IF(AND(G33=1,M33=50,N33="油入自冷"),VLOOKUP(O33,変１,3,FALSE),IF(AND(G33=1,M33=50,N33="モ－ルド絶縁"),VLOOKUP(O33,変１,8,FALSE),IF(AND(G33=1,M33=60,N33="油入自冷"),VLOOKUP(O33,変１,13,FALSE),IF(AND(G33=1,M33=60,N33="モ－ルド絶縁"),VLOOKUP(O33,変１,18,FALSE),FALSE)))))</f>
        <v/>
      </c>
      <c r="BA33" s="158" t="str">
        <f>IF(G33="","",IF(AND(G33=3,M33=50,N33="油入自冷"),VLOOKUP(O33,変３,2,FALSE),IF(AND(G33=3,M33=50,N33="モ－ルド絶縁"),VLOOKUP(O33,変３,7,FALSE),IF(AND(G33=3,M33=60,N33="油入自冷"),VLOOKUP(O33,変３,12,FALSE),IF(AND(G33=3,M33=60,N33="モ－ルド絶縁"),VLOOKUP(O33,変３,17,FALSE),FALSE)))))</f>
        <v/>
      </c>
      <c r="BB33" s="158" t="str">
        <f>IF(G33="","",IF(AND(G33=3,M33=50,N33="油入自冷"),VLOOKUP(O33,変３,3,FALSE),IF(AND(G33=3,M33=50,N33="モ－ルド絶縁"),VLOOKUP(O33,変３,8,FALSE),IF(AND(G33=3,M33=60,N33="油入自冷"),VLOOKUP(O33,変３,13,FALSE),IF(AND(G33=3,M33=60,N33="モ－ルド絶縁"),VLOOKUP(O33,変３,18,FALSE),FALSE)))))</f>
        <v/>
      </c>
      <c r="BC33" s="158">
        <f>IF(ISNA(VLOOKUP(O33,変ＵＳＥＲ,2,FALSE)),0,VLOOKUP(O33,変ＵＳＥＲ,2,FALSE))</f>
        <v>0</v>
      </c>
      <c r="BD33" s="158">
        <f>IF(ISNA(VLOOKUP(O33,変ＵＳＥＲ,3,FALSE)),0,VLOOKUP(O33,変ＵＳＥＲ,3,FALSE)*M33/50)</f>
        <v>0</v>
      </c>
      <c r="BE33" s="159" t="e">
        <f>SQRT(G33)*(K33^2)*(N(AY33)+N(BA33)+N(BC33))/(100000*O33*P33)</f>
        <v>#DIV/0!</v>
      </c>
      <c r="BF33" s="159" t="e">
        <f>SQRT(G33)*(K33^2)*(N(AZ33)+N(BB33)+N(BD33))/(100000*O33*P33)</f>
        <v>#DIV/0!</v>
      </c>
      <c r="BG33" s="160" t="b">
        <f>IF(AB33="直 入",1,IF(AB33="Ｓ-Ｄ",1/3,IF(AB33="ﾘｱｸﾄﾙ50%",0.5,IF(AB33="ﾘｱｸﾄﾙ60%",0.6,IF(AB33="ﾘｱｸﾄﾙ80%",0.8,IF(AB33="ｺﾝﾄﾞﾙﾌｧ50%",0.25,IF(AB33="ｺﾝﾄﾞﾙﾌｧ65%",0.4225,IF(AB33="ｺﾝﾄﾞﾙﾌｧ80%",0.64,FALSE))))))))</f>
        <v>0</v>
      </c>
      <c r="BH33" s="160" t="b">
        <f t="shared" si="1"/>
        <v>0</v>
      </c>
      <c r="BI33" s="159" t="b">
        <f t="shared" si="2"/>
        <v>0</v>
      </c>
      <c r="BJ33" s="159" t="e">
        <f t="shared" si="3"/>
        <v>#N/A</v>
      </c>
      <c r="BK33" s="159" t="e">
        <f t="shared" si="4"/>
        <v>#N/A</v>
      </c>
      <c r="BL33" s="159" t="e">
        <f>IF(N(BL34)=0,SQRT(G33)*K33^2*Z33^2*Y33/(1000*X33),BL34*SQRT(G33)*K33^2*Z33^2*Y33/(1000*X33))</f>
        <v>#VALUE!</v>
      </c>
      <c r="BM33" s="159" t="e">
        <f>BL33*(TAN(ACOS(Z33)))</f>
        <v>#VALUE!</v>
      </c>
      <c r="BN33" s="160" t="e">
        <f>K33*AA33/AC33</f>
        <v>#VALUE!</v>
      </c>
      <c r="BO33" s="160" t="e">
        <f>BN33*(TAN(ACOS(AA33)))</f>
        <v>#VALUE!</v>
      </c>
      <c r="BP33" s="161">
        <f>IF(AE33=0,2*3.141592654*M33*N(AD33)*SQRT(G33)/1000000,AE33*1000*SQRT(G33)/K33^2)</f>
        <v>0</v>
      </c>
      <c r="BQ33" s="162" t="e">
        <f>BL33+(AJ34/1000)</f>
        <v>#VALUE!</v>
      </c>
      <c r="BR33" s="163" t="e">
        <f>BM33+(AK34/1000)</f>
        <v>#VALUE!</v>
      </c>
      <c r="BS33" s="163" t="e">
        <f>BN33+(AJ34/1000)</f>
        <v>#VALUE!</v>
      </c>
      <c r="BT33" s="163" t="e">
        <f>BO33+(AK34/1000)</f>
        <v>#VALUE!</v>
      </c>
      <c r="BU33" s="164" t="e">
        <f>BQ33/((BP33*BQ33)^2+(BP33*BR33-1)^2)</f>
        <v>#VALUE!</v>
      </c>
      <c r="BV33" s="165" t="e">
        <f>(BR33-BP33*(BQ33^2+BR33^2))/((BP33*BQ33)^2+(BP33*BR33-1)^2)</f>
        <v>#VALUE!</v>
      </c>
      <c r="BW33" s="163" t="e">
        <f>BS33/((BP33*BS33)^2+(BP33*BT33-1)^2)</f>
        <v>#VALUE!</v>
      </c>
      <c r="BX33" s="163" t="e">
        <f>(BT33-BP33*(BS33^2+BT33^2))/((BP33*BS33)^2+(BP33*BT33-1)^2)</f>
        <v>#VALUE!</v>
      </c>
      <c r="BY33" s="164">
        <f>IF(U33=0,10^20,K33^2*CU33*V33/(1000*W33))</f>
        <v>1E+20</v>
      </c>
      <c r="BZ33" s="164">
        <f>IF(U33=0,10^20,BY33*TAN(ACOS(V33)))</f>
        <v>1E+20</v>
      </c>
      <c r="CA33" s="163" t="e">
        <f>(BU33*(BY33^2+BZ33^2)+BY33*(BU33^2+BV33^2))/((BU33+BY33)^2+(BV33+BZ33)^2)</f>
        <v>#VALUE!</v>
      </c>
      <c r="CB33" s="163" t="e">
        <f>(BZ33*(BU33^2+BV33^2)+BV33*(BY33^2+BZ33^2))/((BU33+BY33)^2+(BV33+BZ33)^2)</f>
        <v>#VALUE!</v>
      </c>
      <c r="CC33" s="163" t="e">
        <f>(BW33*(BY33^2+BZ33^2)+BY33*(BW33^2+BX33^2))/((BW33+BY33)^2+(BX33+BZ33)^2)</f>
        <v>#VALUE!</v>
      </c>
      <c r="CD33" s="163" t="e">
        <f>(BZ33*(BW33^2+BX33^2)+BX33*(BY33^2+BZ33^2))/((BW33+BY33)^2+(BX33+BZ33)^2)</f>
        <v>#VALUE!</v>
      </c>
      <c r="CE33" s="163" t="e">
        <f>CA33+(N(AJ33)/1000)</f>
        <v>#VALUE!</v>
      </c>
      <c r="CF33" s="163" t="e">
        <f>CB33+(N(AK33)/1000)</f>
        <v>#VALUE!</v>
      </c>
      <c r="CG33" s="163" t="e">
        <f>CC33+(N(AJ33)/1000)</f>
        <v>#VALUE!</v>
      </c>
      <c r="CH33" s="163" t="e">
        <f>CD33+(N(AK33)/1000)</f>
        <v>#VALUE!</v>
      </c>
      <c r="CI33" s="163" t="e">
        <f>S33*1000/K33^2/SQRT(G33)</f>
        <v>#DIV/0!</v>
      </c>
      <c r="CJ33" s="163" t="e">
        <f>CE33/((CI33*CE33)^2+(CI33*CF33-1)^2)</f>
        <v>#VALUE!</v>
      </c>
      <c r="CK33" s="163" t="e">
        <f>(CF33-CI33*(CE33^2+CF33^2))/((CI33*CE33)^2+(CI33*CF33-1)^2)</f>
        <v>#VALUE!</v>
      </c>
      <c r="CL33" s="163" t="e">
        <f>CG33/((CI33*CG33)^2+(CI33*CH33-1)^2)</f>
        <v>#VALUE!</v>
      </c>
      <c r="CM33" s="163" t="e">
        <f>(CH33-CI33*(CG33^2+CH33^2))/((CI33*CG33)^2+(CI33*CH33-1)^2)</f>
        <v>#VALUE!</v>
      </c>
      <c r="CN33" s="163" t="e">
        <f>CJ33+BE33</f>
        <v>#VALUE!</v>
      </c>
      <c r="CO33" s="163" t="e">
        <f>CK33+BF33</f>
        <v>#VALUE!</v>
      </c>
      <c r="CP33" s="163" t="e">
        <f>CL33+BE33</f>
        <v>#VALUE!</v>
      </c>
      <c r="CQ33" s="163" t="e">
        <f>CM33+BF33</f>
        <v>#VALUE!</v>
      </c>
      <c r="CR33" s="163" t="e">
        <f>K33*SQRT(CC33^2+CD33^2)*SQRT(CL33^2+CM33^2)/(SQRT(CP33^2+CQ33^2)*SQRT(BS33^2+BT33^2)*SQRT(CG33^2+CH33^2))</f>
        <v>#VALUE!</v>
      </c>
      <c r="CS33" s="163" t="e">
        <f>K33*SQRT(CA33^2+CB33^2)*SQRT(CJ33^2+CK33^2)/(SQRT(CN33^2+CO33^2)*SQRT(BQ33^2+BR33^2)*SQRT(CE33^2+CF33^2))</f>
        <v>#VALUE!</v>
      </c>
      <c r="CT33" s="113">
        <f t="shared" si="5"/>
        <v>0.3333333432674408</v>
      </c>
      <c r="CU33" s="163">
        <f>IF(G33=3,SQRT(3),2)</f>
        <v>2</v>
      </c>
      <c r="CV33" s="156">
        <v>0.3333333432674408</v>
      </c>
      <c r="CW33" s="156" t="e">
        <f>X34*1.17*(AU34/K33)/((AU34/K33)^2+0.17)</f>
        <v>#VALUE!</v>
      </c>
      <c r="CX33" s="164" t="e">
        <f>AO34/CW33</f>
        <v>#VALUE!</v>
      </c>
      <c r="CY33" s="156">
        <f>IF(AB33="Ｓ-Ｄ",0.57735,1)</f>
        <v>1</v>
      </c>
      <c r="CZ33" s="156"/>
      <c r="DA33" s="156"/>
      <c r="DB33" s="156"/>
    </row>
    <row r="34" spans="5:106" ht="24" customHeight="1" x14ac:dyDescent="0.15">
      <c r="E34" s="313"/>
      <c r="F34" s="314"/>
      <c r="G34" s="315"/>
      <c r="H34" s="219"/>
      <c r="I34" s="316"/>
      <c r="J34" s="219"/>
      <c r="K34" s="317"/>
      <c r="L34" s="221"/>
      <c r="M34" s="318"/>
      <c r="N34" s="319"/>
      <c r="O34" s="320"/>
      <c r="P34" s="321"/>
      <c r="Q34" s="199"/>
      <c r="R34" s="205"/>
      <c r="S34" s="322"/>
      <c r="T34" s="134" t="str">
        <f>IF(AU34="","",K33*SQRT(CJ33^2+CK33^2)/SQRT(CN33^2+CO33^2))</f>
        <v/>
      </c>
      <c r="U34" s="254"/>
      <c r="V34" s="258"/>
      <c r="W34" s="265"/>
      <c r="X34" s="126" t="str">
        <f>IF(X33=0,"",X33*1000/(Y33*Z33*K33*SQRT(G33)))</f>
        <v/>
      </c>
      <c r="Y34" s="203"/>
      <c r="Z34" s="203"/>
      <c r="AA34" s="256"/>
      <c r="AB34" s="78"/>
      <c r="AC34" s="107" t="str">
        <f>IF(AV33="","",CT33*AV33/100)</f>
        <v/>
      </c>
      <c r="AD34" s="252"/>
      <c r="AE34" s="201"/>
      <c r="AF34" s="93"/>
      <c r="AG34" s="94"/>
      <c r="AH34" s="95"/>
      <c r="AI34" s="96"/>
      <c r="AJ34" s="129" t="str">
        <f t="shared" si="0"/>
        <v/>
      </c>
      <c r="AK34" s="130" t="str">
        <f>IF(AF34="","",IF(AF34="IV",(M33/50)*BJ34*AI34,(M33/50)*BJ34*AI34/AH34))</f>
        <v/>
      </c>
      <c r="AL34" s="98"/>
      <c r="AM34" s="99"/>
      <c r="AN34" s="102"/>
      <c r="AO34" s="104" t="str">
        <f>IF(X33="","",K33/SQRT(CN33^2+CO33^2))</f>
        <v/>
      </c>
      <c r="AP34" s="66"/>
      <c r="AQ34" s="120" t="str">
        <f>IF(AF33="","",SQRT(G33)*CS34*((AJ33/1000)*COS(ATAN(CF33/CE33))+(AK33/1000)*SIN(ATAN(CF33/CE33))))</f>
        <v/>
      </c>
      <c r="AR34" s="110" t="str">
        <f>IF(AQ34="","",AQ34*100/K33)</f>
        <v/>
      </c>
      <c r="AS34" s="118" t="str">
        <f>IF(AF34="","",CY33*SQRT(G33)*CS33*((AJ34/1000)*COS(ATAN(BR33/BQ33))+(AK34/1000)*SIN(ATAN(BR33/BQ33))))</f>
        <v/>
      </c>
      <c r="AT34" s="111" t="str">
        <f>IF(AS34="","",AS34*100/K33)</f>
        <v/>
      </c>
      <c r="AU34" s="112" t="str">
        <f>IF(X33="","",CS33*SQRT(BL33^2+BM33^2))</f>
        <v/>
      </c>
      <c r="AV34" s="132" t="str">
        <f>IF(AU33="","",AU34*100/K33)</f>
        <v/>
      </c>
      <c r="AW34" s="115"/>
      <c r="AX34" s="156">
        <v>0.66492873915631434</v>
      </c>
      <c r="AY34" s="166" t="str">
        <f>IF(X33="","",IF(OR(AJ33="",AK33=""),K33/SQRT((BU33+BE33)^2+(BV33+BF33)^2),K33/SQRT((BU33+(AJ33/1000)+BE33)^2+(BV33+(AK33/1000)+BF33)^2)))</f>
        <v/>
      </c>
      <c r="AZ34" s="159"/>
      <c r="BA34" s="159"/>
      <c r="BB34" s="167"/>
      <c r="BC34" s="158"/>
      <c r="BD34" s="158"/>
      <c r="BE34" s="159"/>
      <c r="BF34" s="159"/>
      <c r="BG34" s="160"/>
      <c r="BH34" s="160" t="b">
        <f t="shared" si="1"/>
        <v>0</v>
      </c>
      <c r="BI34" s="159" t="b">
        <f t="shared" si="2"/>
        <v>0</v>
      </c>
      <c r="BJ34" s="159" t="e">
        <f t="shared" si="3"/>
        <v>#N/A</v>
      </c>
      <c r="BK34" s="159" t="e">
        <f t="shared" si="4"/>
        <v>#N/A</v>
      </c>
      <c r="BL34" s="159">
        <f>AX34</f>
        <v>0.66492873915631434</v>
      </c>
      <c r="BM34" s="160"/>
      <c r="BN34" s="160"/>
      <c r="BO34" s="160"/>
      <c r="BP34" s="168"/>
      <c r="BQ34" s="168"/>
      <c r="BR34" s="156"/>
      <c r="BS34" s="156"/>
      <c r="BT34" s="169"/>
      <c r="BU34" s="169"/>
      <c r="BV34" s="170"/>
      <c r="BW34" s="169"/>
      <c r="BX34" s="169"/>
      <c r="BY34" s="169"/>
      <c r="BZ34" s="169"/>
      <c r="CA34" s="169"/>
      <c r="CB34" s="169"/>
      <c r="CC34" s="169"/>
      <c r="CD34" s="169"/>
      <c r="CE34" s="169"/>
      <c r="CF34" s="169"/>
      <c r="CG34" s="169"/>
      <c r="CH34" s="169"/>
      <c r="CI34" s="169"/>
      <c r="CJ34" s="163"/>
      <c r="CK34" s="163"/>
      <c r="CL34" s="163"/>
      <c r="CM34" s="163"/>
      <c r="CN34" s="163"/>
      <c r="CO34" s="163"/>
      <c r="CP34" s="163"/>
      <c r="CQ34" s="163"/>
      <c r="CR34" s="163" t="e">
        <f>K33*SQRT(CL33^2+CM33^2)/(SQRT(CP33^2+CQ33^2)*SQRT(CG33^2+CH33^2))</f>
        <v>#VALUE!</v>
      </c>
      <c r="CS34" s="163" t="e">
        <f>K33*SQRT(CJ33^2+CK33^2)/(SQRT(CN33^2+CO33^2)*SQRT(CE33^2+CF33^2))</f>
        <v>#VALUE!</v>
      </c>
      <c r="CT34" s="113">
        <f t="shared" si="5"/>
        <v>0</v>
      </c>
      <c r="CU34" s="163"/>
      <c r="CV34" s="156">
        <v>0</v>
      </c>
      <c r="CW34" s="156"/>
      <c r="CX34" s="156"/>
      <c r="CY34" s="156"/>
      <c r="CZ34" s="156"/>
      <c r="DA34" s="156"/>
      <c r="DB34" s="156"/>
    </row>
    <row r="35" spans="5:106" ht="24" customHeight="1" x14ac:dyDescent="0.15">
      <c r="E35" s="303" t="s">
        <v>142</v>
      </c>
      <c r="F35" s="304" t="s">
        <v>147</v>
      </c>
      <c r="G35" s="305">
        <v>3</v>
      </c>
      <c r="H35" s="218" t="str">
        <f>IF(G35="","","φ")</f>
        <v>φ</v>
      </c>
      <c r="I35" s="306" t="s">
        <v>92</v>
      </c>
      <c r="J35" s="218" t="str">
        <f>IF(I35="","","W")</f>
        <v>W</v>
      </c>
      <c r="K35" s="307">
        <v>210</v>
      </c>
      <c r="L35" s="220" t="str">
        <f>IF(K35="","","V")</f>
        <v>V</v>
      </c>
      <c r="M35" s="308">
        <v>60</v>
      </c>
      <c r="N35" s="309" t="s">
        <v>93</v>
      </c>
      <c r="O35" s="310">
        <v>300</v>
      </c>
      <c r="P35" s="311">
        <v>1</v>
      </c>
      <c r="Q35" s="198">
        <f>IF(O35="","",IF(OR(N35="油入自冷",N35="モ－ルド絶縁"),IF(G35=1,SQRT(AY35^2+AZ35^2),IF(G35=3,SQRT(BA35^2+BB35^2))),SQRT(BC35^2+BD35^2)))</f>
        <v>3.5518586683594267</v>
      </c>
      <c r="R35" s="204">
        <f>IF(P35="","",(O35*1000*P35)/(SQRT(G35)*K35))</f>
        <v>824.78609884232264</v>
      </c>
      <c r="S35" s="312"/>
      <c r="T35" s="125">
        <f>IF(AU35="","",K35*SQRT(CL35^2+CM35^2)/SQRT(CP35^2+CQ35^2))</f>
        <v>201.89805348562214</v>
      </c>
      <c r="U35" s="253">
        <v>153.4</v>
      </c>
      <c r="V35" s="257">
        <v>0.89800000000000002</v>
      </c>
      <c r="W35" s="264">
        <f>IF(OR(U35="",V35=""),"",(U35/V35))</f>
        <v>170.82405345211581</v>
      </c>
      <c r="X35" s="76">
        <v>70.956000000000003</v>
      </c>
      <c r="Y35" s="202">
        <f>IF(X35="","",VLOOKUP(X35,Ｍ,2,FALSE))</f>
        <v>0.92500000000000004</v>
      </c>
      <c r="Z35" s="202">
        <f>IF(X35="","",VLOOKUP(X35,Ｍ,3,FALSE))</f>
        <v>0.89800000000000002</v>
      </c>
      <c r="AA35" s="255">
        <v>0.4</v>
      </c>
      <c r="AB35" s="79" t="s">
        <v>94</v>
      </c>
      <c r="AC35" s="127">
        <f>IF(N(BG35)=0,"",BG35*X35*AB36*1000/(K35*SQRT(G35)))</f>
        <v>585.23522429455841</v>
      </c>
      <c r="AD35" s="251" t="str">
        <f>IF(N(BH35+BI35)=0,"",N(BH35+BI35))</f>
        <v/>
      </c>
      <c r="AE35" s="200"/>
      <c r="AF35" s="97" t="s">
        <v>73</v>
      </c>
      <c r="AG35" s="88">
        <v>200</v>
      </c>
      <c r="AH35" s="89">
        <v>3</v>
      </c>
      <c r="AI35" s="90">
        <v>29</v>
      </c>
      <c r="AJ35" s="128">
        <f t="shared" si="0"/>
        <v>1.025464956996837</v>
      </c>
      <c r="AK35" s="128">
        <f>IF(AF35="","",IF(AF35="IV",(M35/50)*BJ35*AI35,(M35/50)*BJ35*AI35/AH35))</f>
        <v>1.4036</v>
      </c>
      <c r="AL35" s="91" t="s">
        <v>104</v>
      </c>
      <c r="AM35" s="92"/>
      <c r="AN35" s="101">
        <f>IF(X35="","",K35/SQRT(CP35^2+CQ35^2))</f>
        <v>940.84373374606696</v>
      </c>
      <c r="AO35" s="103"/>
      <c r="AP35" s="100">
        <v>50</v>
      </c>
      <c r="AQ35" s="119">
        <f>IF(AF35="","",SQRT(G35)*CR36*((AJ35/1000)*COS(ATAN(CH35/CG35))+(AK35/1000)*SIN(ATAN(CH35/CG35))))</f>
        <v>2.8202045849744581</v>
      </c>
      <c r="AR35" s="108">
        <f>IF(AQ35="","",AQ35*100/K35)</f>
        <v>1.3429545642735514</v>
      </c>
      <c r="AS35" s="117">
        <f>IF(AF36="","",SQRT(G35)*CR35*((AJ36/1000)*COS(ATAN(BT35/BS35))+(AK36/1000)*SIN(ATAN(BT35/BS35))))</f>
        <v>3.0028916864238937</v>
      </c>
      <c r="AT35" s="108">
        <f>IF(AS35="","",AS35*100/K35)</f>
        <v>1.4299484221066161</v>
      </c>
      <c r="AU35" s="109">
        <f>IF(X35="","",CR35*SQRT(BN35^2+BO35^2))</f>
        <v>198.53645947059152</v>
      </c>
      <c r="AV35" s="131">
        <f>IF(AU35="","",AU35*100/K35)</f>
        <v>94.541171176472147</v>
      </c>
      <c r="AW35" s="114" t="s">
        <v>140</v>
      </c>
      <c r="AX35" s="156">
        <f>AY36/CW35</f>
        <v>1.3625976737049506</v>
      </c>
      <c r="AY35" s="158" t="b">
        <f>IF(G35="","",IF(AND(G35=1,M35=50,N35="油入自冷"),VLOOKUP(O35,変１,2,FALSE),IF(AND(G35=1,M35=50,N35="モ－ルド絶縁"),VLOOKUP(O35,変１,7,FALSE),IF(AND(G35=1,M35=60,N35="油入自冷"),VLOOKUP(O35,変１,12,FALSE),IF(AND(G35=1,M35=60,N35="モ－ルド絶縁"),VLOOKUP(O35,変１,17,FALSE),FALSE)))))</f>
        <v>0</v>
      </c>
      <c r="AZ35" s="158" t="b">
        <f>IF(G35="","",IF(AND(G35=1,M35=50,N35="油入自冷"),VLOOKUP(O35,変１,3,FALSE),IF(AND(G35=1,M35=50,N35="モ－ルド絶縁"),VLOOKUP(O35,変１,8,FALSE),IF(AND(G35=1,M35=60,N35="油入自冷"),VLOOKUP(O35,変１,13,FALSE),IF(AND(G35=1,M35=60,N35="モ－ルド絶縁"),VLOOKUP(O35,変１,18,FALSE),FALSE)))))</f>
        <v>0</v>
      </c>
      <c r="BA35" s="158">
        <f>IF(G35="","",IF(AND(G35=3,M35=50,N35="油入自冷"),VLOOKUP(O35,変３,2,FALSE),IF(AND(G35=3,M35=50,N35="モ－ルド絶縁"),VLOOKUP(O35,変３,7,FALSE),IF(AND(G35=3,M35=60,N35="油入自冷"),VLOOKUP(O35,変３,12,FALSE),IF(AND(G35=3,M35=60,N35="モ－ルド絶縁"),VLOOKUP(O35,変３,17,FALSE),FALSE)))))</f>
        <v>1.41</v>
      </c>
      <c r="BB35" s="158">
        <f>IF(G35="","",IF(AND(G35=3,M35=50,N35="油入自冷"),VLOOKUP(O35,変３,3,FALSE),IF(AND(G35=3,M35=50,N35="モ－ルド絶縁"),VLOOKUP(O35,変３,8,FALSE),IF(AND(G35=3,M35=60,N35="油入自冷"),VLOOKUP(O35,変３,13,FALSE),IF(AND(G35=3,M35=60,N35="モ－ルド絶縁"),VLOOKUP(O35,変３,18,FALSE),FALSE)))))</f>
        <v>3.26</v>
      </c>
      <c r="BC35" s="158">
        <f>IF(ISNA(VLOOKUP(O35,変ＵＳＥＲ,2,FALSE)),0,VLOOKUP(O35,変ＵＳＥＲ,2,FALSE))</f>
        <v>0</v>
      </c>
      <c r="BD35" s="158">
        <f>IF(ISNA(VLOOKUP(O35,変ＵＳＥＲ,3,FALSE)),0,VLOOKUP(O35,変ＵＳＥＲ,3,FALSE)*M35/50)</f>
        <v>0</v>
      </c>
      <c r="BE35" s="159">
        <f>SQRT(G35)*(K35^2)*(N(AY35)+N(BA35)+N(BC35))/(100000*O35*P35)</f>
        <v>3.5900217088480116E-3</v>
      </c>
      <c r="BF35" s="159">
        <f>SQRT(G35)*(K35^2)*(N(AZ35)+N(BB35)+N(BD35))/(100000*O35*P35)</f>
        <v>8.3003338800315737E-3</v>
      </c>
      <c r="BG35" s="160">
        <f>IF(AB35="直 入",1,IF(AB35="Ｓ-Ｄ",1/3,IF(AB35="ﾘｱｸﾄﾙ50%",0.5,IF(AB35="ﾘｱｸﾄﾙ60%",0.6,IF(AB35="ﾘｱｸﾄﾙ80%",0.8,IF(AB35="ｺﾝﾄﾞﾙﾌｧ50%",0.25,IF(AB35="ｺﾝﾄﾞﾙﾌｧ65%",0.4225,IF(AB35="ｺﾝﾄﾞﾙﾌｧ80%",0.64,FALSE))))))))</f>
        <v>1</v>
      </c>
      <c r="BH35" s="160" t="b">
        <f t="shared" si="1"/>
        <v>0</v>
      </c>
      <c r="BI35" s="159">
        <f t="shared" si="2"/>
        <v>0</v>
      </c>
      <c r="BJ35" s="159">
        <f t="shared" si="3"/>
        <v>0.121</v>
      </c>
      <c r="BK35" s="159">
        <f t="shared" si="4"/>
        <v>8.4500000000000006E-2</v>
      </c>
      <c r="BL35" s="159">
        <f>IF(N(BL36)=0,SQRT(G35)*K35^2*Z35^2*Y35/(1000*X35),BL36*SQRT(G35)*K35^2*Z35^2*Y35/(1000*X35))</f>
        <v>0.56433778340311636</v>
      </c>
      <c r="BM35" s="159">
        <f>BL35*(TAN(ACOS(Z35)))</f>
        <v>0.27651008854385123</v>
      </c>
      <c r="BN35" s="160">
        <f>K35*AA35/AC35</f>
        <v>0.14353203039214441</v>
      </c>
      <c r="BO35" s="160">
        <f>BN35*(TAN(ACOS(AA35)))</f>
        <v>0.32887319696135187</v>
      </c>
      <c r="BP35" s="161">
        <f>IF(AE35=0,2*3.141592654*M35*N(AD35)*SQRT(G35)/1000000,AE35*1000*SQRT(G35)/K35^2)</f>
        <v>0</v>
      </c>
      <c r="BQ35" s="162">
        <f>BL35+(AJ36/1000)</f>
        <v>0.56618014149267792</v>
      </c>
      <c r="BR35" s="163">
        <f>BM35+(AK36/1000)</f>
        <v>0.27912368854385122</v>
      </c>
      <c r="BS35" s="163">
        <f>BN35+(AJ36/1000)</f>
        <v>0.145374388481706</v>
      </c>
      <c r="BT35" s="163">
        <f>BO35+(AK36/1000)</f>
        <v>0.33148679696135186</v>
      </c>
      <c r="BU35" s="164">
        <f>BQ35/((BP35*BQ35)^2+(BP35*BR35-1)^2)</f>
        <v>0.56618014149267792</v>
      </c>
      <c r="BV35" s="165">
        <f>(BR35-BP35*(BQ35^2+BR35^2))/((BP35*BQ35)^2+(BP35*BR35-1)^2)</f>
        <v>0.27912368854385122</v>
      </c>
      <c r="BW35" s="163">
        <f>BS35/((BP35*BS35)^2+(BP35*BT35-1)^2)</f>
        <v>0.145374388481706</v>
      </c>
      <c r="BX35" s="163">
        <f>(BT35-BP35*(BS35^2+BT35^2))/((BP35*BS35)^2+(BP35*BT35-1)^2)</f>
        <v>0.33148679696135186</v>
      </c>
      <c r="BY35" s="164">
        <f>IF(U35=0,10^20,K35^2*CU35*V35/(1000*W35))</f>
        <v>0.40153788816636699</v>
      </c>
      <c r="BZ35" s="164">
        <f>IF(U35=0,10^20,BY35*TAN(ACOS(V35)))</f>
        <v>0.19674258976787845</v>
      </c>
      <c r="CA35" s="163">
        <f>(BU35*(BY35^2+BZ35^2)+BY35*(BU35^2+BV35^2))/((BU35+BY35)^2+(BV35+BZ35)^2)</f>
        <v>0.23492709363878919</v>
      </c>
      <c r="CB35" s="163">
        <f>(BZ35*(BU35^2+BV35^2)+BV35*(BY35^2+BZ35^2))/((BU35+BY35)^2+(BV35+BZ35)^2)</f>
        <v>0.11540200616328616</v>
      </c>
      <c r="CC35" s="163">
        <f>(BW35*(BY35^2+BZ35^2)+BY35*(BW35^2+BX35^2))/((BW35+BY35)^2+(BX35+BZ35)^2)</f>
        <v>0.14127144159359267</v>
      </c>
      <c r="CD35" s="163">
        <f>(BZ35*(BW35^2+BX35^2)+BX35*(BY35^2+BZ35^2))/((BW35+BY35)^2+(BX35+BZ35)^2)</f>
        <v>0.15922501440464987</v>
      </c>
      <c r="CE35" s="163">
        <f>CA35+(N(AJ35)/1000)</f>
        <v>0.23595255859578604</v>
      </c>
      <c r="CF35" s="163">
        <f>CB35+(N(AK35)/1000)</f>
        <v>0.11680560616328617</v>
      </c>
      <c r="CG35" s="163">
        <f>CC35+(N(AJ35)/1000)</f>
        <v>0.14229690655058952</v>
      </c>
      <c r="CH35" s="163">
        <f>CD35+(N(AK35)/1000)</f>
        <v>0.16062861440464987</v>
      </c>
      <c r="CI35" s="163">
        <f>S35*1000/K35^2/SQRT(G35)</f>
        <v>0</v>
      </c>
      <c r="CJ35" s="163">
        <f>CE35/((CI35*CE35)^2+(CI35*CF35-1)^2)</f>
        <v>0.23595255859578604</v>
      </c>
      <c r="CK35" s="163">
        <f>(CF35-CI35*(CE35^2+CF35^2))/((CI35*CE35)^2+(CI35*CF35-1)^2)</f>
        <v>0.11680560616328617</v>
      </c>
      <c r="CL35" s="163">
        <f>CG35/((CI35*CG35)^2+(CI35*CH35-1)^2)</f>
        <v>0.14229690655058952</v>
      </c>
      <c r="CM35" s="163">
        <f>(CH35-CI35*(CG35^2+CH35^2))/((CI35*CG35)^2+(CI35*CH35-1)^2)</f>
        <v>0.16062861440464987</v>
      </c>
      <c r="CN35" s="163">
        <f>CJ35+BE35</f>
        <v>0.23954258030463405</v>
      </c>
      <c r="CO35" s="163">
        <f>CK35+BF35</f>
        <v>0.12510594004331774</v>
      </c>
      <c r="CP35" s="163">
        <f>CL35+BE35</f>
        <v>0.14588692825943753</v>
      </c>
      <c r="CQ35" s="163">
        <f>CM35+BF35</f>
        <v>0.16892894828468144</v>
      </c>
      <c r="CR35" s="163">
        <f>K35*SQRT(CC35^2+CD35^2)*SQRT(CL35^2+CM35^2)/(SQRT(CP35^2+CQ35^2)*SQRT(BS35^2+BT35^2)*SQRT(CG35^2+CH35^2))</f>
        <v>553.28823518532931</v>
      </c>
      <c r="CS35" s="163">
        <f>K35*SQRT(CA35^2+CB35^2)*SQRT(CJ35^2+CK35^2)/(SQRT(CN35^2+CO35^2)*SQRT(BQ35^2+BR35^2)*SQRT(CE35^2+CF35^2))</f>
        <v>322.2079525467297</v>
      </c>
      <c r="CT35" s="113">
        <f t="shared" si="5"/>
        <v>1</v>
      </c>
      <c r="CU35" s="163">
        <f>IF(G35=3,SQRT(3),2)</f>
        <v>1.7320508075688772</v>
      </c>
      <c r="CV35" s="156">
        <v>1</v>
      </c>
      <c r="CW35" s="156">
        <f>X36*1.17*(AU36/K35)/((AU36/K35)^2+0.17)</f>
        <v>240.91754374961226</v>
      </c>
      <c r="CX35" s="164">
        <f>AO36/CW35</f>
        <v>3.2254762081546602</v>
      </c>
      <c r="CY35" s="156">
        <f>IF(AB35="Ｓ-Ｄ",0.57735,1)</f>
        <v>1</v>
      </c>
      <c r="CZ35" s="156"/>
      <c r="DA35" s="156"/>
      <c r="DB35" s="156"/>
    </row>
    <row r="36" spans="5:106" ht="24" customHeight="1" x14ac:dyDescent="0.15">
      <c r="E36" s="313"/>
      <c r="F36" s="314"/>
      <c r="G36" s="315"/>
      <c r="H36" s="219"/>
      <c r="I36" s="316"/>
      <c r="J36" s="219"/>
      <c r="K36" s="317"/>
      <c r="L36" s="221"/>
      <c r="M36" s="318"/>
      <c r="N36" s="319"/>
      <c r="O36" s="320"/>
      <c r="P36" s="321"/>
      <c r="Q36" s="199"/>
      <c r="R36" s="205"/>
      <c r="S36" s="322"/>
      <c r="T36" s="134">
        <f>IF(AU36="","",K35*SQRT(CJ35^2+CK35^2)/SQRT(CN35^2+CO35^2))</f>
        <v>204.58917379174213</v>
      </c>
      <c r="U36" s="254"/>
      <c r="V36" s="258"/>
      <c r="W36" s="265"/>
      <c r="X36" s="126">
        <f>IF(X35=0,"",X35*1000/(Y35*Z35*K35*SQRT(G35)))</f>
        <v>234.85030770864515</v>
      </c>
      <c r="Y36" s="203"/>
      <c r="Z36" s="203"/>
      <c r="AA36" s="256"/>
      <c r="AB36" s="78">
        <v>3</v>
      </c>
      <c r="AC36" s="107">
        <f>IF(AV35="","",CT35*AV35/100)</f>
        <v>0.9454117117647215</v>
      </c>
      <c r="AD36" s="252"/>
      <c r="AE36" s="201"/>
      <c r="AF36" s="93" t="s">
        <v>73</v>
      </c>
      <c r="AG36" s="94">
        <v>200</v>
      </c>
      <c r="AH36" s="95">
        <v>1</v>
      </c>
      <c r="AI36" s="96">
        <v>18</v>
      </c>
      <c r="AJ36" s="129">
        <f t="shared" si="0"/>
        <v>1.8423580895616032</v>
      </c>
      <c r="AK36" s="130">
        <f>IF(AF36="","",IF(AF36="IV",(M35/50)*BJ36*AI36,(M35/50)*BJ36*AI36/AH36))</f>
        <v>2.6135999999999999</v>
      </c>
      <c r="AL36" s="98" t="s">
        <v>103</v>
      </c>
      <c r="AM36" s="99"/>
      <c r="AN36" s="102"/>
      <c r="AO36" s="104">
        <f>IF(X35="","",K35/SQRT(CN35^2+CO35^2))</f>
        <v>777.07380549143386</v>
      </c>
      <c r="AP36" s="66">
        <v>40</v>
      </c>
      <c r="AQ36" s="120">
        <f>IF(AF35="","",SQRT(G35)*CS36*((AJ35/1000)*COS(ATAN(CF35/CE35))+(AK35/1000)*SIN(ATAN(CF35/CE35))))</f>
        <v>2.0750647735188812</v>
      </c>
      <c r="AR36" s="110">
        <f>IF(AQ36="","",AQ36*100/K35)</f>
        <v>0.98812608262803869</v>
      </c>
      <c r="AS36" s="118">
        <f>IF(AF36="","",CY35*SQRT(G35)*CS35*((AJ36/1000)*COS(ATAN(BR35/BQ35))+(AK36/1000)*SIN(ATAN(BR35/BQ35))))</f>
        <v>1.5671687322163719</v>
      </c>
      <c r="AT36" s="111">
        <f>IF(AS36="","",AS36*100/K35)</f>
        <v>0.74627082486493901</v>
      </c>
      <c r="AU36" s="112">
        <f>IF(X35="","",CS35*SQRT(BL35^2+BM35^2))</f>
        <v>202.48788611924044</v>
      </c>
      <c r="AV36" s="132">
        <f>IF(AU35="","",AU36*100/K35)</f>
        <v>96.422802913924016</v>
      </c>
      <c r="AW36" s="115" t="s">
        <v>102</v>
      </c>
      <c r="AX36" s="156">
        <v>0.70280465629354461</v>
      </c>
      <c r="AY36" s="166">
        <f>IF(X35="","",IF(OR(AJ35="",AK35=""),K35/SQRT((BU35+BE35)^2+(BV35+BF35)^2),K35/SQRT((BU35+(AJ35/1000)+BE35)^2+(BV35+(AK35/1000)+BF35)^2)))</f>
        <v>328.27368466793234</v>
      </c>
      <c r="AZ36" s="159"/>
      <c r="BA36" s="159"/>
      <c r="BB36" s="167"/>
      <c r="BC36" s="158"/>
      <c r="BD36" s="158"/>
      <c r="BE36" s="159"/>
      <c r="BF36" s="159"/>
      <c r="BG36" s="160"/>
      <c r="BH36" s="160" t="b">
        <f t="shared" si="1"/>
        <v>0</v>
      </c>
      <c r="BI36" s="159" t="b">
        <f t="shared" si="2"/>
        <v>0</v>
      </c>
      <c r="BJ36" s="159">
        <f t="shared" si="3"/>
        <v>0.121</v>
      </c>
      <c r="BK36" s="159">
        <f t="shared" si="4"/>
        <v>8.4500000000000006E-2</v>
      </c>
      <c r="BL36" s="159">
        <f>AX36</f>
        <v>0.70280465629354461</v>
      </c>
      <c r="BM36" s="160"/>
      <c r="BN36" s="160"/>
      <c r="BO36" s="160"/>
      <c r="BP36" s="168"/>
      <c r="BQ36" s="168"/>
      <c r="BR36" s="156"/>
      <c r="BS36" s="156"/>
      <c r="BT36" s="169"/>
      <c r="BU36" s="169"/>
      <c r="BV36" s="170"/>
      <c r="BW36" s="169"/>
      <c r="BX36" s="169"/>
      <c r="BY36" s="169"/>
      <c r="BZ36" s="169"/>
      <c r="CA36" s="169"/>
      <c r="CB36" s="169"/>
      <c r="CC36" s="169"/>
      <c r="CD36" s="169"/>
      <c r="CE36" s="169"/>
      <c r="CF36" s="169"/>
      <c r="CG36" s="169"/>
      <c r="CH36" s="169"/>
      <c r="CI36" s="169"/>
      <c r="CJ36" s="163"/>
      <c r="CK36" s="163"/>
      <c r="CL36" s="163"/>
      <c r="CM36" s="163"/>
      <c r="CN36" s="163"/>
      <c r="CO36" s="163"/>
      <c r="CP36" s="163"/>
      <c r="CQ36" s="163"/>
      <c r="CR36" s="163">
        <f>K35*SQRT(CL35^2+CM35^2)/(SQRT(CP35^2+CQ35^2)*SQRT(CG35^2+CH35^2))</f>
        <v>940.84373374606696</v>
      </c>
      <c r="CS36" s="163">
        <f>K35*SQRT(CJ35^2+CK35^2)/(SQRT(CN35^2+CO35^2)*SQRT(CE35^2+CF35^2))</f>
        <v>777.07380549143386</v>
      </c>
      <c r="CT36" s="113">
        <f t="shared" si="5"/>
        <v>0</v>
      </c>
      <c r="CU36" s="163"/>
      <c r="CV36" s="156">
        <v>0</v>
      </c>
      <c r="CW36" s="156"/>
      <c r="CX36" s="156"/>
      <c r="CY36" s="156"/>
      <c r="CZ36" s="156"/>
      <c r="DA36" s="156"/>
      <c r="DB36" s="156"/>
    </row>
    <row r="37" spans="5:106" ht="24" customHeight="1" x14ac:dyDescent="0.15">
      <c r="E37" s="303" t="s">
        <v>142</v>
      </c>
      <c r="F37" s="304" t="s">
        <v>148</v>
      </c>
      <c r="G37" s="305">
        <v>3</v>
      </c>
      <c r="H37" s="218" t="str">
        <f>IF(G37="","","φ")</f>
        <v>φ</v>
      </c>
      <c r="I37" s="306" t="s">
        <v>92</v>
      </c>
      <c r="J37" s="218" t="str">
        <f>IF(I37="","","W")</f>
        <v>W</v>
      </c>
      <c r="K37" s="307">
        <v>210</v>
      </c>
      <c r="L37" s="220" t="str">
        <f>IF(K37="","","V")</f>
        <v>V</v>
      </c>
      <c r="M37" s="308">
        <v>60</v>
      </c>
      <c r="N37" s="309" t="s">
        <v>93</v>
      </c>
      <c r="O37" s="310">
        <v>300</v>
      </c>
      <c r="P37" s="311">
        <v>1</v>
      </c>
      <c r="Q37" s="198">
        <f>IF(O37="","",IF(OR(N37="油入自冷",N37="モ－ルド絶縁"),IF(G37=1,SQRT(AY37^2+AZ37^2),IF(G37=3,SQRT(BA37^2+BB37^2))),SQRT(BC37^2+BD37^2)))</f>
        <v>3.5518586683594267</v>
      </c>
      <c r="R37" s="204">
        <f>IF(P37="","",(O37*1000*P37)/(SQRT(G37)*K37))</f>
        <v>824.78609884232264</v>
      </c>
      <c r="S37" s="312"/>
      <c r="T37" s="125">
        <f>IF(AU37="","",K37*SQRT(CL37^2+CM37^2)/SQRT(CP37^2+CQ37^2))</f>
        <v>201.91096942145953</v>
      </c>
      <c r="U37" s="253">
        <v>153.4</v>
      </c>
      <c r="V37" s="257">
        <v>0.89800000000000002</v>
      </c>
      <c r="W37" s="264">
        <f>IF(OR(U37="",V37=""),"",(U37/V37))</f>
        <v>170.82405345211581</v>
      </c>
      <c r="X37" s="76">
        <v>70.956000000000003</v>
      </c>
      <c r="Y37" s="202">
        <f>IF(X37="","",VLOOKUP(X37,Ｍ,2,FALSE))</f>
        <v>0.92500000000000004</v>
      </c>
      <c r="Z37" s="202">
        <f>IF(X37="","",VLOOKUP(X37,Ｍ,3,FALSE))</f>
        <v>0.89800000000000002</v>
      </c>
      <c r="AA37" s="255">
        <v>0.4</v>
      </c>
      <c r="AB37" s="79" t="s">
        <v>94</v>
      </c>
      <c r="AC37" s="127">
        <f>IF(N(BG37)=0,"",BG37*X37*AB38*1000/(K37*SQRT(G37)))</f>
        <v>585.23522429455841</v>
      </c>
      <c r="AD37" s="251" t="str">
        <f>IF(N(BH37+BI37)=0,"",N(BH37+BI37))</f>
        <v/>
      </c>
      <c r="AE37" s="200"/>
      <c r="AF37" s="97" t="s">
        <v>73</v>
      </c>
      <c r="AG37" s="88">
        <v>200</v>
      </c>
      <c r="AH37" s="89">
        <v>3</v>
      </c>
      <c r="AI37" s="90">
        <v>29</v>
      </c>
      <c r="AJ37" s="128">
        <f t="shared" si="0"/>
        <v>1.025464956996837</v>
      </c>
      <c r="AK37" s="128">
        <f>IF(AF37="","",IF(AF37="IV",(M37/50)*BJ37*AI37,(M37/50)*BJ37*AI37/AH37))</f>
        <v>1.4036</v>
      </c>
      <c r="AL37" s="91" t="s">
        <v>104</v>
      </c>
      <c r="AM37" s="92"/>
      <c r="AN37" s="101">
        <f>IF(X37="","",K37/SQRT(CP37^2+CQ37^2))</f>
        <v>939.58132868342284</v>
      </c>
      <c r="AO37" s="103"/>
      <c r="AP37" s="100">
        <v>50</v>
      </c>
      <c r="AQ37" s="119">
        <f>IF(AF37="","",SQRT(G37)*CR38*((AJ37/1000)*COS(ATAN(CH37/CG37))+(AK37/1000)*SIN(ATAN(CH37/CG37))))</f>
        <v>2.8162088543003696</v>
      </c>
      <c r="AR37" s="108">
        <f>IF(AQ37="","",AQ37*100/K37)</f>
        <v>1.3410518353811283</v>
      </c>
      <c r="AS37" s="117">
        <f>IF(AF38="","",SQRT(G37)*CR37*((AJ38/1000)*COS(ATAN(BT37/BS37))+(AK38/1000)*SIN(ATAN(BT37/BS37))))</f>
        <v>3.9359894750725153</v>
      </c>
      <c r="AT37" s="108">
        <f>IF(AS37="","",AS37*100/K37)</f>
        <v>1.8742807024154835</v>
      </c>
      <c r="AU37" s="109">
        <f>IF(X37="","",CR37*SQRT(BN37^2+BO37^2))</f>
        <v>198.01318229559149</v>
      </c>
      <c r="AV37" s="131">
        <f>IF(AU37="","",AU37*100/K37)</f>
        <v>94.291991569329284</v>
      </c>
      <c r="AW37" s="114" t="s">
        <v>140</v>
      </c>
      <c r="AX37" s="156">
        <f>AY38/CW37</f>
        <v>0.96459644353073881</v>
      </c>
      <c r="AY37" s="158" t="b">
        <f>IF(G37="","",IF(AND(G37=1,M37=50,N37="油入自冷"),VLOOKUP(O37,変１,2,FALSE),IF(AND(G37=1,M37=50,N37="モ－ルド絶縁"),VLOOKUP(O37,変１,7,FALSE),IF(AND(G37=1,M37=60,N37="油入自冷"),VLOOKUP(O37,変１,12,FALSE),IF(AND(G37=1,M37=60,N37="モ－ルド絶縁"),VLOOKUP(O37,変１,17,FALSE),FALSE)))))</f>
        <v>0</v>
      </c>
      <c r="AZ37" s="158" t="b">
        <f>IF(G37="","",IF(AND(G37=1,M37=50,N37="油入自冷"),VLOOKUP(O37,変１,3,FALSE),IF(AND(G37=1,M37=50,N37="モ－ルド絶縁"),VLOOKUP(O37,変１,8,FALSE),IF(AND(G37=1,M37=60,N37="油入自冷"),VLOOKUP(O37,変１,13,FALSE),IF(AND(G37=1,M37=60,N37="モ－ルド絶縁"),VLOOKUP(O37,変１,18,FALSE),FALSE)))))</f>
        <v>0</v>
      </c>
      <c r="BA37" s="158">
        <f>IF(G37="","",IF(AND(G37=3,M37=50,N37="油入自冷"),VLOOKUP(O37,変３,2,FALSE),IF(AND(G37=3,M37=50,N37="モ－ルド絶縁"),VLOOKUP(O37,変３,7,FALSE),IF(AND(G37=3,M37=60,N37="油入自冷"),VLOOKUP(O37,変３,12,FALSE),IF(AND(G37=3,M37=60,N37="モ－ルド絶縁"),VLOOKUP(O37,変３,17,FALSE),FALSE)))))</f>
        <v>1.41</v>
      </c>
      <c r="BB37" s="158">
        <f>IF(G37="","",IF(AND(G37=3,M37=50,N37="油入自冷"),VLOOKUP(O37,変３,3,FALSE),IF(AND(G37=3,M37=50,N37="モ－ルド絶縁"),VLOOKUP(O37,変３,8,FALSE),IF(AND(G37=3,M37=60,N37="油入自冷"),VLOOKUP(O37,変３,13,FALSE),IF(AND(G37=3,M37=60,N37="モ－ルド絶縁"),VLOOKUP(O37,変３,18,FALSE),FALSE)))))</f>
        <v>3.26</v>
      </c>
      <c r="BC37" s="158">
        <f>IF(ISNA(VLOOKUP(O37,変ＵＳＥＲ,2,FALSE)),0,VLOOKUP(O37,変ＵＳＥＲ,2,FALSE))</f>
        <v>0</v>
      </c>
      <c r="BD37" s="158">
        <f>IF(ISNA(VLOOKUP(O37,変ＵＳＥＲ,3,FALSE)),0,VLOOKUP(O37,変ＵＳＥＲ,3,FALSE)*M37/50)</f>
        <v>0</v>
      </c>
      <c r="BE37" s="159">
        <f>SQRT(G37)*(K37^2)*(N(AY37)+N(BA37)+N(BC37))/(100000*O37*P37)</f>
        <v>3.5900217088480116E-3</v>
      </c>
      <c r="BF37" s="159">
        <f>SQRT(G37)*(K37^2)*(N(AZ37)+N(BB37)+N(BD37))/(100000*O37*P37)</f>
        <v>8.3003338800315737E-3</v>
      </c>
      <c r="BG37" s="160">
        <f>IF(AB37="直 入",1,IF(AB37="Ｓ-Ｄ",1/3,IF(AB37="ﾘｱｸﾄﾙ50%",0.5,IF(AB37="ﾘｱｸﾄﾙ60%",0.6,IF(AB37="ﾘｱｸﾄﾙ80%",0.8,IF(AB37="ｺﾝﾄﾞﾙﾌｧ50%",0.25,IF(AB37="ｺﾝﾄﾞﾙﾌｧ65%",0.4225,IF(AB37="ｺﾝﾄﾞﾙﾌｧ80%",0.64,FALSE))))))))</f>
        <v>1</v>
      </c>
      <c r="BH37" s="160" t="b">
        <f t="shared" si="1"/>
        <v>0</v>
      </c>
      <c r="BI37" s="159">
        <f t="shared" si="2"/>
        <v>0</v>
      </c>
      <c r="BJ37" s="159">
        <f t="shared" si="3"/>
        <v>0.121</v>
      </c>
      <c r="BK37" s="159">
        <f t="shared" si="4"/>
        <v>8.4500000000000006E-2</v>
      </c>
      <c r="BL37" s="159">
        <f>IF(N(BL38)=0,SQRT(G37)*K37^2*Z37^2*Y37/(1000*X37),BL38*SQRT(G37)*K37^2*Z37^2*Y37/(1000*X37))</f>
        <v>0.80297957383965612</v>
      </c>
      <c r="BM37" s="159">
        <f>BL37*(TAN(ACOS(Z37)))</f>
        <v>0.39343804294369911</v>
      </c>
      <c r="BN37" s="160">
        <f>K37*AA37/AC37</f>
        <v>0.14353203039214441</v>
      </c>
      <c r="BO37" s="160">
        <f>BN37*(TAN(ACOS(AA37)))</f>
        <v>0.32887319696135187</v>
      </c>
      <c r="BP37" s="161">
        <f>IF(AE37=0,2*3.141592654*M37*N(AD37)*SQRT(G37)/1000000,AE37*1000*SQRT(G37)/K37^2)</f>
        <v>0</v>
      </c>
      <c r="BQ37" s="162">
        <f>BL37+(AJ38/1000)</f>
        <v>0.80540052372593951</v>
      </c>
      <c r="BR37" s="163">
        <f>BM37+(AK38/1000)</f>
        <v>0.39687244294369911</v>
      </c>
      <c r="BS37" s="163">
        <f>BN37+(AJ38/1000)</f>
        <v>0.14595298027842785</v>
      </c>
      <c r="BT37" s="163">
        <f>BO37+(AK38/1000)</f>
        <v>0.33230759696135187</v>
      </c>
      <c r="BU37" s="164">
        <f>BQ37/((BP37*BQ37)^2+(BP37*BR37-1)^2)</f>
        <v>0.80540052372593951</v>
      </c>
      <c r="BV37" s="165">
        <f>(BR37-BP37*(BQ37^2+BR37^2))/((BP37*BQ37)^2+(BP37*BR37-1)^2)</f>
        <v>0.39687244294369911</v>
      </c>
      <c r="BW37" s="163">
        <f>BS37/((BP37*BS37)^2+(BP37*BT37-1)^2)</f>
        <v>0.14595298027842785</v>
      </c>
      <c r="BX37" s="163">
        <f>(BT37-BP37*(BS37^2+BT37^2))/((BP37*BS37)^2+(BP37*BT37-1)^2)</f>
        <v>0.33230759696135187</v>
      </c>
      <c r="BY37" s="164">
        <f>IF(U37=0,10^20,K37^2*CU37*V37/(1000*W37))</f>
        <v>0.40153788816636699</v>
      </c>
      <c r="BZ37" s="164">
        <f>IF(U37=0,10^20,BY37*TAN(ACOS(V37)))</f>
        <v>0.19674258976787845</v>
      </c>
      <c r="CA37" s="163">
        <f>(BU37*(BY37^2+BZ37^2)+BY37*(BU37^2+BV37^2))/((BU37+BY37)^2+(BV37+BZ37)^2)</f>
        <v>0.26795010640827893</v>
      </c>
      <c r="CB37" s="163">
        <f>(BZ37*(BU37^2+BV37^2)+BV37*(BY37^2+BZ37^2))/((BU37+BY37)^2+(BV37+BZ37)^2)</f>
        <v>0.13153670038536425</v>
      </c>
      <c r="CC37" s="163">
        <f>(BW37*(BY37^2+BZ37^2)+BY37*(BW37^2+BX37^2))/((BW37+BY37)^2+(BX37+BZ37)^2)</f>
        <v>0.14159938534918332</v>
      </c>
      <c r="CD37" s="163">
        <f>(BZ37*(BW37^2+BX37^2)+BX37*(BY37^2+BZ37^2))/((BW37+BY37)^2+(BX37+BZ37)^2)</f>
        <v>0.15933795757706978</v>
      </c>
      <c r="CE37" s="163">
        <f>CA37+(N(AJ37)/1000)</f>
        <v>0.26897557136527578</v>
      </c>
      <c r="CF37" s="163">
        <f>CB37+(N(AK37)/1000)</f>
        <v>0.13294030038536425</v>
      </c>
      <c r="CG37" s="163">
        <f>CC37+(N(AJ37)/1000)</f>
        <v>0.14262485030618016</v>
      </c>
      <c r="CH37" s="163">
        <f>CD37+(N(AK37)/1000)</f>
        <v>0.16074155757706979</v>
      </c>
      <c r="CI37" s="163">
        <f>S37*1000/K37^2/SQRT(G37)</f>
        <v>0</v>
      </c>
      <c r="CJ37" s="163">
        <f>CE37/((CI37*CE37)^2+(CI37*CF37-1)^2)</f>
        <v>0.26897557136527578</v>
      </c>
      <c r="CK37" s="163">
        <f>(CF37-CI37*(CE37^2+CF37^2))/((CI37*CE37)^2+(CI37*CF37-1)^2)</f>
        <v>0.13294030038536425</v>
      </c>
      <c r="CL37" s="163">
        <f>CG37/((CI37*CG37)^2+(CI37*CH37-1)^2)</f>
        <v>0.14262485030618016</v>
      </c>
      <c r="CM37" s="163">
        <f>(CH37-CI37*(CG37^2+CH37^2))/((CI37*CG37)^2+(CI37*CH37-1)^2)</f>
        <v>0.16074155757706979</v>
      </c>
      <c r="CN37" s="163">
        <f>CJ37+BE37</f>
        <v>0.27256559307412381</v>
      </c>
      <c r="CO37" s="163">
        <f>CK37+BF37</f>
        <v>0.14124063426539582</v>
      </c>
      <c r="CP37" s="163">
        <f>CL37+BE37</f>
        <v>0.14621487201502817</v>
      </c>
      <c r="CQ37" s="163">
        <f>CM37+BF37</f>
        <v>0.16904189145710136</v>
      </c>
      <c r="CR37" s="163">
        <f>K37*SQRT(CC37^2+CD37^2)*SQRT(CL37^2+CM37^2)/(SQRT(CP37^2+CQ37^2)*SQRT(BS37^2+BT37^2)*SQRT(CG37^2+CH37^2))</f>
        <v>551.82994835257045</v>
      </c>
      <c r="CS37" s="163">
        <f>K37*SQRT(CA37^2+CB37^2)*SQRT(CJ37^2+CK37^2)/(SQRT(CN37^2+CO37^2)*SQRT(BQ37^2+BR37^2)*SQRT(CE37^2+CF37^2))</f>
        <v>227.41596468022468</v>
      </c>
      <c r="CT37" s="113">
        <f t="shared" si="5"/>
        <v>1</v>
      </c>
      <c r="CU37" s="163">
        <f>IF(G37=3,SQRT(3),2)</f>
        <v>1.7320508075688772</v>
      </c>
      <c r="CV37" s="156">
        <v>1</v>
      </c>
      <c r="CW37" s="156">
        <f>X38*1.17*(AU38/K37)/((AU38/K37)^2+0.17)</f>
        <v>240.20845089047751</v>
      </c>
      <c r="CX37" s="164">
        <f>AO38/CW37</f>
        <v>2.8478116040890344</v>
      </c>
      <c r="CY37" s="156">
        <f>IF(AB37="Ｓ-Ｄ",0.57735,1)</f>
        <v>1</v>
      </c>
      <c r="CZ37" s="156"/>
      <c r="DA37" s="156"/>
      <c r="DB37" s="156"/>
    </row>
    <row r="38" spans="5:106" ht="24" customHeight="1" x14ac:dyDescent="0.15">
      <c r="E38" s="313"/>
      <c r="F38" s="314"/>
      <c r="G38" s="315"/>
      <c r="H38" s="219"/>
      <c r="I38" s="316"/>
      <c r="J38" s="219"/>
      <c r="K38" s="317"/>
      <c r="L38" s="221"/>
      <c r="M38" s="318"/>
      <c r="N38" s="319"/>
      <c r="O38" s="320"/>
      <c r="P38" s="321"/>
      <c r="Q38" s="199"/>
      <c r="R38" s="205"/>
      <c r="S38" s="322"/>
      <c r="T38" s="134">
        <f>IF(AU38="","",K37*SQRT(CJ37^2+CK37^2)/SQRT(CN37^2+CO37^2))</f>
        <v>205.24444401412757</v>
      </c>
      <c r="U38" s="254"/>
      <c r="V38" s="258"/>
      <c r="W38" s="265"/>
      <c r="X38" s="126">
        <f>IF(X37=0,"",X37*1000/(Y37*Z37*K37*SQRT(G37)))</f>
        <v>234.85030770864515</v>
      </c>
      <c r="Y38" s="203"/>
      <c r="Z38" s="203"/>
      <c r="AA38" s="256"/>
      <c r="AB38" s="78">
        <v>3</v>
      </c>
      <c r="AC38" s="107">
        <f>IF(AV37="","",CT37*AV37/100)</f>
        <v>0.94291991569329281</v>
      </c>
      <c r="AD38" s="252"/>
      <c r="AE38" s="201"/>
      <c r="AF38" s="93" t="s">
        <v>73</v>
      </c>
      <c r="AG38" s="94">
        <v>150</v>
      </c>
      <c r="AH38" s="95">
        <v>1</v>
      </c>
      <c r="AI38" s="96">
        <v>18</v>
      </c>
      <c r="AJ38" s="129">
        <f t="shared" si="0"/>
        <v>2.4209498862834291</v>
      </c>
      <c r="AK38" s="130">
        <f>IF(AF38="","",IF(AF38="IV",(M37/50)*BJ38*AI38,(M37/50)*BJ38*AI38/AH38))</f>
        <v>3.4344000000000001</v>
      </c>
      <c r="AL38" s="98" t="s">
        <v>103</v>
      </c>
      <c r="AM38" s="99"/>
      <c r="AN38" s="102"/>
      <c r="AO38" s="104">
        <f>IF(X37="","",K37/SQRT(CN37^2+CO37^2))</f>
        <v>684.06841384615279</v>
      </c>
      <c r="AP38" s="66">
        <v>40</v>
      </c>
      <c r="AQ38" s="120">
        <f>IF(AF37="","",SQRT(G37)*CS38*((AJ37/1000)*COS(ATAN(CF37/CE37))+(AK37/1000)*SIN(ATAN(CF37/CE37))))</f>
        <v>1.8261015679217374</v>
      </c>
      <c r="AR38" s="110">
        <f>IF(AQ38="","",AQ38*100/K37)</f>
        <v>0.8695721752008273</v>
      </c>
      <c r="AS38" s="118">
        <f>IF(AF38="","",CY37*SQRT(G37)*CS37*((AJ38/1000)*COS(ATAN(BR37/BQ37))+(AK38/1000)*SIN(ATAN(BR37/BQ37))))</f>
        <v>1.4533437391250172</v>
      </c>
      <c r="AT38" s="111">
        <f>IF(AS38="","",AS38*100/K37)</f>
        <v>0.69206844720238914</v>
      </c>
      <c r="AU38" s="112">
        <f>IF(X37="","",CS37*SQRT(BL37^2+BM37^2))</f>
        <v>203.35231002590322</v>
      </c>
      <c r="AV38" s="132">
        <f>IF(AU37="","",AU38*100/K37)</f>
        <v>96.834433345668188</v>
      </c>
      <c r="AW38" s="115" t="s">
        <v>102</v>
      </c>
      <c r="AX38" s="156"/>
      <c r="AY38" s="166">
        <f>IF(X37="","",IF(OR(AJ37="",AK37=""),K37/SQRT((BU37+BE37)^2+(BV37+BF37)^2),K37/SQRT((BU37+(AJ37/1000)+BE37)^2+(BV37+(AK37/1000)+BF37)^2)))</f>
        <v>231.70421743498272</v>
      </c>
      <c r="AZ38" s="159"/>
      <c r="BA38" s="159"/>
      <c r="BB38" s="167"/>
      <c r="BC38" s="158"/>
      <c r="BD38" s="158"/>
      <c r="BE38" s="159"/>
      <c r="BF38" s="159"/>
      <c r="BG38" s="160"/>
      <c r="BH38" s="160" t="b">
        <f t="shared" si="1"/>
        <v>0</v>
      </c>
      <c r="BI38" s="159" t="b">
        <f t="shared" si="2"/>
        <v>0</v>
      </c>
      <c r="BJ38" s="159">
        <f t="shared" si="3"/>
        <v>0.159</v>
      </c>
      <c r="BK38" s="159">
        <f t="shared" si="4"/>
        <v>8.3900000000000002E-2</v>
      </c>
      <c r="BL38" s="159">
        <f>AX38</f>
        <v>0</v>
      </c>
      <c r="BM38" s="160"/>
      <c r="BN38" s="160"/>
      <c r="BO38" s="160"/>
      <c r="BP38" s="168"/>
      <c r="BQ38" s="168"/>
      <c r="BR38" s="156"/>
      <c r="BS38" s="156"/>
      <c r="BT38" s="169"/>
      <c r="BU38" s="169"/>
      <c r="BV38" s="170"/>
      <c r="BW38" s="169"/>
      <c r="BX38" s="169"/>
      <c r="BY38" s="169"/>
      <c r="BZ38" s="169"/>
      <c r="CA38" s="169"/>
      <c r="CB38" s="169"/>
      <c r="CC38" s="169"/>
      <c r="CD38" s="169"/>
      <c r="CE38" s="169"/>
      <c r="CF38" s="169"/>
      <c r="CG38" s="169"/>
      <c r="CH38" s="169"/>
      <c r="CI38" s="169"/>
      <c r="CJ38" s="163"/>
      <c r="CK38" s="163"/>
      <c r="CL38" s="163"/>
      <c r="CM38" s="163"/>
      <c r="CN38" s="163"/>
      <c r="CO38" s="163"/>
      <c r="CP38" s="163"/>
      <c r="CQ38" s="163"/>
      <c r="CR38" s="163">
        <f>K37*SQRT(CL37^2+CM37^2)/(SQRT(CP37^2+CQ37^2)*SQRT(CG37^2+CH37^2))</f>
        <v>939.58132868342295</v>
      </c>
      <c r="CS38" s="163">
        <f>K37*SQRT(CJ37^2+CK37^2)/(SQRT(CN37^2+CO37^2)*SQRT(CE37^2+CF37^2))</f>
        <v>684.06841384615279</v>
      </c>
      <c r="CT38" s="113">
        <f t="shared" si="5"/>
        <v>0</v>
      </c>
      <c r="CU38" s="163"/>
      <c r="CV38" s="156">
        <v>0</v>
      </c>
      <c r="CW38" s="156"/>
      <c r="CX38" s="156"/>
      <c r="CY38" s="156"/>
      <c r="CZ38" s="156"/>
      <c r="DA38" s="156"/>
      <c r="DB38" s="156"/>
    </row>
    <row r="39" spans="5:106" ht="24" customHeight="1" x14ac:dyDescent="0.15">
      <c r="E39" s="303" t="s">
        <v>142</v>
      </c>
      <c r="F39" s="304" t="s">
        <v>147</v>
      </c>
      <c r="G39" s="305">
        <v>3</v>
      </c>
      <c r="H39" s="218" t="str">
        <f>IF(G39="","","φ")</f>
        <v>φ</v>
      </c>
      <c r="I39" s="306" t="s">
        <v>92</v>
      </c>
      <c r="J39" s="218" t="str">
        <f>IF(I39="","","W")</f>
        <v>W</v>
      </c>
      <c r="K39" s="307">
        <v>220</v>
      </c>
      <c r="L39" s="220" t="str">
        <f>IF(K39="","","V")</f>
        <v>V</v>
      </c>
      <c r="M39" s="308">
        <v>60</v>
      </c>
      <c r="N39" s="309" t="s">
        <v>93</v>
      </c>
      <c r="O39" s="310">
        <v>300</v>
      </c>
      <c r="P39" s="311">
        <v>1</v>
      </c>
      <c r="Q39" s="198">
        <f>IF(O39="","",IF(OR(N39="油入自冷",N39="モ－ルド絶縁"),IF(G39=1,SQRT(AY39^2+AZ39^2),IF(G39=3,SQRT(BA39^2+BB39^2))),SQRT(BC39^2+BD39^2)))</f>
        <v>3.5518586683594267</v>
      </c>
      <c r="R39" s="204">
        <f>IF(P39="","",(O39*1000*P39)/(SQRT(G39)*K39))</f>
        <v>787.29582162221698</v>
      </c>
      <c r="S39" s="312"/>
      <c r="T39" s="125">
        <f>IF(AU39="","",K39*SQRT(CL39^2+CM39^2)/SQRT(CP39^2+CQ39^2))</f>
        <v>211.50271201288538</v>
      </c>
      <c r="U39" s="253">
        <v>153.4</v>
      </c>
      <c r="V39" s="257">
        <v>0.89800000000000002</v>
      </c>
      <c r="W39" s="264">
        <f>IF(OR(U39="",V39=""),"",(U39/V39))</f>
        <v>170.82405345211581</v>
      </c>
      <c r="X39" s="76">
        <v>70.956000000000003</v>
      </c>
      <c r="Y39" s="202">
        <f>IF(X39="","",VLOOKUP(X39,Ｍ,2,FALSE))</f>
        <v>0.92500000000000004</v>
      </c>
      <c r="Z39" s="202">
        <f>IF(X39="","",VLOOKUP(X39,Ｍ,3,FALSE))</f>
        <v>0.89800000000000002</v>
      </c>
      <c r="AA39" s="255">
        <v>0.4</v>
      </c>
      <c r="AB39" s="79" t="s">
        <v>94</v>
      </c>
      <c r="AC39" s="127">
        <f>IF(N(BG39)=0,"",BG39*X39*AB40*1000/(K39*SQRT(G39)))</f>
        <v>558.63362319026032</v>
      </c>
      <c r="AD39" s="251" t="str">
        <f>IF(N(BH39+BI39)=0,"",N(BH39+BI39))</f>
        <v/>
      </c>
      <c r="AE39" s="200"/>
      <c r="AF39" s="97" t="s">
        <v>73</v>
      </c>
      <c r="AG39" s="88">
        <v>200</v>
      </c>
      <c r="AH39" s="89">
        <v>3</v>
      </c>
      <c r="AI39" s="90">
        <v>29</v>
      </c>
      <c r="AJ39" s="128">
        <f t="shared" si="0"/>
        <v>1.025464956996837</v>
      </c>
      <c r="AK39" s="128">
        <f>IF(AF39="","",IF(AF39="IV",(M39/50)*BJ39*AI39,(M39/50)*BJ39*AI39/AH39))</f>
        <v>1.4036</v>
      </c>
      <c r="AL39" s="91" t="s">
        <v>104</v>
      </c>
      <c r="AM39" s="92"/>
      <c r="AN39" s="101">
        <f>IF(X39="","",K39/SQRT(CP39^2+CQ39^2))</f>
        <v>899.04036027373058</v>
      </c>
      <c r="AO39" s="103"/>
      <c r="AP39" s="100">
        <v>50</v>
      </c>
      <c r="AQ39" s="119">
        <f>IF(AF39="","",SQRT(G39)*CR40*((AJ39/1000)*COS(ATAN(CH39/CG39))+(AK39/1000)*SIN(ATAN(CH39/CG39))))</f>
        <v>2.6949378838727425</v>
      </c>
      <c r="AR39" s="108">
        <f>IF(AQ39="","",AQ39*100/K39)</f>
        <v>1.2249717653967012</v>
      </c>
      <c r="AS39" s="117">
        <f>IF(AF40="","",SQRT(G39)*CR39*((AJ40/1000)*COS(ATAN(BT39/BS39))+(AK40/1000)*SIN(ATAN(BT39/BS39))))</f>
        <v>2.8704297859039341</v>
      </c>
      <c r="AT39" s="108">
        <f>IF(AS39="","",AS39*100/K39)</f>
        <v>1.3047408117745156</v>
      </c>
      <c r="AU39" s="109">
        <f>IF(X39="","",CR39*SQRT(BN39^2+BO39^2))</f>
        <v>208.28986991143901</v>
      </c>
      <c r="AV39" s="131">
        <f>IF(AU39="","",AU39*100/K39)</f>
        <v>94.677213596108643</v>
      </c>
      <c r="AW39" s="114" t="s">
        <v>140</v>
      </c>
      <c r="AX39" s="156">
        <f>AY40/CW39</f>
        <v>1.2104084025723152</v>
      </c>
      <c r="AY39" s="158" t="b">
        <f>IF(G39="","",IF(AND(G39=1,M39=50,N39="油入自冷"),VLOOKUP(O39,変１,2,FALSE),IF(AND(G39=1,M39=50,N39="モ－ルド絶縁"),VLOOKUP(O39,変１,7,FALSE),IF(AND(G39=1,M39=60,N39="油入自冷"),VLOOKUP(O39,変１,12,FALSE),IF(AND(G39=1,M39=60,N39="モ－ルド絶縁"),VLOOKUP(O39,変１,17,FALSE),FALSE)))))</f>
        <v>0</v>
      </c>
      <c r="AZ39" s="158" t="b">
        <f>IF(G39="","",IF(AND(G39=1,M39=50,N39="油入自冷"),VLOOKUP(O39,変１,3,FALSE),IF(AND(G39=1,M39=50,N39="モ－ルド絶縁"),VLOOKUP(O39,変１,8,FALSE),IF(AND(G39=1,M39=60,N39="油入自冷"),VLOOKUP(O39,変１,13,FALSE),IF(AND(G39=1,M39=60,N39="モ－ルド絶縁"),VLOOKUP(O39,変１,18,FALSE),FALSE)))))</f>
        <v>0</v>
      </c>
      <c r="BA39" s="158">
        <f>IF(G39="","",IF(AND(G39=3,M39=50,N39="油入自冷"),VLOOKUP(O39,変３,2,FALSE),IF(AND(G39=3,M39=50,N39="モ－ルド絶縁"),VLOOKUP(O39,変３,7,FALSE),IF(AND(G39=3,M39=60,N39="油入自冷"),VLOOKUP(O39,変３,12,FALSE),IF(AND(G39=3,M39=60,N39="モ－ルド絶縁"),VLOOKUP(O39,変３,17,FALSE),FALSE)))))</f>
        <v>1.41</v>
      </c>
      <c r="BB39" s="158">
        <f>IF(G39="","",IF(AND(G39=3,M39=50,N39="油入自冷"),VLOOKUP(O39,変３,3,FALSE),IF(AND(G39=3,M39=50,N39="モ－ルド絶縁"),VLOOKUP(O39,変３,8,FALSE),IF(AND(G39=3,M39=60,N39="油入自冷"),VLOOKUP(O39,変３,13,FALSE),IF(AND(G39=3,M39=60,N39="モ－ルド絶縁"),VLOOKUP(O39,変３,18,FALSE),FALSE)))))</f>
        <v>3.26</v>
      </c>
      <c r="BC39" s="158">
        <f>IF(ISNA(VLOOKUP(O39,変ＵＳＥＲ,2,FALSE)),0,VLOOKUP(O39,変ＵＳＥＲ,2,FALSE))</f>
        <v>0</v>
      </c>
      <c r="BD39" s="158">
        <f>IF(ISNA(VLOOKUP(O39,変ＵＳＥＲ,3,FALSE)),0,VLOOKUP(O39,変ＵＳＥＲ,3,FALSE)*M39/50)</f>
        <v>0</v>
      </c>
      <c r="BE39" s="159">
        <f>SQRT(G39)*(K39^2)*(N(AY39)+N(BA39)+N(BC39))/(100000*O39*P39)</f>
        <v>3.9400691770576811E-3</v>
      </c>
      <c r="BF39" s="159">
        <f>SQRT(G39)*(K39^2)*(N(AZ39)+N(BB39)+N(BD39))/(100000*O39*P39)</f>
        <v>9.1096634873815887E-3</v>
      </c>
      <c r="BG39" s="160">
        <f>IF(AB39="直 入",1,IF(AB39="Ｓ-Ｄ",1/3,IF(AB39="ﾘｱｸﾄﾙ50%",0.5,IF(AB39="ﾘｱｸﾄﾙ60%",0.6,IF(AB39="ﾘｱｸﾄﾙ80%",0.8,IF(AB39="ｺﾝﾄﾞﾙﾌｧ50%",0.25,IF(AB39="ｺﾝﾄﾞﾙﾌｧ65%",0.4225,IF(AB39="ｺﾝﾄﾞﾙﾌｧ80%",0.64,FALSE))))))))</f>
        <v>1</v>
      </c>
      <c r="BH39" s="160" t="b">
        <f t="shared" si="1"/>
        <v>0</v>
      </c>
      <c r="BI39" s="159">
        <f t="shared" si="2"/>
        <v>0</v>
      </c>
      <c r="BJ39" s="159">
        <f t="shared" si="3"/>
        <v>0.121</v>
      </c>
      <c r="BK39" s="159">
        <f t="shared" si="4"/>
        <v>8.4500000000000006E-2</v>
      </c>
      <c r="BL39" s="159">
        <f>IF(N(BL40)=0,SQRT(G39)*K39^2*Z39^2*Y39/(1000*X39),BL40*SQRT(G39)*K39^2*Z39^2*Y39/(1000*X39))</f>
        <v>0.70043608476985253</v>
      </c>
      <c r="BM39" s="159">
        <f>BL39*(TAN(ACOS(Z39)))</f>
        <v>0.34319453617138562</v>
      </c>
      <c r="BN39" s="160">
        <f>K39*AA39/AC39</f>
        <v>0.15752721702902014</v>
      </c>
      <c r="BO39" s="160">
        <f>BN39*(TAN(ACOS(AA39)))</f>
        <v>0.36094019802561061</v>
      </c>
      <c r="BP39" s="161">
        <f>IF(AE39=0,2*3.141592654*M39*N(AD39)*SQRT(G39)/1000000,AE39*1000*SQRT(G39)/K39^2)</f>
        <v>0</v>
      </c>
      <c r="BQ39" s="162">
        <f>BL39+(AJ40/1000)</f>
        <v>0.7022784428594141</v>
      </c>
      <c r="BR39" s="163">
        <f>BM39+(AK40/1000)</f>
        <v>0.34580813617138562</v>
      </c>
      <c r="BS39" s="163">
        <f>BN39+(AJ40/1000)</f>
        <v>0.15936957511858174</v>
      </c>
      <c r="BT39" s="163">
        <f>BO39+(AK40/1000)</f>
        <v>0.36355379802561061</v>
      </c>
      <c r="BU39" s="164">
        <f>BQ39/((BP39*BQ39)^2+(BP39*BR39-1)^2)</f>
        <v>0.7022784428594141</v>
      </c>
      <c r="BV39" s="165">
        <f>(BR39-BP39*(BQ39^2+BR39^2))/((BP39*BQ39)^2+(BP39*BR39-1)^2)</f>
        <v>0.34580813617138562</v>
      </c>
      <c r="BW39" s="163">
        <f>BS39/((BP39*BS39)^2+(BP39*BT39-1)^2)</f>
        <v>0.15936957511858174</v>
      </c>
      <c r="BX39" s="163">
        <f>(BT39-BP39*(BS39^2+BT39^2))/((BP39*BS39)^2+(BP39*BT39-1)^2)</f>
        <v>0.36355379802561061</v>
      </c>
      <c r="BY39" s="164">
        <f>IF(U39=0,10^20,K39^2*CU39*V39/(1000*W39))</f>
        <v>0.44069010855447072</v>
      </c>
      <c r="BZ39" s="164">
        <f>IF(U39=0,10^20,BY39*TAN(ACOS(V39)))</f>
        <v>0.21592610759105024</v>
      </c>
      <c r="CA39" s="163">
        <f>(BU39*(BY39^2+BZ39^2)+BY39*(BU39^2+BV39^2))/((BU39+BY39)^2+(BV39+BZ39)^2)</f>
        <v>0.27077517866298534</v>
      </c>
      <c r="CB39" s="163">
        <f>(BZ39*(BU39^2+BV39^2)+BV39*(BY39^2+BZ39^2))/((BU39+BY39)^2+(BV39+BZ39)^2)</f>
        <v>0.13292647927739656</v>
      </c>
      <c r="CC39" s="163">
        <f>(BW39*(BY39^2+BZ39^2)+BY39*(BW39^2+BX39^2))/((BW39+BY39)^2+(BX39+BZ39)^2)</f>
        <v>0.15494423013797037</v>
      </c>
      <c r="CD39" s="163">
        <f>(BZ39*(BW39^2+BX39^2)+BX39*(BY39^2+BZ39^2))/((BW39+BY39)^2+(BX39+BZ39)^2)</f>
        <v>0.17471519873349259</v>
      </c>
      <c r="CE39" s="163">
        <f>CA39+(N(AJ39)/1000)</f>
        <v>0.27180064361998219</v>
      </c>
      <c r="CF39" s="163">
        <f>CB39+(N(AK39)/1000)</f>
        <v>0.13433007927739657</v>
      </c>
      <c r="CG39" s="163">
        <f>CC39+(N(AJ39)/1000)</f>
        <v>0.15596969509496722</v>
      </c>
      <c r="CH39" s="163">
        <f>CD39+(N(AK39)/1000)</f>
        <v>0.17611879873349259</v>
      </c>
      <c r="CI39" s="163">
        <f>S39*1000/K39^2/SQRT(G39)</f>
        <v>0</v>
      </c>
      <c r="CJ39" s="163">
        <f>CE39/((CI39*CE39)^2+(CI39*CF39-1)^2)</f>
        <v>0.27180064361998219</v>
      </c>
      <c r="CK39" s="163">
        <f>(CF39-CI39*(CE39^2+CF39^2))/((CI39*CE39)^2+(CI39*CF39-1)^2)</f>
        <v>0.13433007927739657</v>
      </c>
      <c r="CL39" s="163">
        <f>CG39/((CI39*CG39)^2+(CI39*CH39-1)^2)</f>
        <v>0.15596969509496722</v>
      </c>
      <c r="CM39" s="163">
        <f>(CH39-CI39*(CG39^2+CH39^2))/((CI39*CG39)^2+(CI39*CH39-1)^2)</f>
        <v>0.17611879873349259</v>
      </c>
      <c r="CN39" s="163">
        <f>CJ39+BE39</f>
        <v>0.27574071279703988</v>
      </c>
      <c r="CO39" s="163">
        <f>CK39+BF39</f>
        <v>0.14343974276477817</v>
      </c>
      <c r="CP39" s="163">
        <f>CL39+BE39</f>
        <v>0.15990976427202491</v>
      </c>
      <c r="CQ39" s="163">
        <f>CM39+BF39</f>
        <v>0.18522846222087419</v>
      </c>
      <c r="CR39" s="163">
        <f>K39*SQRT(CC39^2+CD39^2)*SQRT(CL39^2+CM39^2)/(SQRT(CP39^2+CQ39^2)*SQRT(BS39^2+BT39^2)*SQRT(CG39^2+CH39^2))</f>
        <v>528.89874864752358</v>
      </c>
      <c r="CS39" s="163">
        <f>K39*SQRT(CA39^2+CB39^2)*SQRT(CJ39^2+CK39^2)/(SQRT(CN39^2+CO39^2)*SQRT(BQ39^2+BR39^2)*SQRT(CE39^2+CF39^2))</f>
        <v>272.74593059433761</v>
      </c>
      <c r="CT39" s="113">
        <f t="shared" si="5"/>
        <v>1</v>
      </c>
      <c r="CU39" s="163">
        <f>IF(G39=3,SQRT(3),2)</f>
        <v>1.7320508075688772</v>
      </c>
      <c r="CV39" s="156">
        <v>1</v>
      </c>
      <c r="CW39" s="156">
        <f>X40*1.17*(AU40/K39)/((AU40/K39)^2+0.17)</f>
        <v>229.51016617287658</v>
      </c>
      <c r="CX39" s="164">
        <f>AO40/CW39</f>
        <v>3.0840004403585266</v>
      </c>
      <c r="CY39" s="156">
        <f>IF(AB39="Ｓ-Ｄ",0.57735,1)</f>
        <v>1</v>
      </c>
      <c r="CZ39" s="156"/>
      <c r="DA39" s="156"/>
      <c r="DB39" s="156"/>
    </row>
    <row r="40" spans="5:106" ht="24" customHeight="1" x14ac:dyDescent="0.15">
      <c r="E40" s="313"/>
      <c r="F40" s="314"/>
      <c r="G40" s="315"/>
      <c r="H40" s="219"/>
      <c r="I40" s="316"/>
      <c r="J40" s="219"/>
      <c r="K40" s="317"/>
      <c r="L40" s="221"/>
      <c r="M40" s="318"/>
      <c r="N40" s="319"/>
      <c r="O40" s="320"/>
      <c r="P40" s="321"/>
      <c r="Q40" s="199"/>
      <c r="R40" s="205"/>
      <c r="S40" s="322"/>
      <c r="T40" s="134">
        <f>IF(AU40="","",K39*SQRT(CJ39^2+CK39^2)/SQRT(CN39^2+CO39^2))</f>
        <v>214.59606037670386</v>
      </c>
      <c r="U40" s="254"/>
      <c r="V40" s="258"/>
      <c r="W40" s="265"/>
      <c r="X40" s="126">
        <f>IF(X39=0,"",X39*1000/(Y39*Z39*K39*SQRT(G39)))</f>
        <v>224.17529372188858</v>
      </c>
      <c r="Y40" s="203"/>
      <c r="Z40" s="203"/>
      <c r="AA40" s="256"/>
      <c r="AB40" s="78">
        <v>3</v>
      </c>
      <c r="AC40" s="107">
        <f>IF(AV39="","",CT39*AV39/100)</f>
        <v>0.94677213596108645</v>
      </c>
      <c r="AD40" s="252"/>
      <c r="AE40" s="201"/>
      <c r="AF40" s="93" t="s">
        <v>73</v>
      </c>
      <c r="AG40" s="94">
        <v>200</v>
      </c>
      <c r="AH40" s="95">
        <v>1</v>
      </c>
      <c r="AI40" s="96">
        <v>18</v>
      </c>
      <c r="AJ40" s="129">
        <f t="shared" si="0"/>
        <v>1.8423580895616032</v>
      </c>
      <c r="AK40" s="130">
        <f>IF(AF40="","",IF(AF40="IV",(M39/50)*BJ40*AI40,(M39/50)*BJ40*AI40/AH40))</f>
        <v>2.6135999999999999</v>
      </c>
      <c r="AL40" s="98" t="s">
        <v>103</v>
      </c>
      <c r="AM40" s="99"/>
      <c r="AN40" s="102"/>
      <c r="AO40" s="104">
        <f>IF(X39="","",K39/SQRT(CN39^2+CO39^2))</f>
        <v>707.80945354390997</v>
      </c>
      <c r="AP40" s="66">
        <v>40</v>
      </c>
      <c r="AQ40" s="120">
        <f>IF(AF39="","",SQRT(G39)*CS40*((AJ39/1000)*COS(ATAN(CF39/CE39))+(AK39/1000)*SIN(ATAN(CF39/CE39))))</f>
        <v>1.8894586572662089</v>
      </c>
      <c r="AR40" s="110">
        <f>IF(AQ40="","",AQ40*100/K39)</f>
        <v>0.85884484421191321</v>
      </c>
      <c r="AS40" s="118">
        <f>IF(AF40="","",CY39*SQRT(G39)*CS39*((AJ40/1000)*COS(ATAN(BR39/BQ39))+(AK40/1000)*SIN(ATAN(BR39/BQ39))))</f>
        <v>1.3262526061069619</v>
      </c>
      <c r="AT40" s="111">
        <f>IF(AS40="","",AS40*100/K39)</f>
        <v>0.60284209368498265</v>
      </c>
      <c r="AU40" s="112">
        <f>IF(X39="","",CS39*SQRT(BL39^2+BM39^2))</f>
        <v>212.74063670646743</v>
      </c>
      <c r="AV40" s="132">
        <f>IF(AU39="","",AU40*100/K39)</f>
        <v>96.700289412030642</v>
      </c>
      <c r="AW40" s="115" t="s">
        <v>102</v>
      </c>
      <c r="AX40" s="156">
        <v>0.79479887141471606</v>
      </c>
      <c r="AY40" s="166">
        <f>IF(X39="","",IF(OR(AJ39="",AK39=""),K39/SQRT((BU39+BE39)^2+(BV39+BF39)^2),K39/SQRT((BU39+(AJ39/1000)+BE39)^2+(BV39+(AK39/1000)+BF39)^2)))</f>
        <v>277.80103361141818</v>
      </c>
      <c r="AZ40" s="159"/>
      <c r="BA40" s="159"/>
      <c r="BB40" s="167"/>
      <c r="BC40" s="158"/>
      <c r="BD40" s="158"/>
      <c r="BE40" s="159"/>
      <c r="BF40" s="159"/>
      <c r="BG40" s="160"/>
      <c r="BH40" s="160" t="b">
        <f t="shared" si="1"/>
        <v>0</v>
      </c>
      <c r="BI40" s="159" t="b">
        <f t="shared" si="2"/>
        <v>0</v>
      </c>
      <c r="BJ40" s="159">
        <f t="shared" si="3"/>
        <v>0.121</v>
      </c>
      <c r="BK40" s="159">
        <f t="shared" si="4"/>
        <v>8.4500000000000006E-2</v>
      </c>
      <c r="BL40" s="159">
        <f>AX40</f>
        <v>0.79479887141471606</v>
      </c>
      <c r="BM40" s="160"/>
      <c r="BN40" s="160"/>
      <c r="BO40" s="160"/>
      <c r="BP40" s="168"/>
      <c r="BQ40" s="168"/>
      <c r="BR40" s="156"/>
      <c r="BS40" s="156"/>
      <c r="BT40" s="169"/>
      <c r="BU40" s="169"/>
      <c r="BV40" s="170"/>
      <c r="BW40" s="169"/>
      <c r="BX40" s="169"/>
      <c r="BY40" s="169"/>
      <c r="BZ40" s="169"/>
      <c r="CA40" s="169"/>
      <c r="CB40" s="169"/>
      <c r="CC40" s="169"/>
      <c r="CD40" s="169"/>
      <c r="CE40" s="169"/>
      <c r="CF40" s="169"/>
      <c r="CG40" s="169"/>
      <c r="CH40" s="169"/>
      <c r="CI40" s="169"/>
      <c r="CJ40" s="163"/>
      <c r="CK40" s="163"/>
      <c r="CL40" s="163"/>
      <c r="CM40" s="163"/>
      <c r="CN40" s="163"/>
      <c r="CO40" s="163"/>
      <c r="CP40" s="163"/>
      <c r="CQ40" s="163"/>
      <c r="CR40" s="163">
        <f>K39*SQRT(CL39^2+CM39^2)/(SQRT(CP39^2+CQ39^2)*SQRT(CG39^2+CH39^2))</f>
        <v>899.04036027373058</v>
      </c>
      <c r="CS40" s="163">
        <f>K39*SQRT(CJ39^2+CK39^2)/(SQRT(CN39^2+CO39^2)*SQRT(CE39^2+CF39^2))</f>
        <v>707.80945354390997</v>
      </c>
      <c r="CT40" s="113">
        <f t="shared" si="5"/>
        <v>0</v>
      </c>
      <c r="CU40" s="163"/>
      <c r="CV40" s="156">
        <v>0</v>
      </c>
      <c r="CW40" s="156"/>
      <c r="CX40" s="156"/>
      <c r="CY40" s="156"/>
      <c r="CZ40" s="156"/>
      <c r="DA40" s="156"/>
      <c r="DB40" s="156"/>
    </row>
    <row r="41" spans="5:106" ht="24" customHeight="1" x14ac:dyDescent="0.15">
      <c r="E41" s="303" t="s">
        <v>142</v>
      </c>
      <c r="F41" s="304" t="s">
        <v>148</v>
      </c>
      <c r="G41" s="305">
        <v>3</v>
      </c>
      <c r="H41" s="218" t="str">
        <f>IF(G41="","","φ")</f>
        <v>φ</v>
      </c>
      <c r="I41" s="306" t="s">
        <v>92</v>
      </c>
      <c r="J41" s="218" t="str">
        <f>IF(I41="","","W")</f>
        <v>W</v>
      </c>
      <c r="K41" s="307">
        <v>220</v>
      </c>
      <c r="L41" s="220" t="str">
        <f>IF(K41="","","V")</f>
        <v>V</v>
      </c>
      <c r="M41" s="308">
        <v>60</v>
      </c>
      <c r="N41" s="309" t="s">
        <v>93</v>
      </c>
      <c r="O41" s="310">
        <v>300</v>
      </c>
      <c r="P41" s="311">
        <v>1</v>
      </c>
      <c r="Q41" s="198">
        <f>IF(O41="","",IF(OR(N41="油入自冷",N41="モ－ルド絶縁"),IF(G41=1,SQRT(AY41^2+AZ41^2),IF(G41=3,SQRT(BA41^2+BB41^2))),SQRT(BC41^2+BD41^2)))</f>
        <v>3.5518586683594267</v>
      </c>
      <c r="R41" s="204">
        <f>IF(P41="","",(O41*1000*P41)/(SQRT(G41)*K41))</f>
        <v>787.29582162221698</v>
      </c>
      <c r="S41" s="312"/>
      <c r="T41" s="125">
        <f>IF(AU41="","",K41*SQRT(CL41^2+CM41^2)/SQRT(CP41^2+CQ41^2))</f>
        <v>211.51507862922944</v>
      </c>
      <c r="U41" s="253">
        <v>153.4</v>
      </c>
      <c r="V41" s="257">
        <v>0.89800000000000002</v>
      </c>
      <c r="W41" s="264">
        <f>IF(OR(U41="",V41=""),"",(U41/V41))</f>
        <v>170.82405345211581</v>
      </c>
      <c r="X41" s="76">
        <v>70.956000000000003</v>
      </c>
      <c r="Y41" s="202">
        <f>IF(X41="","",VLOOKUP(X41,Ｍ,2,FALSE))</f>
        <v>0.92500000000000004</v>
      </c>
      <c r="Z41" s="202">
        <f>IF(X41="","",VLOOKUP(X41,Ｍ,3,FALSE))</f>
        <v>0.89800000000000002</v>
      </c>
      <c r="AA41" s="255">
        <v>0.4</v>
      </c>
      <c r="AB41" s="79" t="s">
        <v>94</v>
      </c>
      <c r="AC41" s="127">
        <f>IF(N(BG41)=0,"",BG41*X41*AB42*1000/(K41*SQRT(G41)))</f>
        <v>558.63362319026032</v>
      </c>
      <c r="AD41" s="251" t="str">
        <f>IF(N(BH41+BI41)=0,"",N(BH41+BI41))</f>
        <v/>
      </c>
      <c r="AE41" s="200"/>
      <c r="AF41" s="97" t="s">
        <v>73</v>
      </c>
      <c r="AG41" s="88">
        <v>200</v>
      </c>
      <c r="AH41" s="89">
        <v>3</v>
      </c>
      <c r="AI41" s="90">
        <v>29</v>
      </c>
      <c r="AJ41" s="128">
        <f t="shared" si="0"/>
        <v>1.025464956996837</v>
      </c>
      <c r="AK41" s="128">
        <f>IF(AF41="","",IF(AF41="IV",(M41/50)*BJ41*AI41,(M41/50)*BJ41*AI41/AH41))</f>
        <v>1.4036</v>
      </c>
      <c r="AL41" s="91" t="s">
        <v>104</v>
      </c>
      <c r="AM41" s="92"/>
      <c r="AN41" s="101">
        <f>IF(X41="","",K41/SQRT(CP41^2+CQ41^2))</f>
        <v>897.93900162247257</v>
      </c>
      <c r="AO41" s="103"/>
      <c r="AP41" s="100">
        <v>50</v>
      </c>
      <c r="AQ41" s="119">
        <f>IF(AF41="","",SQRT(G41)*CR42*((AJ41/1000)*COS(ATAN(CH41/CG41))+(AK41/1000)*SIN(ATAN(CH41/CG41))))</f>
        <v>2.6914521855009328</v>
      </c>
      <c r="AR41" s="108">
        <f>IF(AQ41="","",AQ41*100/K41)</f>
        <v>1.2233873570458784</v>
      </c>
      <c r="AS41" s="117">
        <f>IF(AF42="","",SQRT(G41)*CR41*((AJ42/1000)*COS(ATAN(BT41/BS41))+(AK42/1000)*SIN(ATAN(BT41/BS41))))</f>
        <v>3.7632022786452999</v>
      </c>
      <c r="AT41" s="108">
        <f>IF(AS41="","",AS41*100/K41)</f>
        <v>1.7105464902933183</v>
      </c>
      <c r="AU41" s="109">
        <f>IF(X41="","",CR41*SQRT(BN41^2+BO41^2))</f>
        <v>207.78900241327031</v>
      </c>
      <c r="AV41" s="131">
        <f>IF(AU41="","",AU41*100/K41)</f>
        <v>94.449546551486506</v>
      </c>
      <c r="AW41" s="114" t="s">
        <v>140</v>
      </c>
      <c r="AX41" s="156">
        <f>AY42/CW41</f>
        <v>1.194839196775501</v>
      </c>
      <c r="AY41" s="158" t="b">
        <f>IF(G41="","",IF(AND(G41=1,M41=50,N41="油入自冷"),VLOOKUP(O41,変１,2,FALSE),IF(AND(G41=1,M41=50,N41="モ－ルド絶縁"),VLOOKUP(O41,変１,7,FALSE),IF(AND(G41=1,M41=60,N41="油入自冷"),VLOOKUP(O41,変１,12,FALSE),IF(AND(G41=1,M41=60,N41="モ－ルド絶縁"),VLOOKUP(O41,変１,17,FALSE),FALSE)))))</f>
        <v>0</v>
      </c>
      <c r="AZ41" s="158" t="b">
        <f>IF(G41="","",IF(AND(G41=1,M41=50,N41="油入自冷"),VLOOKUP(O41,変１,3,FALSE),IF(AND(G41=1,M41=50,N41="モ－ルド絶縁"),VLOOKUP(O41,変１,8,FALSE),IF(AND(G41=1,M41=60,N41="油入自冷"),VLOOKUP(O41,変１,13,FALSE),IF(AND(G41=1,M41=60,N41="モ－ルド絶縁"),VLOOKUP(O41,変１,18,FALSE),FALSE)))))</f>
        <v>0</v>
      </c>
      <c r="BA41" s="158">
        <f>IF(G41="","",IF(AND(G41=3,M41=50,N41="油入自冷"),VLOOKUP(O41,変３,2,FALSE),IF(AND(G41=3,M41=50,N41="モ－ルド絶縁"),VLOOKUP(O41,変３,7,FALSE),IF(AND(G41=3,M41=60,N41="油入自冷"),VLOOKUP(O41,変３,12,FALSE),IF(AND(G41=3,M41=60,N41="モ－ルド絶縁"),VLOOKUP(O41,変３,17,FALSE),FALSE)))))</f>
        <v>1.41</v>
      </c>
      <c r="BB41" s="158">
        <f>IF(G41="","",IF(AND(G41=3,M41=50,N41="油入自冷"),VLOOKUP(O41,変３,3,FALSE),IF(AND(G41=3,M41=50,N41="モ－ルド絶縁"),VLOOKUP(O41,変３,8,FALSE),IF(AND(G41=3,M41=60,N41="油入自冷"),VLOOKUP(O41,変３,13,FALSE),IF(AND(G41=3,M41=60,N41="モ－ルド絶縁"),VLOOKUP(O41,変３,18,FALSE),FALSE)))))</f>
        <v>3.26</v>
      </c>
      <c r="BC41" s="158">
        <f>IF(ISNA(VLOOKUP(O41,変ＵＳＥＲ,2,FALSE)),0,VLOOKUP(O41,変ＵＳＥＲ,2,FALSE))</f>
        <v>0</v>
      </c>
      <c r="BD41" s="158">
        <f>IF(ISNA(VLOOKUP(O41,変ＵＳＥＲ,3,FALSE)),0,VLOOKUP(O41,変ＵＳＥＲ,3,FALSE)*M41/50)</f>
        <v>0</v>
      </c>
      <c r="BE41" s="159">
        <f>SQRT(G41)*(K41^2)*(N(AY41)+N(BA41)+N(BC41))/(100000*O41*P41)</f>
        <v>3.9400691770576811E-3</v>
      </c>
      <c r="BF41" s="159">
        <f>SQRT(G41)*(K41^2)*(N(AZ41)+N(BB41)+N(BD41))/(100000*O41*P41)</f>
        <v>9.1096634873815887E-3</v>
      </c>
      <c r="BG41" s="160">
        <f>IF(AB41="直 入",1,IF(AB41="Ｓ-Ｄ",1/3,IF(AB41="ﾘｱｸﾄﾙ50%",0.5,IF(AB41="ﾘｱｸﾄﾙ60%",0.6,IF(AB41="ﾘｱｸﾄﾙ80%",0.8,IF(AB41="ｺﾝﾄﾞﾙﾌｧ50%",0.25,IF(AB41="ｺﾝﾄﾞﾙﾌｧ65%",0.4225,IF(AB41="ｺﾝﾄﾞﾙﾌｧ80%",0.64,FALSE))))))))</f>
        <v>1</v>
      </c>
      <c r="BH41" s="160" t="b">
        <f t="shared" si="1"/>
        <v>0</v>
      </c>
      <c r="BI41" s="159">
        <f t="shared" si="2"/>
        <v>0</v>
      </c>
      <c r="BJ41" s="159">
        <f t="shared" si="3"/>
        <v>0.121</v>
      </c>
      <c r="BK41" s="159">
        <f t="shared" si="4"/>
        <v>8.4500000000000006E-2</v>
      </c>
      <c r="BL41" s="159">
        <f>IF(N(BL42)=0,SQRT(G41)*K41^2*Z41^2*Y41/(1000*X41),BL42*SQRT(G41)*K41^2*Z41^2*Y41/(1000*X41))</f>
        <v>0.70844110049079134</v>
      </c>
      <c r="BM41" s="159">
        <f>BL41*(TAN(ACOS(Z41)))</f>
        <v>0.34711677506959282</v>
      </c>
      <c r="BN41" s="160">
        <f>K41*AA41/AC41</f>
        <v>0.15752721702902014</v>
      </c>
      <c r="BO41" s="160">
        <f>BN41*(TAN(ACOS(AA41)))</f>
        <v>0.36094019802561061</v>
      </c>
      <c r="BP41" s="161">
        <f>IF(AE41=0,2*3.141592654*M41*N(AD41)*SQRT(G41)/1000000,AE41*1000*SQRT(G41)/K41^2)</f>
        <v>0</v>
      </c>
      <c r="BQ41" s="162">
        <f>BL41+(AJ42/1000)</f>
        <v>0.71086205037707473</v>
      </c>
      <c r="BR41" s="163">
        <f>BM41+(AK42/1000)</f>
        <v>0.35055117506959282</v>
      </c>
      <c r="BS41" s="163">
        <f>BN41+(AJ42/1000)</f>
        <v>0.15994816691530359</v>
      </c>
      <c r="BT41" s="163">
        <f>BO41+(AK42/1000)</f>
        <v>0.36437459802561062</v>
      </c>
      <c r="BU41" s="164">
        <f>BQ41/((BP41*BQ41)^2+(BP41*BR41-1)^2)</f>
        <v>0.71086205037707473</v>
      </c>
      <c r="BV41" s="165">
        <f>(BR41-BP41*(BQ41^2+BR41^2))/((BP41*BQ41)^2+(BP41*BR41-1)^2)</f>
        <v>0.35055117506959282</v>
      </c>
      <c r="BW41" s="163">
        <f>BS41/((BP41*BS41)^2+(BP41*BT41-1)^2)</f>
        <v>0.15994816691530359</v>
      </c>
      <c r="BX41" s="163">
        <f>(BT41-BP41*(BS41^2+BT41^2))/((BP41*BS41)^2+(BP41*BT41-1)^2)</f>
        <v>0.36437459802561062</v>
      </c>
      <c r="BY41" s="164">
        <f>IF(U41=0,10^20,K41^2*CU41*V41/(1000*W41))</f>
        <v>0.44069010855447072</v>
      </c>
      <c r="BZ41" s="164">
        <f>IF(U41=0,10^20,BY41*TAN(ACOS(V41)))</f>
        <v>0.21592610759105024</v>
      </c>
      <c r="CA41" s="163">
        <f>(BU41*(BY41^2+BZ41^2)+BY41*(BU41^2+BV41^2))/((BU41+BY41)^2+(BV41+BZ41)^2)</f>
        <v>0.27204192856154841</v>
      </c>
      <c r="CB41" s="163">
        <f>(BZ41*(BU41^2+BV41^2)+BV41*(BY41^2+BZ41^2))/((BU41+BY41)^2+(BV41+BZ41)^2)</f>
        <v>0.13362185751871902</v>
      </c>
      <c r="CC41" s="163">
        <f>(BW41*(BY41^2+BZ41^2)+BY41*(BW41^2+BX41^2))/((BW41+BY41)^2+(BX41+BZ41)^2)</f>
        <v>0.1552724340521599</v>
      </c>
      <c r="CD41" s="163">
        <f>(BZ41*(BW41^2+BX41^2)+BX41*(BY41^2+BZ41^2))/((BW41+BY41)^2+(BX41+BZ41)^2)</f>
        <v>0.17482829100647701</v>
      </c>
      <c r="CE41" s="163">
        <f>CA41+(N(AJ41)/1000)</f>
        <v>0.27306739351854525</v>
      </c>
      <c r="CF41" s="163">
        <f>CB41+(N(AK41)/1000)</f>
        <v>0.13502545751871903</v>
      </c>
      <c r="CG41" s="163">
        <f>CC41+(N(AJ41)/1000)</f>
        <v>0.15629789900915675</v>
      </c>
      <c r="CH41" s="163">
        <f>CD41+(N(AK41)/1000)</f>
        <v>0.17623189100647701</v>
      </c>
      <c r="CI41" s="163">
        <f>S41*1000/K41^2/SQRT(G41)</f>
        <v>0</v>
      </c>
      <c r="CJ41" s="163">
        <f>CE41/((CI41*CE41)^2+(CI41*CF41-1)^2)</f>
        <v>0.27306739351854525</v>
      </c>
      <c r="CK41" s="163">
        <f>(CF41-CI41*(CE41^2+CF41^2))/((CI41*CE41)^2+(CI41*CF41-1)^2)</f>
        <v>0.13502545751871903</v>
      </c>
      <c r="CL41" s="163">
        <f>CG41/((CI41*CG41)^2+(CI41*CH41-1)^2)</f>
        <v>0.15629789900915675</v>
      </c>
      <c r="CM41" s="163">
        <f>(CH41-CI41*(CG41^2+CH41^2))/((CI41*CG41)^2+(CI41*CH41-1)^2)</f>
        <v>0.17623189100647701</v>
      </c>
      <c r="CN41" s="163">
        <f>CJ41+BE41</f>
        <v>0.27700746269560295</v>
      </c>
      <c r="CO41" s="163">
        <f>CK41+BF41</f>
        <v>0.14413512100610062</v>
      </c>
      <c r="CP41" s="163">
        <f>CL41+BE41</f>
        <v>0.16023796818621444</v>
      </c>
      <c r="CQ41" s="163">
        <f>CM41+BF41</f>
        <v>0.18534155449385861</v>
      </c>
      <c r="CR41" s="163">
        <f>K41*SQRT(CC41^2+CD41^2)*SQRT(CL41^2+CM41^2)/(SQRT(CP41^2+CQ41^2)*SQRT(BS41^2+BT41^2)*SQRT(CG41^2+CH41^2))</f>
        <v>527.62692398734077</v>
      </c>
      <c r="CS41" s="163">
        <f>K41*SQRT(CA41^2+CB41^2)*SQRT(CJ41^2+CK41^2)/(SQRT(CN41^2+CO41^2)*SQRT(BQ41^2+BR41^2)*SQRT(CE41^2+CF41^2))</f>
        <v>269.41183802978986</v>
      </c>
      <c r="CT41" s="113">
        <f t="shared" si="5"/>
        <v>1</v>
      </c>
      <c r="CU41" s="163">
        <f>IF(G41=3,SQRT(3),2)</f>
        <v>1.7320508075688772</v>
      </c>
      <c r="CV41" s="156">
        <v>1</v>
      </c>
      <c r="CW41" s="156">
        <f>X42*1.17*(AU42/K41)/((AU42/K41)^2+0.17)</f>
        <v>229.65884188241981</v>
      </c>
      <c r="CX41" s="164">
        <f>AO42/CW41</f>
        <v>3.067744850217236</v>
      </c>
      <c r="CY41" s="156">
        <f>IF(AB41="Ｓ-Ｄ",0.57735,1)</f>
        <v>1</v>
      </c>
      <c r="CZ41" s="156"/>
      <c r="DA41" s="156"/>
      <c r="DB41" s="156"/>
    </row>
    <row r="42" spans="5:106" ht="24" customHeight="1" x14ac:dyDescent="0.15">
      <c r="E42" s="313"/>
      <c r="F42" s="314"/>
      <c r="G42" s="315"/>
      <c r="H42" s="219"/>
      <c r="I42" s="316"/>
      <c r="J42" s="219"/>
      <c r="K42" s="317"/>
      <c r="L42" s="221"/>
      <c r="M42" s="318"/>
      <c r="N42" s="319"/>
      <c r="O42" s="320"/>
      <c r="P42" s="321"/>
      <c r="Q42" s="199"/>
      <c r="R42" s="205"/>
      <c r="S42" s="322"/>
      <c r="T42" s="134">
        <f>IF(AU42="","",K41*SQRT(CJ41^2+CK41^2)/SQRT(CN41^2+CO41^2))</f>
        <v>214.62037788538692</v>
      </c>
      <c r="U42" s="254"/>
      <c r="V42" s="258"/>
      <c r="W42" s="265"/>
      <c r="X42" s="126">
        <f>IF(X41=0,"",X41*1000/(Y41*Z41*K41*SQRT(G41)))</f>
        <v>224.17529372188858</v>
      </c>
      <c r="Y42" s="203"/>
      <c r="Z42" s="203"/>
      <c r="AA42" s="256"/>
      <c r="AB42" s="78">
        <v>3</v>
      </c>
      <c r="AC42" s="107">
        <f>IF(AV41="","",CT41*AV41/100)</f>
        <v>0.94449546551486507</v>
      </c>
      <c r="AD42" s="252"/>
      <c r="AE42" s="201"/>
      <c r="AF42" s="93" t="s">
        <v>73</v>
      </c>
      <c r="AG42" s="94">
        <v>150</v>
      </c>
      <c r="AH42" s="95">
        <v>1</v>
      </c>
      <c r="AI42" s="96">
        <v>18</v>
      </c>
      <c r="AJ42" s="129">
        <f t="shared" si="0"/>
        <v>2.4209498862834291</v>
      </c>
      <c r="AK42" s="130">
        <f>IF(AF42="","",IF(AF42="IV",(M41/50)*BJ42*AI42,(M41/50)*BJ42*AI42/AH42))</f>
        <v>3.4344000000000001</v>
      </c>
      <c r="AL42" s="98" t="s">
        <v>103</v>
      </c>
      <c r="AM42" s="99"/>
      <c r="AN42" s="102"/>
      <c r="AO42" s="104">
        <f>IF(X41="","",K41/SQRT(CN41^2+CO41^2))</f>
        <v>704.53472949164779</v>
      </c>
      <c r="AP42" s="66">
        <v>40</v>
      </c>
      <c r="AQ42" s="120">
        <f>IF(AF41="","",SQRT(G41)*CS42*((AJ41/1000)*COS(ATAN(CF41/CE41))+(AK41/1000)*SIN(ATAN(CF41/CE41))))</f>
        <v>1.8809170661176133</v>
      </c>
      <c r="AR42" s="110">
        <f>IF(AQ42="","",AQ42*100/K41)</f>
        <v>0.85496230278073337</v>
      </c>
      <c r="AS42" s="118">
        <f>IF(AF42="","",CY41*SQRT(G41)*CS41*((AJ42/1000)*COS(ATAN(BR41/BQ41))+(AK42/1000)*SIN(ATAN(BR41/BQ41))))</f>
        <v>1.7220062557526172</v>
      </c>
      <c r="AT42" s="111">
        <f>IF(AS42="","",AS42*100/K41)</f>
        <v>0.7827301162511896</v>
      </c>
      <c r="AU42" s="112">
        <f>IF(X41="","",CS41*SQRT(BL41^2+BM41^2))</f>
        <v>212.54166928627075</v>
      </c>
      <c r="AV42" s="132">
        <f>IF(AU41="","",AU42*100/K41)</f>
        <v>96.609849675577607</v>
      </c>
      <c r="AW42" s="115" t="s">
        <v>102</v>
      </c>
      <c r="AX42" s="156">
        <v>0.80388232327992071</v>
      </c>
      <c r="AY42" s="166">
        <f>IF(X41="","",IF(OR(AJ41="",AK41=""),K41/SQRT((BU41+BE41)^2+(BV41+BF41)^2),K41/SQRT((BU41+(AJ41/1000)+BE41)^2+(BV41+(AK41/1000)+BF41)^2)))</f>
        <v>274.40538616718226</v>
      </c>
      <c r="AZ42" s="159"/>
      <c r="BA42" s="159"/>
      <c r="BB42" s="167"/>
      <c r="BC42" s="158"/>
      <c r="BD42" s="158"/>
      <c r="BE42" s="159"/>
      <c r="BF42" s="159"/>
      <c r="BG42" s="160"/>
      <c r="BH42" s="160" t="b">
        <f t="shared" si="1"/>
        <v>0</v>
      </c>
      <c r="BI42" s="159" t="b">
        <f t="shared" si="2"/>
        <v>0</v>
      </c>
      <c r="BJ42" s="159">
        <f t="shared" si="3"/>
        <v>0.159</v>
      </c>
      <c r="BK42" s="159">
        <f t="shared" si="4"/>
        <v>8.3900000000000002E-2</v>
      </c>
      <c r="BL42" s="159">
        <f>AX42</f>
        <v>0.80388232327992071</v>
      </c>
      <c r="BM42" s="160"/>
      <c r="BN42" s="160"/>
      <c r="BO42" s="160"/>
      <c r="BP42" s="168"/>
      <c r="BQ42" s="168"/>
      <c r="BR42" s="156"/>
      <c r="BS42" s="156"/>
      <c r="BT42" s="169"/>
      <c r="BU42" s="169"/>
      <c r="BV42" s="170"/>
      <c r="BW42" s="169"/>
      <c r="BX42" s="169"/>
      <c r="BY42" s="169"/>
      <c r="BZ42" s="169"/>
      <c r="CA42" s="169"/>
      <c r="CB42" s="169"/>
      <c r="CC42" s="169"/>
      <c r="CD42" s="169"/>
      <c r="CE42" s="169"/>
      <c r="CF42" s="169"/>
      <c r="CG42" s="169"/>
      <c r="CH42" s="169"/>
      <c r="CI42" s="169"/>
      <c r="CJ42" s="163"/>
      <c r="CK42" s="163"/>
      <c r="CL42" s="163"/>
      <c r="CM42" s="163"/>
      <c r="CN42" s="163"/>
      <c r="CO42" s="163"/>
      <c r="CP42" s="163"/>
      <c r="CQ42" s="163"/>
      <c r="CR42" s="163">
        <f>K41*SQRT(CL41^2+CM41^2)/(SQRT(CP41^2+CQ41^2)*SQRT(CG41^2+CH41^2))</f>
        <v>897.93900162247257</v>
      </c>
      <c r="CS42" s="163">
        <f>K41*SQRT(CJ41^2+CK41^2)/(SQRT(CN41^2+CO41^2)*SQRT(CE41^2+CF41^2))</f>
        <v>704.53472949164779</v>
      </c>
      <c r="CT42" s="113">
        <f t="shared" si="5"/>
        <v>0</v>
      </c>
      <c r="CU42" s="163"/>
      <c r="CV42" s="156">
        <v>0</v>
      </c>
      <c r="CW42" s="156"/>
      <c r="CX42" s="156"/>
      <c r="CY42" s="156"/>
      <c r="CZ42" s="156"/>
      <c r="DA42" s="156"/>
      <c r="DB42" s="156"/>
    </row>
    <row r="43" spans="5:106" ht="24" customHeight="1" x14ac:dyDescent="0.15">
      <c r="E43" s="303"/>
      <c r="F43" s="304"/>
      <c r="G43" s="305"/>
      <c r="H43" s="218" t="str">
        <f>IF(G43="","","φ")</f>
        <v/>
      </c>
      <c r="I43" s="306"/>
      <c r="J43" s="218" t="str">
        <f>IF(I43="","","W")</f>
        <v/>
      </c>
      <c r="K43" s="307"/>
      <c r="L43" s="220" t="str">
        <f>IF(K43="","","V")</f>
        <v/>
      </c>
      <c r="M43" s="308"/>
      <c r="N43" s="309"/>
      <c r="O43" s="310"/>
      <c r="P43" s="311"/>
      <c r="Q43" s="198" t="str">
        <f>IF(O43="","",IF(OR(N43="油入自冷",N43="モ－ルド絶縁"),IF(G43=1,SQRT(AY43^2+AZ43^2),IF(G43=3,SQRT(BA43^2+BB43^2))),SQRT(BC43^2+BD43^2)))</f>
        <v/>
      </c>
      <c r="R43" s="204" t="str">
        <f>IF(P43="","",(O43*1000*P43)/(SQRT(G43)*K43))</f>
        <v/>
      </c>
      <c r="S43" s="312"/>
      <c r="T43" s="125" t="str">
        <f>IF(AU43="","",K43*SQRT(CL43^2+CM43^2)/SQRT(CP43^2+CQ43^2))</f>
        <v/>
      </c>
      <c r="U43" s="253"/>
      <c r="V43" s="257"/>
      <c r="W43" s="264" t="str">
        <f>IF(OR(U43="",V43=""),"",(U43/V43))</f>
        <v/>
      </c>
      <c r="X43" s="76"/>
      <c r="Y43" s="202" t="str">
        <f>IF(X43="","",VLOOKUP(X43,Ｍ,2,FALSE))</f>
        <v/>
      </c>
      <c r="Z43" s="202" t="str">
        <f>IF(X43="","",VLOOKUP(X43,Ｍ,3,FALSE))</f>
        <v/>
      </c>
      <c r="AA43" s="255"/>
      <c r="AB43" s="79"/>
      <c r="AC43" s="127" t="str">
        <f>IF(N(BG43)=0,"",BG43*X43*AB44*1000/(K43*SQRT(G43)))</f>
        <v/>
      </c>
      <c r="AD43" s="251" t="str">
        <f>IF(N(BH43+BI43)=0,"",N(BH43+BI43))</f>
        <v/>
      </c>
      <c r="AE43" s="200"/>
      <c r="AF43" s="97"/>
      <c r="AG43" s="88"/>
      <c r="AH43" s="89"/>
      <c r="AI43" s="90"/>
      <c r="AJ43" s="128" t="str">
        <f t="shared" si="0"/>
        <v/>
      </c>
      <c r="AK43" s="128" t="str">
        <f>IF(AF43="","",IF(AF43="IV",(M43/50)*BJ43*AI43,(M43/50)*BJ43*AI43/AH43))</f>
        <v/>
      </c>
      <c r="AL43" s="91"/>
      <c r="AM43" s="92"/>
      <c r="AN43" s="101" t="str">
        <f>IF(X43="","",K43/SQRT(CP43^2+CQ43^2))</f>
        <v/>
      </c>
      <c r="AO43" s="103"/>
      <c r="AP43" s="100"/>
      <c r="AQ43" s="119" t="str">
        <f>IF(AF43="","",SQRT(G43)*CR44*((AJ43/1000)*COS(ATAN(CH43/CG43))+(AK43/1000)*SIN(ATAN(CH43/CG43))))</f>
        <v/>
      </c>
      <c r="AR43" s="108" t="str">
        <f>IF(AQ43="","",AQ43*100/K43)</f>
        <v/>
      </c>
      <c r="AS43" s="117" t="str">
        <f>IF(AF44="","",SQRT(G43)*CR43*((AJ44/1000)*COS(ATAN(BT43/BS43))+(AK44/1000)*SIN(ATAN(BT43/BS43))))</f>
        <v/>
      </c>
      <c r="AT43" s="108" t="str">
        <f>IF(AS43="","",AS43*100/K43)</f>
        <v/>
      </c>
      <c r="AU43" s="109" t="str">
        <f>IF(X43="","",CR43*SQRT(BN43^2+BO43^2))</f>
        <v/>
      </c>
      <c r="AV43" s="131" t="str">
        <f>IF(AU43="","",AU43*100/K43)</f>
        <v/>
      </c>
      <c r="AW43" s="114"/>
      <c r="AX43" s="156" t="e">
        <f>AY44/CW43</f>
        <v>#VALUE!</v>
      </c>
      <c r="AY43" s="158" t="str">
        <f>IF(G43="","",IF(AND(G43=1,M43=50,N43="油入自冷"),VLOOKUP(O43,変１,2,FALSE),IF(AND(G43=1,M43=50,N43="モ－ルド絶縁"),VLOOKUP(O43,変１,7,FALSE),IF(AND(G43=1,M43=60,N43="油入自冷"),VLOOKUP(O43,変１,12,FALSE),IF(AND(G43=1,M43=60,N43="モ－ルド絶縁"),VLOOKUP(O43,変１,17,FALSE),FALSE)))))</f>
        <v/>
      </c>
      <c r="AZ43" s="158" t="str">
        <f>IF(G43="","",IF(AND(G43=1,M43=50,N43="油入自冷"),VLOOKUP(O43,変１,3,FALSE),IF(AND(G43=1,M43=50,N43="モ－ルド絶縁"),VLOOKUP(O43,変１,8,FALSE),IF(AND(G43=1,M43=60,N43="油入自冷"),VLOOKUP(O43,変１,13,FALSE),IF(AND(G43=1,M43=60,N43="モ－ルド絶縁"),VLOOKUP(O43,変１,18,FALSE),FALSE)))))</f>
        <v/>
      </c>
      <c r="BA43" s="158" t="str">
        <f>IF(G43="","",IF(AND(G43=3,M43=50,N43="油入自冷"),VLOOKUP(O43,変３,2,FALSE),IF(AND(G43=3,M43=50,N43="モ－ルド絶縁"),VLOOKUP(O43,変３,7,FALSE),IF(AND(G43=3,M43=60,N43="油入自冷"),VLOOKUP(O43,変３,12,FALSE),IF(AND(G43=3,M43=60,N43="モ－ルド絶縁"),VLOOKUP(O43,変３,17,FALSE),FALSE)))))</f>
        <v/>
      </c>
      <c r="BB43" s="158" t="str">
        <f>IF(G43="","",IF(AND(G43=3,M43=50,N43="油入自冷"),VLOOKUP(O43,変３,3,FALSE),IF(AND(G43=3,M43=50,N43="モ－ルド絶縁"),VLOOKUP(O43,変３,8,FALSE),IF(AND(G43=3,M43=60,N43="油入自冷"),VLOOKUP(O43,変３,13,FALSE),IF(AND(G43=3,M43=60,N43="モ－ルド絶縁"),VLOOKUP(O43,変３,18,FALSE),FALSE)))))</f>
        <v/>
      </c>
      <c r="BC43" s="158">
        <f>IF(ISNA(VLOOKUP(O43,変ＵＳＥＲ,2,FALSE)),0,VLOOKUP(O43,変ＵＳＥＲ,2,FALSE))</f>
        <v>0</v>
      </c>
      <c r="BD43" s="158">
        <f>IF(ISNA(VLOOKUP(O43,変ＵＳＥＲ,3,FALSE)),0,VLOOKUP(O43,変ＵＳＥＲ,3,FALSE)*M43/50)</f>
        <v>0</v>
      </c>
      <c r="BE43" s="159" t="e">
        <f>SQRT(G43)*(K43^2)*(N(AY43)+N(BA43)+N(BC43))/(100000*O43*P43)</f>
        <v>#DIV/0!</v>
      </c>
      <c r="BF43" s="159" t="e">
        <f>SQRT(G43)*(K43^2)*(N(AZ43)+N(BB43)+N(BD43))/(100000*O43*P43)</f>
        <v>#DIV/0!</v>
      </c>
      <c r="BG43" s="160" t="b">
        <f>IF(AB43="直 入",1,IF(AB43="Ｓ-Ｄ",1/3,IF(AB43="ﾘｱｸﾄﾙ50%",0.5,IF(AB43="ﾘｱｸﾄﾙ60%",0.6,IF(AB43="ﾘｱｸﾄﾙ80%",0.8,IF(AB43="ｺﾝﾄﾞﾙﾌｧ50%",0.25,IF(AB43="ｺﾝﾄﾞﾙﾌｧ65%",0.4225,IF(AB43="ｺﾝﾄﾞﾙﾌｧ80%",0.64,FALSE))))))))</f>
        <v>0</v>
      </c>
      <c r="BH43" s="160" t="b">
        <f t="shared" si="1"/>
        <v>0</v>
      </c>
      <c r="BI43" s="159" t="b">
        <f t="shared" si="2"/>
        <v>0</v>
      </c>
      <c r="BJ43" s="159" t="e">
        <f t="shared" si="3"/>
        <v>#N/A</v>
      </c>
      <c r="BK43" s="159" t="e">
        <f t="shared" si="4"/>
        <v>#N/A</v>
      </c>
      <c r="BL43" s="159" t="e">
        <f>IF(N(BL44)=0,SQRT(G43)*K43^2*Z43^2*Y43/(1000*X43),BL44*SQRT(G43)*K43^2*Z43^2*Y43/(1000*X43))</f>
        <v>#VALUE!</v>
      </c>
      <c r="BM43" s="159" t="e">
        <f>BL43*(TAN(ACOS(Z43)))</f>
        <v>#VALUE!</v>
      </c>
      <c r="BN43" s="160" t="e">
        <f>K43*AA43/AC43</f>
        <v>#VALUE!</v>
      </c>
      <c r="BO43" s="160" t="e">
        <f>BN43*(TAN(ACOS(AA43)))</f>
        <v>#VALUE!</v>
      </c>
      <c r="BP43" s="161">
        <f>IF(AE43=0,2*3.141592654*M43*N(AD43)*SQRT(G43)/1000000,AE43*1000*SQRT(G43)/K43^2)</f>
        <v>0</v>
      </c>
      <c r="BQ43" s="162" t="e">
        <f>BL43+(AJ44/1000)</f>
        <v>#VALUE!</v>
      </c>
      <c r="BR43" s="163" t="e">
        <f>BM43+(AK44/1000)</f>
        <v>#VALUE!</v>
      </c>
      <c r="BS43" s="163" t="e">
        <f>BN43+(AJ44/1000)</f>
        <v>#VALUE!</v>
      </c>
      <c r="BT43" s="163" t="e">
        <f>BO43+(AK44/1000)</f>
        <v>#VALUE!</v>
      </c>
      <c r="BU43" s="164" t="e">
        <f>BQ43/((BP43*BQ43)^2+(BP43*BR43-1)^2)</f>
        <v>#VALUE!</v>
      </c>
      <c r="BV43" s="165" t="e">
        <f>(BR43-BP43*(BQ43^2+BR43^2))/((BP43*BQ43)^2+(BP43*BR43-1)^2)</f>
        <v>#VALUE!</v>
      </c>
      <c r="BW43" s="163" t="e">
        <f>BS43/((BP43*BS43)^2+(BP43*BT43-1)^2)</f>
        <v>#VALUE!</v>
      </c>
      <c r="BX43" s="163" t="e">
        <f>(BT43-BP43*(BS43^2+BT43^2))/((BP43*BS43)^2+(BP43*BT43-1)^2)</f>
        <v>#VALUE!</v>
      </c>
      <c r="BY43" s="164">
        <f>IF(U43=0,10^20,K43^2*CU43*V43/(1000*W43))</f>
        <v>1E+20</v>
      </c>
      <c r="BZ43" s="164">
        <f>IF(U43=0,10^20,BY43*TAN(ACOS(V43)))</f>
        <v>1E+20</v>
      </c>
      <c r="CA43" s="163" t="e">
        <f>(BU43*(BY43^2+BZ43^2)+BY43*(BU43^2+BV43^2))/((BU43+BY43)^2+(BV43+BZ43)^2)</f>
        <v>#VALUE!</v>
      </c>
      <c r="CB43" s="163" t="e">
        <f>(BZ43*(BU43^2+BV43^2)+BV43*(BY43^2+BZ43^2))/((BU43+BY43)^2+(BV43+BZ43)^2)</f>
        <v>#VALUE!</v>
      </c>
      <c r="CC43" s="163" t="e">
        <f>(BW43*(BY43^2+BZ43^2)+BY43*(BW43^2+BX43^2))/((BW43+BY43)^2+(BX43+BZ43)^2)</f>
        <v>#VALUE!</v>
      </c>
      <c r="CD43" s="163" t="e">
        <f>(BZ43*(BW43^2+BX43^2)+BX43*(BY43^2+BZ43^2))/((BW43+BY43)^2+(BX43+BZ43)^2)</f>
        <v>#VALUE!</v>
      </c>
      <c r="CE43" s="163" t="e">
        <f>CA43+(N(AJ43)/1000)</f>
        <v>#VALUE!</v>
      </c>
      <c r="CF43" s="163" t="e">
        <f>CB43+(N(AK43)/1000)</f>
        <v>#VALUE!</v>
      </c>
      <c r="CG43" s="163" t="e">
        <f>CC43+(N(AJ43)/1000)</f>
        <v>#VALUE!</v>
      </c>
      <c r="CH43" s="163" t="e">
        <f>CD43+(N(AK43)/1000)</f>
        <v>#VALUE!</v>
      </c>
      <c r="CI43" s="163" t="e">
        <f>S43*1000/K43^2/SQRT(G43)</f>
        <v>#DIV/0!</v>
      </c>
      <c r="CJ43" s="163" t="e">
        <f>CE43/((CI43*CE43)^2+(CI43*CF43-1)^2)</f>
        <v>#VALUE!</v>
      </c>
      <c r="CK43" s="163" t="e">
        <f>(CF43-CI43*(CE43^2+CF43^2))/((CI43*CE43)^2+(CI43*CF43-1)^2)</f>
        <v>#VALUE!</v>
      </c>
      <c r="CL43" s="163" t="e">
        <f>CG43/((CI43*CG43)^2+(CI43*CH43-1)^2)</f>
        <v>#VALUE!</v>
      </c>
      <c r="CM43" s="163" t="e">
        <f>(CH43-CI43*(CG43^2+CH43^2))/((CI43*CG43)^2+(CI43*CH43-1)^2)</f>
        <v>#VALUE!</v>
      </c>
      <c r="CN43" s="163" t="e">
        <f>CJ43+BE43</f>
        <v>#VALUE!</v>
      </c>
      <c r="CO43" s="163" t="e">
        <f>CK43+BF43</f>
        <v>#VALUE!</v>
      </c>
      <c r="CP43" s="163" t="e">
        <f>CL43+BE43</f>
        <v>#VALUE!</v>
      </c>
      <c r="CQ43" s="163" t="e">
        <f>CM43+BF43</f>
        <v>#VALUE!</v>
      </c>
      <c r="CR43" s="163" t="e">
        <f>K43*SQRT(CC43^2+CD43^2)*SQRT(CL43^2+CM43^2)/(SQRT(CP43^2+CQ43^2)*SQRT(BS43^2+BT43^2)*SQRT(CG43^2+CH43^2))</f>
        <v>#VALUE!</v>
      </c>
      <c r="CS43" s="163" t="e">
        <f>K43*SQRT(CA43^2+CB43^2)*SQRT(CJ43^2+CK43^2)/(SQRT(CN43^2+CO43^2)*SQRT(BQ43^2+BR43^2)*SQRT(CE43^2+CF43^2))</f>
        <v>#VALUE!</v>
      </c>
      <c r="CT43" s="113">
        <f t="shared" si="5"/>
        <v>1</v>
      </c>
      <c r="CU43" s="163">
        <f>IF(G43=3,SQRT(3),2)</f>
        <v>2</v>
      </c>
      <c r="CV43" s="156">
        <v>1</v>
      </c>
      <c r="CW43" s="156" t="e">
        <f>X44*1.17*(AU44/K43)/((AU44/K43)^2+0.17)</f>
        <v>#VALUE!</v>
      </c>
      <c r="CX43" s="164" t="e">
        <f>AO44/CW43</f>
        <v>#VALUE!</v>
      </c>
      <c r="CY43" s="156">
        <f>IF(AB43="Ｓ-Ｄ",0.57735,1)</f>
        <v>1</v>
      </c>
      <c r="CZ43" s="156"/>
      <c r="DA43" s="156"/>
      <c r="DB43" s="156"/>
    </row>
    <row r="44" spans="5:106" ht="24" customHeight="1" x14ac:dyDescent="0.15">
      <c r="E44" s="313"/>
      <c r="F44" s="314"/>
      <c r="G44" s="315"/>
      <c r="H44" s="219"/>
      <c r="I44" s="316"/>
      <c r="J44" s="219"/>
      <c r="K44" s="317"/>
      <c r="L44" s="221"/>
      <c r="M44" s="318"/>
      <c r="N44" s="319"/>
      <c r="O44" s="320"/>
      <c r="P44" s="321"/>
      <c r="Q44" s="199"/>
      <c r="R44" s="205"/>
      <c r="S44" s="322"/>
      <c r="T44" s="134" t="str">
        <f>IF(AU44="","",K43*SQRT(CJ43^2+CK43^2)/SQRT(CN43^2+CO43^2))</f>
        <v/>
      </c>
      <c r="U44" s="254"/>
      <c r="V44" s="258"/>
      <c r="W44" s="265"/>
      <c r="X44" s="126" t="str">
        <f>IF(X43=0,"",X43*1000/(Y43*Z43*K43*SQRT(G43)))</f>
        <v/>
      </c>
      <c r="Y44" s="203"/>
      <c r="Z44" s="203"/>
      <c r="AA44" s="256"/>
      <c r="AB44" s="78"/>
      <c r="AC44" s="107" t="str">
        <f>IF(AV43="","",CT43*AV43/100)</f>
        <v/>
      </c>
      <c r="AD44" s="252"/>
      <c r="AE44" s="201"/>
      <c r="AF44" s="93"/>
      <c r="AG44" s="94"/>
      <c r="AH44" s="95"/>
      <c r="AI44" s="96"/>
      <c r="AJ44" s="129" t="str">
        <f t="shared" si="0"/>
        <v/>
      </c>
      <c r="AK44" s="130" t="str">
        <f>IF(AF44="","",IF(AF44="IV",(M43/50)*BJ44*AI44,(M43/50)*BJ44*AI44/AH44))</f>
        <v/>
      </c>
      <c r="AL44" s="98"/>
      <c r="AM44" s="99"/>
      <c r="AN44" s="102"/>
      <c r="AO44" s="104" t="str">
        <f>IF(X43="","",K43/SQRT(CN43^2+CO43^2))</f>
        <v/>
      </c>
      <c r="AP44" s="66"/>
      <c r="AQ44" s="120" t="str">
        <f>IF(AF43="","",SQRT(G43)*CS44*((AJ43/1000)*COS(ATAN(CF43/CE43))+(AK43/1000)*SIN(ATAN(CF43/CE43))))</f>
        <v/>
      </c>
      <c r="AR44" s="110" t="str">
        <f>IF(AQ44="","",AQ44*100/K43)</f>
        <v/>
      </c>
      <c r="AS44" s="118" t="str">
        <f>IF(AF44="","",CY43*SQRT(G43)*CS43*((AJ44/1000)*COS(ATAN(BR43/BQ43))+(AK44/1000)*SIN(ATAN(BR43/BQ43))))</f>
        <v/>
      </c>
      <c r="AT44" s="111" t="str">
        <f>IF(AS44="","",AS44*100/K43)</f>
        <v/>
      </c>
      <c r="AU44" s="112" t="str">
        <f>IF(X43="","",CS43*SQRT(BL43^2+BM43^2))</f>
        <v/>
      </c>
      <c r="AV44" s="132" t="str">
        <f>IF(AU43="","",AU44*100/K43)</f>
        <v/>
      </c>
      <c r="AW44" s="115"/>
      <c r="AX44" s="156"/>
      <c r="AY44" s="166" t="str">
        <f>IF(X43="","",IF(OR(AJ43="",AK43=""),K43/SQRT((BU43+BE43)^2+(BV43+BF43)^2),K43/SQRT((BU43+(AJ43/1000)+BE43)^2+(BV43+(AK43/1000)+BF43)^2)))</f>
        <v/>
      </c>
      <c r="AZ44" s="159"/>
      <c r="BA44" s="159"/>
      <c r="BB44" s="167"/>
      <c r="BC44" s="158"/>
      <c r="BD44" s="158"/>
      <c r="BE44" s="159"/>
      <c r="BF44" s="159"/>
      <c r="BG44" s="160"/>
      <c r="BH44" s="160" t="b">
        <f t="shared" si="1"/>
        <v>0</v>
      </c>
      <c r="BI44" s="159" t="b">
        <f t="shared" si="2"/>
        <v>0</v>
      </c>
      <c r="BJ44" s="159" t="e">
        <f t="shared" si="3"/>
        <v>#N/A</v>
      </c>
      <c r="BK44" s="159" t="e">
        <f t="shared" si="4"/>
        <v>#N/A</v>
      </c>
      <c r="BL44" s="159">
        <f>AX44</f>
        <v>0</v>
      </c>
      <c r="BM44" s="160"/>
      <c r="BN44" s="160"/>
      <c r="BO44" s="160"/>
      <c r="BP44" s="168"/>
      <c r="BQ44" s="168"/>
      <c r="BR44" s="156"/>
      <c r="BS44" s="156"/>
      <c r="BT44" s="169"/>
      <c r="BU44" s="169"/>
      <c r="BV44" s="170"/>
      <c r="BW44" s="169"/>
      <c r="BX44" s="169"/>
      <c r="BY44" s="169"/>
      <c r="BZ44" s="169"/>
      <c r="CA44" s="169"/>
      <c r="CB44" s="169"/>
      <c r="CC44" s="169"/>
      <c r="CD44" s="169"/>
      <c r="CE44" s="169"/>
      <c r="CF44" s="169"/>
      <c r="CG44" s="169"/>
      <c r="CH44" s="169"/>
      <c r="CI44" s="169"/>
      <c r="CJ44" s="163"/>
      <c r="CK44" s="163"/>
      <c r="CL44" s="163"/>
      <c r="CM44" s="163"/>
      <c r="CN44" s="163"/>
      <c r="CO44" s="163"/>
      <c r="CP44" s="163"/>
      <c r="CQ44" s="163"/>
      <c r="CR44" s="163" t="e">
        <f>K43*SQRT(CL43^2+CM43^2)/(SQRT(CP43^2+CQ43^2)*SQRT(CG43^2+CH43^2))</f>
        <v>#VALUE!</v>
      </c>
      <c r="CS44" s="163" t="e">
        <f>K43*SQRT(CJ43^2+CK43^2)/(SQRT(CN43^2+CO43^2)*SQRT(CE43^2+CF43^2))</f>
        <v>#VALUE!</v>
      </c>
      <c r="CT44" s="113">
        <f t="shared" si="5"/>
        <v>0</v>
      </c>
      <c r="CU44" s="163"/>
      <c r="CV44" s="156">
        <v>0</v>
      </c>
      <c r="CW44" s="156"/>
      <c r="CX44" s="156"/>
      <c r="CY44" s="156"/>
      <c r="CZ44" s="156"/>
      <c r="DA44" s="156"/>
      <c r="DB44" s="156"/>
    </row>
    <row r="45" spans="5:106" ht="24" customHeight="1" x14ac:dyDescent="0.15">
      <c r="E45" s="267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  <c r="AI45" s="268"/>
      <c r="AJ45" s="268"/>
      <c r="AK45" s="268"/>
      <c r="AL45" s="268"/>
      <c r="AM45" s="268"/>
      <c r="AN45" s="268"/>
      <c r="AO45" s="268"/>
      <c r="AP45" s="273"/>
      <c r="AQ45" s="274"/>
      <c r="AR45" s="274"/>
      <c r="AS45" s="274"/>
      <c r="AT45" s="274"/>
      <c r="AU45" s="274"/>
      <c r="AV45" s="274"/>
      <c r="AW45" s="275"/>
      <c r="CT45" s="113"/>
      <c r="CZ45" s="123"/>
    </row>
    <row r="46" spans="5:106" ht="24" customHeight="1" x14ac:dyDescent="0.15">
      <c r="E46" s="269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0"/>
      <c r="W46" s="270"/>
      <c r="X46" s="270"/>
      <c r="Y46" s="270"/>
      <c r="Z46" s="270"/>
      <c r="AA46" s="270"/>
      <c r="AB46" s="270"/>
      <c r="AC46" s="270"/>
      <c r="AD46" s="270"/>
      <c r="AE46" s="270"/>
      <c r="AF46" s="270"/>
      <c r="AG46" s="270"/>
      <c r="AH46" s="270"/>
      <c r="AI46" s="270"/>
      <c r="AJ46" s="270"/>
      <c r="AK46" s="270"/>
      <c r="AL46" s="270"/>
      <c r="AM46" s="270"/>
      <c r="AN46" s="270"/>
      <c r="AO46" s="270"/>
      <c r="AP46" s="276"/>
      <c r="AQ46" s="277"/>
      <c r="AR46" s="277"/>
      <c r="AS46" s="277"/>
      <c r="AT46" s="277"/>
      <c r="AU46" s="277"/>
      <c r="AV46" s="277"/>
      <c r="AW46" s="278"/>
      <c r="CT46" s="113"/>
    </row>
    <row r="47" spans="5:106" ht="24" customHeight="1" x14ac:dyDescent="0.15">
      <c r="E47" s="269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70"/>
      <c r="AK47" s="270"/>
      <c r="AL47" s="270"/>
      <c r="AM47" s="270"/>
      <c r="AN47" s="270"/>
      <c r="AO47" s="270"/>
      <c r="AP47" s="276"/>
      <c r="AQ47" s="277"/>
      <c r="AR47" s="277"/>
      <c r="AS47" s="277"/>
      <c r="AT47" s="277"/>
      <c r="AU47" s="277"/>
      <c r="AV47" s="277"/>
      <c r="AW47" s="278"/>
    </row>
    <row r="48" spans="5:106" ht="24" customHeight="1" x14ac:dyDescent="0.15">
      <c r="E48" s="269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0"/>
      <c r="AL48" s="270"/>
      <c r="AM48" s="270"/>
      <c r="AN48" s="270"/>
      <c r="AO48" s="270"/>
      <c r="AP48" s="276"/>
      <c r="AQ48" s="277"/>
      <c r="AR48" s="277"/>
      <c r="AS48" s="277"/>
      <c r="AT48" s="277"/>
      <c r="AU48" s="277"/>
      <c r="AV48" s="277"/>
      <c r="AW48" s="278"/>
    </row>
    <row r="49" spans="5:49" ht="24" customHeight="1" x14ac:dyDescent="0.15">
      <c r="E49" s="269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0"/>
      <c r="AD49" s="270"/>
      <c r="AE49" s="270"/>
      <c r="AF49" s="270"/>
      <c r="AG49" s="270"/>
      <c r="AH49" s="270"/>
      <c r="AI49" s="270"/>
      <c r="AJ49" s="270"/>
      <c r="AK49" s="270"/>
      <c r="AL49" s="270"/>
      <c r="AM49" s="270"/>
      <c r="AN49" s="270"/>
      <c r="AO49" s="270"/>
      <c r="AP49" s="276"/>
      <c r="AQ49" s="277"/>
      <c r="AR49" s="277"/>
      <c r="AS49" s="277"/>
      <c r="AT49" s="277"/>
      <c r="AU49" s="277"/>
      <c r="AV49" s="277"/>
      <c r="AW49" s="278"/>
    </row>
    <row r="50" spans="5:49" ht="24" customHeight="1" x14ac:dyDescent="0.15">
      <c r="E50" s="269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  <c r="AO50" s="270"/>
      <c r="AP50" s="276"/>
      <c r="AQ50" s="277"/>
      <c r="AR50" s="277"/>
      <c r="AS50" s="277"/>
      <c r="AT50" s="277"/>
      <c r="AU50" s="277"/>
      <c r="AV50" s="277"/>
      <c r="AW50" s="278"/>
    </row>
    <row r="51" spans="5:49" ht="24" customHeight="1" x14ac:dyDescent="0.15">
      <c r="E51" s="269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270"/>
      <c r="R51" s="270"/>
      <c r="S51" s="270"/>
      <c r="T51" s="270"/>
      <c r="U51" s="270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0"/>
      <c r="AL51" s="270"/>
      <c r="AM51" s="270"/>
      <c r="AN51" s="270"/>
      <c r="AO51" s="270"/>
      <c r="AP51" s="276"/>
      <c r="AQ51" s="277"/>
      <c r="AR51" s="277"/>
      <c r="AS51" s="277"/>
      <c r="AT51" s="277"/>
      <c r="AU51" s="277"/>
      <c r="AV51" s="277"/>
      <c r="AW51" s="278"/>
    </row>
    <row r="52" spans="5:49" ht="24" customHeight="1" x14ac:dyDescent="0.15">
      <c r="E52" s="269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70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  <c r="AO52" s="270"/>
      <c r="AP52" s="276"/>
      <c r="AQ52" s="277"/>
      <c r="AR52" s="277"/>
      <c r="AS52" s="277"/>
      <c r="AT52" s="277"/>
      <c r="AU52" s="277"/>
      <c r="AV52" s="277"/>
      <c r="AW52" s="278"/>
    </row>
    <row r="53" spans="5:49" ht="24" customHeight="1" x14ac:dyDescent="0.15">
      <c r="E53" s="269"/>
      <c r="F53" s="270"/>
      <c r="G53" s="270"/>
      <c r="H53" s="270"/>
      <c r="I53" s="270"/>
      <c r="J53" s="270"/>
      <c r="K53" s="270"/>
      <c r="L53" s="270"/>
      <c r="M53" s="270"/>
      <c r="N53" s="270"/>
      <c r="O53" s="270"/>
      <c r="P53" s="270"/>
      <c r="Q53" s="270"/>
      <c r="R53" s="270"/>
      <c r="S53" s="270"/>
      <c r="T53" s="270"/>
      <c r="U53" s="270"/>
      <c r="V53" s="270"/>
      <c r="W53" s="270"/>
      <c r="X53" s="270"/>
      <c r="Y53" s="270"/>
      <c r="Z53" s="270"/>
      <c r="AA53" s="270"/>
      <c r="AB53" s="270"/>
      <c r="AC53" s="270"/>
      <c r="AD53" s="270"/>
      <c r="AE53" s="270"/>
      <c r="AF53" s="270"/>
      <c r="AG53" s="270"/>
      <c r="AH53" s="270"/>
      <c r="AI53" s="270"/>
      <c r="AJ53" s="270"/>
      <c r="AK53" s="270"/>
      <c r="AL53" s="270"/>
      <c r="AM53" s="270"/>
      <c r="AN53" s="270"/>
      <c r="AO53" s="270"/>
      <c r="AP53" s="276"/>
      <c r="AQ53" s="277"/>
      <c r="AR53" s="277"/>
      <c r="AS53" s="277"/>
      <c r="AT53" s="277"/>
      <c r="AU53" s="277"/>
      <c r="AV53" s="277"/>
      <c r="AW53" s="278"/>
    </row>
    <row r="54" spans="5:49" ht="24" customHeight="1" x14ac:dyDescent="0.15">
      <c r="E54" s="269"/>
      <c r="F54" s="270"/>
      <c r="G54" s="270"/>
      <c r="H54" s="270"/>
      <c r="I54" s="270"/>
      <c r="J54" s="270"/>
      <c r="K54" s="270"/>
      <c r="L54" s="270"/>
      <c r="M54" s="270"/>
      <c r="N54" s="270"/>
      <c r="O54" s="270"/>
      <c r="P54" s="270"/>
      <c r="Q54" s="270"/>
      <c r="R54" s="270"/>
      <c r="S54" s="270"/>
      <c r="T54" s="270"/>
      <c r="U54" s="270"/>
      <c r="V54" s="270"/>
      <c r="W54" s="270"/>
      <c r="X54" s="270"/>
      <c r="Y54" s="270"/>
      <c r="Z54" s="270"/>
      <c r="AA54" s="270"/>
      <c r="AB54" s="270"/>
      <c r="AC54" s="270"/>
      <c r="AD54" s="270"/>
      <c r="AE54" s="270"/>
      <c r="AF54" s="270"/>
      <c r="AG54" s="270"/>
      <c r="AH54" s="270"/>
      <c r="AI54" s="270"/>
      <c r="AJ54" s="270"/>
      <c r="AK54" s="270"/>
      <c r="AL54" s="270"/>
      <c r="AM54" s="270"/>
      <c r="AN54" s="270"/>
      <c r="AO54" s="270"/>
      <c r="AP54" s="276"/>
      <c r="AQ54" s="277"/>
      <c r="AR54" s="277"/>
      <c r="AS54" s="277"/>
      <c r="AT54" s="277"/>
      <c r="AU54" s="277"/>
      <c r="AV54" s="277"/>
      <c r="AW54" s="278"/>
    </row>
    <row r="55" spans="5:49" ht="24" customHeight="1" x14ac:dyDescent="0.15">
      <c r="E55" s="269"/>
      <c r="F55" s="270"/>
      <c r="G55" s="270"/>
      <c r="H55" s="270"/>
      <c r="I55" s="270"/>
      <c r="J55" s="270"/>
      <c r="K55" s="270"/>
      <c r="L55" s="270"/>
      <c r="M55" s="270"/>
      <c r="N55" s="270"/>
      <c r="O55" s="270"/>
      <c r="P55" s="270"/>
      <c r="Q55" s="270"/>
      <c r="R55" s="270"/>
      <c r="S55" s="270"/>
      <c r="T55" s="270"/>
      <c r="U55" s="270"/>
      <c r="V55" s="270"/>
      <c r="W55" s="270"/>
      <c r="X55" s="270"/>
      <c r="Y55" s="270"/>
      <c r="Z55" s="270"/>
      <c r="AA55" s="270"/>
      <c r="AB55" s="270"/>
      <c r="AC55" s="270"/>
      <c r="AD55" s="270"/>
      <c r="AE55" s="270"/>
      <c r="AF55" s="270"/>
      <c r="AG55" s="270"/>
      <c r="AH55" s="270"/>
      <c r="AI55" s="270"/>
      <c r="AJ55" s="270"/>
      <c r="AK55" s="270"/>
      <c r="AL55" s="270"/>
      <c r="AM55" s="270"/>
      <c r="AN55" s="270"/>
      <c r="AO55" s="270"/>
      <c r="AP55" s="276"/>
      <c r="AQ55" s="277"/>
      <c r="AR55" s="277"/>
      <c r="AS55" s="277"/>
      <c r="AT55" s="277"/>
      <c r="AU55" s="277"/>
      <c r="AV55" s="277"/>
      <c r="AW55" s="278"/>
    </row>
    <row r="56" spans="5:49" ht="24" customHeight="1" x14ac:dyDescent="0.15">
      <c r="E56" s="271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  <c r="AB56" s="272"/>
      <c r="AC56" s="272"/>
      <c r="AD56" s="272"/>
      <c r="AE56" s="272"/>
      <c r="AF56" s="272"/>
      <c r="AG56" s="272"/>
      <c r="AH56" s="272"/>
      <c r="AI56" s="272"/>
      <c r="AJ56" s="272"/>
      <c r="AK56" s="272"/>
      <c r="AL56" s="272"/>
      <c r="AM56" s="272"/>
      <c r="AN56" s="272"/>
      <c r="AO56" s="272"/>
      <c r="AP56" s="279"/>
      <c r="AQ56" s="280"/>
      <c r="AR56" s="280"/>
      <c r="AS56" s="280"/>
      <c r="AT56" s="280"/>
      <c r="AU56" s="280"/>
      <c r="AV56" s="280"/>
      <c r="AW56" s="281"/>
    </row>
    <row r="57" spans="5:49" ht="39.75" customHeight="1" thickBot="1" x14ac:dyDescent="0.2">
      <c r="E57" s="28" t="s">
        <v>150</v>
      </c>
      <c r="F57" s="290" t="s">
        <v>153</v>
      </c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2"/>
      <c r="Z57" s="192" t="s">
        <v>149</v>
      </c>
      <c r="AA57" s="193"/>
      <c r="AB57" s="193"/>
      <c r="AC57" s="193"/>
      <c r="AD57" s="193"/>
      <c r="AE57" s="293" t="s">
        <v>154</v>
      </c>
      <c r="AF57" s="294"/>
      <c r="AG57" s="294"/>
      <c r="AH57" s="294"/>
      <c r="AI57" s="294"/>
      <c r="AJ57" s="294"/>
      <c r="AK57" s="294"/>
      <c r="AL57" s="294"/>
      <c r="AM57" s="294"/>
      <c r="AN57" s="294"/>
      <c r="AO57" s="295"/>
      <c r="AP57" s="261" t="s">
        <v>7</v>
      </c>
      <c r="AQ57" s="262"/>
      <c r="AR57" s="262"/>
      <c r="AS57" s="263"/>
      <c r="AT57" s="261" t="s">
        <v>151</v>
      </c>
      <c r="AU57" s="262"/>
      <c r="AV57" s="263"/>
      <c r="AW57" s="173" t="s">
        <v>6</v>
      </c>
    </row>
  </sheetData>
  <sheetProtection password="B220" sheet="1" objects="1" scenarios="1"/>
  <mergeCells count="383">
    <mergeCell ref="Q4:S4"/>
    <mergeCell ref="E45:AO56"/>
    <mergeCell ref="AP45:AW56"/>
    <mergeCell ref="Y41:Y42"/>
    <mergeCell ref="Z41:Z42"/>
    <mergeCell ref="AA41:AA42"/>
    <mergeCell ref="AD41:AD42"/>
    <mergeCell ref="E43:E44"/>
    <mergeCell ref="F43:F44"/>
    <mergeCell ref="V39:V40"/>
    <mergeCell ref="K43:K44"/>
    <mergeCell ref="H43:H44"/>
    <mergeCell ref="AD39:AD40"/>
    <mergeCell ref="Z39:Z40"/>
    <mergeCell ref="AA39:AA40"/>
    <mergeCell ref="V41:V42"/>
    <mergeCell ref="W41:W42"/>
    <mergeCell ref="I41:I42"/>
    <mergeCell ref="N41:N42"/>
    <mergeCell ref="U39:U40"/>
    <mergeCell ref="M39:M40"/>
    <mergeCell ref="R39:R40"/>
    <mergeCell ref="G39:G40"/>
    <mergeCell ref="I39:I40"/>
    <mergeCell ref="N39:N40"/>
    <mergeCell ref="K39:K40"/>
    <mergeCell ref="E41:E42"/>
    <mergeCell ref="F41:F42"/>
    <mergeCell ref="K41:K42"/>
    <mergeCell ref="U41:U42"/>
    <mergeCell ref="O41:O42"/>
    <mergeCell ref="J41:J42"/>
    <mergeCell ref="Z35:Z36"/>
    <mergeCell ref="AD37:AD38"/>
    <mergeCell ref="AE41:AE42"/>
    <mergeCell ref="W39:W40"/>
    <mergeCell ref="Y39:Y40"/>
    <mergeCell ref="Z37:Z38"/>
    <mergeCell ref="AA37:AA38"/>
    <mergeCell ref="R37:R38"/>
    <mergeCell ref="S37:S38"/>
    <mergeCell ref="W37:W38"/>
    <mergeCell ref="Y37:Y38"/>
    <mergeCell ref="U37:U38"/>
    <mergeCell ref="V37:V38"/>
    <mergeCell ref="AD35:AD36"/>
    <mergeCell ref="AE35:AE36"/>
    <mergeCell ref="AD29:AD30"/>
    <mergeCell ref="AE29:AE30"/>
    <mergeCell ref="AD19:AD20"/>
    <mergeCell ref="AD21:AD22"/>
    <mergeCell ref="AD27:AD28"/>
    <mergeCell ref="AD25:AD26"/>
    <mergeCell ref="AE27:AE28"/>
    <mergeCell ref="E17:E18"/>
    <mergeCell ref="F17:F18"/>
    <mergeCell ref="G17:G18"/>
    <mergeCell ref="E35:E36"/>
    <mergeCell ref="F35:F36"/>
    <mergeCell ref="E25:E26"/>
    <mergeCell ref="F25:F26"/>
    <mergeCell ref="G35:G36"/>
    <mergeCell ref="F33:F34"/>
    <mergeCell ref="G25:G26"/>
    <mergeCell ref="G27:G28"/>
    <mergeCell ref="G29:G30"/>
    <mergeCell ref="G31:G32"/>
    <mergeCell ref="I17:I18"/>
    <mergeCell ref="H31:H32"/>
    <mergeCell ref="I31:I32"/>
    <mergeCell ref="I21:I22"/>
    <mergeCell ref="H17:H18"/>
    <mergeCell ref="H33:H34"/>
    <mergeCell ref="I23:I24"/>
    <mergeCell ref="I25:I26"/>
    <mergeCell ref="H21:H22"/>
    <mergeCell ref="H25:H26"/>
    <mergeCell ref="H23:H24"/>
    <mergeCell ref="I19:I20"/>
    <mergeCell ref="J17:J18"/>
    <mergeCell ref="K17:K18"/>
    <mergeCell ref="AD31:AD32"/>
    <mergeCell ref="Y31:Y32"/>
    <mergeCell ref="Z31:Z32"/>
    <mergeCell ref="AA31:AA32"/>
    <mergeCell ref="M19:M20"/>
    <mergeCell ref="L17:L18"/>
    <mergeCell ref="N17:N18"/>
    <mergeCell ref="M21:M22"/>
    <mergeCell ref="E31:E32"/>
    <mergeCell ref="F31:F32"/>
    <mergeCell ref="H41:H42"/>
    <mergeCell ref="H35:H36"/>
    <mergeCell ref="H37:H38"/>
    <mergeCell ref="E33:E34"/>
    <mergeCell ref="E37:E38"/>
    <mergeCell ref="F37:F38"/>
    <mergeCell ref="E39:E40"/>
    <mergeCell ref="G33:G34"/>
    <mergeCell ref="E27:E28"/>
    <mergeCell ref="F27:F28"/>
    <mergeCell ref="E29:E30"/>
    <mergeCell ref="F29:F30"/>
    <mergeCell ref="F39:F40"/>
    <mergeCell ref="J33:J34"/>
    <mergeCell ref="J35:J36"/>
    <mergeCell ref="J37:J38"/>
    <mergeCell ref="J39:J40"/>
    <mergeCell ref="G37:G38"/>
    <mergeCell ref="R23:R24"/>
    <mergeCell ref="M23:M24"/>
    <mergeCell ref="I29:I30"/>
    <mergeCell ref="H29:H30"/>
    <mergeCell ref="J27:J28"/>
    <mergeCell ref="K29:K30"/>
    <mergeCell ref="J29:J30"/>
    <mergeCell ref="K27:K28"/>
    <mergeCell ref="K25:K26"/>
    <mergeCell ref="H27:H28"/>
    <mergeCell ref="P25:P26"/>
    <mergeCell ref="P19:P20"/>
    <mergeCell ref="J25:J26"/>
    <mergeCell ref="I27:I28"/>
    <mergeCell ref="S23:S24"/>
    <mergeCell ref="P23:P24"/>
    <mergeCell ref="O25:O26"/>
    <mergeCell ref="Q25:Q26"/>
    <mergeCell ref="R25:R26"/>
    <mergeCell ref="Q23:Q24"/>
    <mergeCell ref="N33:N34"/>
    <mergeCell ref="O33:O34"/>
    <mergeCell ref="O23:O24"/>
    <mergeCell ref="M17:M18"/>
    <mergeCell ref="N21:N22"/>
    <mergeCell ref="N23:N24"/>
    <mergeCell ref="N35:N36"/>
    <mergeCell ref="I35:I36"/>
    <mergeCell ref="M35:M36"/>
    <mergeCell ref="K35:K36"/>
    <mergeCell ref="O35:O36"/>
    <mergeCell ref="L29:L30"/>
    <mergeCell ref="M29:M30"/>
    <mergeCell ref="M31:M32"/>
    <mergeCell ref="N29:N30"/>
    <mergeCell ref="O29:O30"/>
    <mergeCell ref="I43:I44"/>
    <mergeCell ref="L31:L32"/>
    <mergeCell ref="L33:L34"/>
    <mergeCell ref="L35:L36"/>
    <mergeCell ref="L37:L38"/>
    <mergeCell ref="L39:L40"/>
    <mergeCell ref="K31:K32"/>
    <mergeCell ref="J31:J32"/>
    <mergeCell ref="I37:I38"/>
    <mergeCell ref="I33:I34"/>
    <mergeCell ref="Q43:Q44"/>
    <mergeCell ref="R43:R44"/>
    <mergeCell ref="R41:R42"/>
    <mergeCell ref="K33:K34"/>
    <mergeCell ref="J43:J44"/>
    <mergeCell ref="L43:L44"/>
    <mergeCell ref="M43:M44"/>
    <mergeCell ref="M41:M42"/>
    <mergeCell ref="M37:M38"/>
    <mergeCell ref="K37:K38"/>
    <mergeCell ref="N37:N38"/>
    <mergeCell ref="O37:O38"/>
    <mergeCell ref="P37:P38"/>
    <mergeCell ref="O43:O44"/>
    <mergeCell ref="O39:O40"/>
    <mergeCell ref="P39:P40"/>
    <mergeCell ref="P43:P44"/>
    <mergeCell ref="N43:N44"/>
    <mergeCell ref="S33:S34"/>
    <mergeCell ref="Y35:Y36"/>
    <mergeCell ref="U35:U36"/>
    <mergeCell ref="V35:V36"/>
    <mergeCell ref="W35:W36"/>
    <mergeCell ref="R35:R36"/>
    <mergeCell ref="S35:S36"/>
    <mergeCell ref="U33:U34"/>
    <mergeCell ref="V31:V32"/>
    <mergeCell ref="W31:W32"/>
    <mergeCell ref="W27:W28"/>
    <mergeCell ref="U29:U30"/>
    <mergeCell ref="Y27:Y28"/>
    <mergeCell ref="V33:V34"/>
    <mergeCell ref="U31:U32"/>
    <mergeCell ref="AA27:AA28"/>
    <mergeCell ref="Y29:Y30"/>
    <mergeCell ref="Z27:Z28"/>
    <mergeCell ref="W29:W30"/>
    <mergeCell ref="Y25:Y26"/>
    <mergeCell ref="Z25:Z26"/>
    <mergeCell ref="U25:U26"/>
    <mergeCell ref="S25:S26"/>
    <mergeCell ref="G43:G44"/>
    <mergeCell ref="O31:O32"/>
    <mergeCell ref="P31:P32"/>
    <mergeCell ref="S31:S32"/>
    <mergeCell ref="Q41:Q42"/>
    <mergeCell ref="S39:S40"/>
    <mergeCell ref="R31:R32"/>
    <mergeCell ref="Q37:Q38"/>
    <mergeCell ref="G41:G42"/>
    <mergeCell ref="L23:L24"/>
    <mergeCell ref="L25:L26"/>
    <mergeCell ref="L27:L28"/>
    <mergeCell ref="M33:M34"/>
    <mergeCell ref="M27:M28"/>
    <mergeCell ref="L41:L42"/>
    <mergeCell ref="K23:K24"/>
    <mergeCell ref="J23:J24"/>
    <mergeCell ref="H39:H40"/>
    <mergeCell ref="Y33:Y34"/>
    <mergeCell ref="Z33:Z34"/>
    <mergeCell ref="Z29:Z30"/>
    <mergeCell ref="Q33:Q34"/>
    <mergeCell ref="P41:P42"/>
    <mergeCell ref="Q39:Q40"/>
    <mergeCell ref="P35:P36"/>
    <mergeCell ref="Q35:Q36"/>
    <mergeCell ref="P33:P34"/>
    <mergeCell ref="S41:S42"/>
    <mergeCell ref="J21:J22"/>
    <mergeCell ref="K21:K22"/>
    <mergeCell ref="V25:V26"/>
    <mergeCell ref="AA29:AA30"/>
    <mergeCell ref="V27:V28"/>
    <mergeCell ref="G21:G22"/>
    <mergeCell ref="G23:G24"/>
    <mergeCell ref="Q29:Q30"/>
    <mergeCell ref="R29:R30"/>
    <mergeCell ref="U27:U28"/>
    <mergeCell ref="Q19:Q20"/>
    <mergeCell ref="Y23:Y24"/>
    <mergeCell ref="Z23:Z24"/>
    <mergeCell ref="V23:V24"/>
    <mergeCell ref="S21:S22"/>
    <mergeCell ref="E23:E24"/>
    <mergeCell ref="E21:E22"/>
    <mergeCell ref="F23:F24"/>
    <mergeCell ref="W23:W24"/>
    <mergeCell ref="Z21:Z22"/>
    <mergeCell ref="Y21:Y22"/>
    <mergeCell ref="R27:R28"/>
    <mergeCell ref="S27:S28"/>
    <mergeCell ref="N25:N26"/>
    <mergeCell ref="M25:M26"/>
    <mergeCell ref="L21:L22"/>
    <mergeCell ref="W21:W22"/>
    <mergeCell ref="N27:N28"/>
    <mergeCell ref="U21:U22"/>
    <mergeCell ref="V21:V22"/>
    <mergeCell ref="J19:J20"/>
    <mergeCell ref="K19:K20"/>
    <mergeCell ref="F21:F22"/>
    <mergeCell ref="V17:V18"/>
    <mergeCell ref="S19:S20"/>
    <mergeCell ref="E19:E20"/>
    <mergeCell ref="F19:F20"/>
    <mergeCell ref="G19:G20"/>
    <mergeCell ref="H19:H20"/>
    <mergeCell ref="L19:L20"/>
    <mergeCell ref="W17:W18"/>
    <mergeCell ref="W15:W16"/>
    <mergeCell ref="N19:N20"/>
    <mergeCell ref="O19:O20"/>
    <mergeCell ref="O17:O18"/>
    <mergeCell ref="S17:S18"/>
    <mergeCell ref="P17:P18"/>
    <mergeCell ref="O15:O16"/>
    <mergeCell ref="S15:S16"/>
    <mergeCell ref="R19:R20"/>
    <mergeCell ref="V43:V44"/>
    <mergeCell ref="W43:W44"/>
    <mergeCell ref="U43:U44"/>
    <mergeCell ref="W19:W20"/>
    <mergeCell ref="U23:U24"/>
    <mergeCell ref="U19:U20"/>
    <mergeCell ref="V29:V30"/>
    <mergeCell ref="V19:V20"/>
    <mergeCell ref="W25:W26"/>
    <mergeCell ref="W33:W34"/>
    <mergeCell ref="AD17:AD18"/>
    <mergeCell ref="AD43:AD44"/>
    <mergeCell ref="AA43:AA44"/>
    <mergeCell ref="AD33:AD34"/>
    <mergeCell ref="AE33:AE34"/>
    <mergeCell ref="AE39:AE40"/>
    <mergeCell ref="AE37:AE38"/>
    <mergeCell ref="AA35:AA36"/>
    <mergeCell ref="AE43:AE44"/>
    <mergeCell ref="AA21:AA22"/>
    <mergeCell ref="R17:R18"/>
    <mergeCell ref="Q17:Q18"/>
    <mergeCell ref="AT57:AV57"/>
    <mergeCell ref="AP57:AS57"/>
    <mergeCell ref="Y15:Y16"/>
    <mergeCell ref="Y43:Y44"/>
    <mergeCell ref="Y19:Y20"/>
    <mergeCell ref="Z19:Z20"/>
    <mergeCell ref="Z15:Z16"/>
    <mergeCell ref="AA19:AA20"/>
    <mergeCell ref="N15:N16"/>
    <mergeCell ref="P15:P16"/>
    <mergeCell ref="U15:U16"/>
    <mergeCell ref="AA17:AA18"/>
    <mergeCell ref="AA15:AA16"/>
    <mergeCell ref="V15:V16"/>
    <mergeCell ref="U17:U18"/>
    <mergeCell ref="Y17:Y18"/>
    <mergeCell ref="Z17:Z18"/>
    <mergeCell ref="Q15:Q16"/>
    <mergeCell ref="AU11:AV12"/>
    <mergeCell ref="AQ11:AT11"/>
    <mergeCell ref="AQ12:AR12"/>
    <mergeCell ref="F57:Y57"/>
    <mergeCell ref="N12:R12"/>
    <mergeCell ref="N11:S11"/>
    <mergeCell ref="U11:AE11"/>
    <mergeCell ref="X12:AE12"/>
    <mergeCell ref="AD15:AD16"/>
    <mergeCell ref="R15:R16"/>
    <mergeCell ref="B15:C15"/>
    <mergeCell ref="E15:E16"/>
    <mergeCell ref="F15:F16"/>
    <mergeCell ref="H15:H16"/>
    <mergeCell ref="G15:G16"/>
    <mergeCell ref="AW11:AW14"/>
    <mergeCell ref="AF12:AF14"/>
    <mergeCell ref="AI12:AI13"/>
    <mergeCell ref="AM12:AM13"/>
    <mergeCell ref="AP11:AP13"/>
    <mergeCell ref="E11:E14"/>
    <mergeCell ref="F11:F14"/>
    <mergeCell ref="G11:L12"/>
    <mergeCell ref="M15:M16"/>
    <mergeCell ref="I15:I16"/>
    <mergeCell ref="J15:J16"/>
    <mergeCell ref="K15:K16"/>
    <mergeCell ref="L15:L16"/>
    <mergeCell ref="I13:L13"/>
    <mergeCell ref="O21:O22"/>
    <mergeCell ref="P21:P22"/>
    <mergeCell ref="Q21:Q22"/>
    <mergeCell ref="R21:R22"/>
    <mergeCell ref="S43:S44"/>
    <mergeCell ref="Q31:Q32"/>
    <mergeCell ref="O27:O28"/>
    <mergeCell ref="P27:P28"/>
    <mergeCell ref="S29:S30"/>
    <mergeCell ref="R33:R34"/>
    <mergeCell ref="AE19:AE20"/>
    <mergeCell ref="AE21:AE22"/>
    <mergeCell ref="AE23:AE24"/>
    <mergeCell ref="AE25:AE26"/>
    <mergeCell ref="AE31:AE32"/>
    <mergeCell ref="Z43:Z44"/>
    <mergeCell ref="AD23:AD24"/>
    <mergeCell ref="AA23:AA24"/>
    <mergeCell ref="AA33:AA34"/>
    <mergeCell ref="AA25:AA26"/>
    <mergeCell ref="Z57:AD57"/>
    <mergeCell ref="AE57:AO57"/>
    <mergeCell ref="AV13:AV14"/>
    <mergeCell ref="AT13:AT14"/>
    <mergeCell ref="AR13:AR14"/>
    <mergeCell ref="N31:N32"/>
    <mergeCell ref="P29:P30"/>
    <mergeCell ref="Q27:Q28"/>
    <mergeCell ref="AE15:AE16"/>
    <mergeCell ref="AE17:AE18"/>
    <mergeCell ref="T11:T12"/>
    <mergeCell ref="AS12:AT12"/>
    <mergeCell ref="AN12:AN13"/>
    <mergeCell ref="AH12:AH14"/>
    <mergeCell ref="AG12:AG14"/>
    <mergeCell ref="AL12:AL14"/>
    <mergeCell ref="U12:W12"/>
    <mergeCell ref="AF11:AO11"/>
    <mergeCell ref="AJ12:AK12"/>
    <mergeCell ref="AO12:AO13"/>
  </mergeCells>
  <phoneticPr fontId="4"/>
  <dataValidations xWindow="639" yWindow="221" count="18">
    <dataValidation type="custom" errorStyle="warning" allowBlank="1" showInputMessage="1" showErrorMessage="1" error="電動機の定格電流より少ない値です。" sqref="AM16 AM34 AM20">
      <formula1>IF(AM16&gt;X16,TRUE,FALSE)</formula1>
    </dataValidation>
    <dataValidation type="decimal" errorStyle="warning" allowBlank="1" showInputMessage="1" showErrorMessage="1" errorTitle="構内ケ－ブルの導体温度" error="－１００［℃］ ～ ＋３００［℃］ の範囲の値を入力してください。" sqref="AP15 AP21 AP19 AP43 AP37 AP23 AP27 AP25 AP41 AP39 AP31 AP17 AP29 AP35 AP33">
      <formula1>-100</formula1>
      <formula2>300</formula2>
    </dataValidation>
    <dataValidation type="list" errorStyle="information" showInputMessage="1" showErrorMessage="1" error="布設方法が入力されました。" sqref="AL15:AL44">
      <formula1>"気中暗渠,気中配管,地中直埋,地中管路,オ－プンピット,ケ－ブルラック,"</formula1>
    </dataValidation>
    <dataValidation type="decimal" errorStyle="warning" allowBlank="1" showInputMessage="1" showErrorMessage="1" errorTitle="負荷の平均力率" error="－１ ～ ＋１ の範囲の値を入力して下さい。" sqref="V35 V19 V21 V33 V25 V43 V27 V41 V39 V29 V31 V23 V15 V37 V17">
      <formula1>-1</formula1>
      <formula2>1</formula2>
    </dataValidation>
    <dataValidation type="list" errorStyle="warning" allowBlank="1" showInputMessage="1" showErrorMessage="1" errorTitle="電動機の始動方式" error="Ｖｅｒ　1.0 では、じか入れ（全電圧始動）・Ｓ－Ｄ（スタ－・デルタ）始動・リアクトル始動・コンドルファ（始動補償器）始動 以外は、計算できません。" sqref="AB23 AB19 AB21 AB33 AB43 AB37 AB25 AB27 AB41 AB29 AB15 AB39 AB31 AB35 AB17">
      <formula1>"直 入,Ｓ-Ｄ,ﾘｱｸﾄﾙ50%,ﾘｱｸﾄﾙ60%,ﾘｱｸﾄﾙ80%,ｺﾝﾄﾞﾙﾌｧ50%,ｺﾝﾄﾞﾙﾌｧ65%,ｺﾝﾄﾞﾙﾌｧ80%"</formula1>
    </dataValidation>
    <dataValidation type="list" errorStyle="information" allowBlank="1" showInputMessage="1" showErrorMessage="1" error="形式の入力が完了しました。" sqref="N15:N44">
      <formula1>"油入自冷,モ－ルド絶縁"</formula1>
    </dataValidation>
    <dataValidation type="decimal" errorStyle="warning" allowBlank="1" showInputMessage="1" showErrorMessage="1" errorTitle="電動機の効率" error="０ ～ １．０００ の範囲の値を入力して下さい。" sqref="Y15:Z44">
      <formula1>0</formula1>
      <formula2>1</formula2>
    </dataValidation>
    <dataValidation type="decimal" errorStyle="information" allowBlank="1" showInputMessage="1" showErrorMessage="1" errorTitle="電動機の始動階級" error="０ ～ ＋１００ の範囲の値を入力して下さい。" sqref="AB16 AB22 AB20 AB44 AB38 AB34 AB28 AB26 AB42 AB40 AB24 AB32 AB30 AB36 AB18">
      <formula1>0</formula1>
      <formula2>100</formula2>
    </dataValidation>
    <dataValidation type="decimal" errorStyle="warning" allowBlank="1" showInputMessage="1" showErrorMessage="1" errorTitle="電動機の定格出力" error="最大９９９９ＫＷまで入力できます。" sqref="X35 X21 X19 X43 X27 X33 X25 X41 X23 X39 X31 X17 X29 X37 X15">
      <formula1>0</formula1>
      <formula2>9999</formula2>
    </dataValidation>
    <dataValidation type="whole" errorStyle="information" showInputMessage="1" showErrorMessage="1" errorTitle="変圧器容量" error="最大 ９９９９９ ［ＫＶＡ］ まで、入力できます。" sqref="O15:O44">
      <formula1>0</formula1>
      <formula2>99999</formula2>
    </dataValidation>
    <dataValidation type="list" errorStyle="warning" allowBlank="1" showInputMessage="1" showErrorMessage="1" errorTitle="……周波数の入力……" error="５０［Ｈｚ］ または ６０［Ｈｚ］の値を入力して下さい。" sqref="M15:M44">
      <formula1>"50,60"</formula1>
    </dataValidation>
    <dataValidation type="list" allowBlank="1" showInputMessage="1" showErrorMessage="1" sqref="G15:G44">
      <formula1>"1,3"</formula1>
    </dataValidation>
    <dataValidation type="list" allowBlank="1" showInputMessage="1" showErrorMessage="1" sqref="I15:I44">
      <formula1>"2,3"</formula1>
    </dataValidation>
    <dataValidation type="list" errorStyle="information" allowBlank="1" showInputMessage="1" showErrorMessage="1" error="選定電線の名称が入力されました。" sqref="AF15:AF44">
      <formula1>"IV,CV 2C,CV 3C,CV 4C,CV 6C,CV 7C,CV-T,VVR 2C,VVR 3C,VVR 4C"</formula1>
    </dataValidation>
    <dataValidation type="decimal" errorStyle="information" allowBlank="1" showInputMessage="1" showErrorMessage="1" errorTitle="電源側の進相コンデンサ" error="最大　９９９９ ［ＫＶａｒ］ まで、入力できます。" sqref="S15:S44">
      <formula1>0</formula1>
      <formula2>9999</formula2>
    </dataValidation>
    <dataValidation type="decimal" errorStyle="warning" allowBlank="1" showInputMessage="1" showErrorMessage="1" errorTitle="電動機の始動時力率" error="０ ～ ＋１．００ の範囲の値を入力して下さい。" sqref="AA15:AA44">
      <formula1>0</formula1>
      <formula2>1</formula2>
    </dataValidation>
    <dataValidation type="textLength" operator="equal" showErrorMessage="1" errorTitle="電圧降下計算-3" error="このセルは自動計算用のセルです。_x000a_このセルを変更しないで下さい。_x000a__x000a_キャンセルを押して下さい。" sqref="AX16 AX44 AX20 AX18 AX24 AX22 AX30 AX28 AX26 AX38 AX36 AX34 AX32 AX42 AX40">
      <formula1>0</formula1>
    </dataValidation>
    <dataValidation type="list" errorStyle="warning" allowBlank="1" showInputMessage="1" showErrorMessage="1" sqref="F15:F44">
      <formula1>$CW$17:$CW$43</formula1>
    </dataValidation>
  </dataValidations>
  <pageMargins left="0.70866141732283472" right="0.39370078740157483" top="0.39370078740157483" bottom="0.19685039370078741" header="0" footer="0"/>
  <pageSetup paperSize="9" scale="52" orientation="landscape" horizontalDpi="4294967292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P156"/>
  <sheetViews>
    <sheetView zoomScale="75" workbookViewId="0"/>
  </sheetViews>
  <sheetFormatPr defaultRowHeight="13.5" x14ac:dyDescent="0.15"/>
  <cols>
    <col min="1" max="1" width="1.625" style="2" customWidth="1"/>
    <col min="2" max="2" width="6.125" style="2" customWidth="1"/>
    <col min="3" max="4" width="8.625" style="2" customWidth="1"/>
    <col min="5" max="5" width="9.125" style="2" customWidth="1"/>
    <col min="6" max="6" width="1.625" style="2" customWidth="1"/>
    <col min="7" max="7" width="5.625" style="2" customWidth="1"/>
    <col min="8" max="9" width="8.625" style="2" customWidth="1"/>
    <col min="10" max="10" width="9.125" style="2" customWidth="1"/>
    <col min="11" max="11" width="2.625" style="2" customWidth="1"/>
    <col min="12" max="12" width="5.625" style="2" customWidth="1"/>
    <col min="13" max="14" width="8.625" style="2" customWidth="1"/>
    <col min="15" max="15" width="9.125" style="2" customWidth="1"/>
    <col min="16" max="16" width="1.625" style="2" customWidth="1"/>
    <col min="17" max="17" width="5.625" style="2" customWidth="1"/>
    <col min="18" max="19" width="8.625" style="2" customWidth="1"/>
    <col min="20" max="20" width="9.125" style="2" customWidth="1"/>
    <col min="21" max="21" width="2.625" style="2" customWidth="1"/>
    <col min="22" max="22" width="6.125" style="2" customWidth="1"/>
    <col min="23" max="24" width="8.625" style="2" customWidth="1"/>
    <col min="25" max="25" width="1.625" style="2" customWidth="1"/>
    <col min="26" max="26" width="6.125" style="2" customWidth="1"/>
    <col min="27" max="27" width="9" style="2"/>
    <col min="28" max="28" width="8.625" style="2" customWidth="1"/>
    <col min="29" max="29" width="1.625" style="2" customWidth="1"/>
    <col min="30" max="30" width="6.125" style="2" customWidth="1"/>
    <col min="31" max="42" width="5.625" style="2" customWidth="1"/>
    <col min="43" max="16384" width="9" style="2"/>
  </cols>
  <sheetData>
    <row r="1" spans="1:42" s="41" customFormat="1" x14ac:dyDescent="0.15">
      <c r="A1" s="2"/>
      <c r="B1" s="2"/>
      <c r="C1" s="2"/>
    </row>
    <row r="2" spans="1:42" s="41" customFormat="1" ht="17.25" x14ac:dyDescent="0.15">
      <c r="A2" s="2"/>
      <c r="B2" s="284" t="s">
        <v>38</v>
      </c>
      <c r="C2" s="284"/>
    </row>
    <row r="3" spans="1:42" s="41" customFormat="1" ht="15" customHeight="1" x14ac:dyDescent="0.2">
      <c r="B3" s="18" t="s">
        <v>37</v>
      </c>
      <c r="C3" s="283" t="s">
        <v>58</v>
      </c>
      <c r="D3" s="283"/>
      <c r="E3" s="49" t="s">
        <v>30</v>
      </c>
      <c r="F3" s="48"/>
      <c r="G3" s="18" t="s">
        <v>37</v>
      </c>
      <c r="H3" s="283" t="s">
        <v>59</v>
      </c>
      <c r="I3" s="283"/>
      <c r="J3" s="49" t="s">
        <v>30</v>
      </c>
      <c r="K3" s="48"/>
      <c r="L3" s="18" t="s">
        <v>37</v>
      </c>
      <c r="M3" s="283" t="s">
        <v>61</v>
      </c>
      <c r="N3" s="283"/>
      <c r="O3" s="49" t="s">
        <v>30</v>
      </c>
      <c r="P3" s="48"/>
      <c r="Q3" s="18" t="s">
        <v>37</v>
      </c>
      <c r="R3" s="283" t="s">
        <v>63</v>
      </c>
      <c r="S3" s="283"/>
      <c r="T3" s="49" t="s">
        <v>30</v>
      </c>
      <c r="U3" s="2"/>
      <c r="V3" s="282" t="s">
        <v>66</v>
      </c>
      <c r="W3" s="282"/>
      <c r="X3" s="49" t="s">
        <v>107</v>
      </c>
      <c r="Z3" s="282" t="s">
        <v>70</v>
      </c>
      <c r="AA3" s="282"/>
      <c r="AB3" s="49" t="s">
        <v>30</v>
      </c>
      <c r="AD3" s="282" t="s">
        <v>77</v>
      </c>
      <c r="AE3" s="282"/>
      <c r="AF3" s="49" t="s">
        <v>89</v>
      </c>
      <c r="AG3" s="288" t="s">
        <v>78</v>
      </c>
      <c r="AH3" s="282"/>
      <c r="AI3" s="53"/>
      <c r="AJ3" s="53"/>
      <c r="AK3" s="53"/>
      <c r="AL3" s="53"/>
      <c r="AM3" s="53"/>
      <c r="AN3" s="53"/>
      <c r="AO3" s="289" t="s">
        <v>30</v>
      </c>
      <c r="AP3" s="289"/>
    </row>
    <row r="4" spans="1:42" s="41" customFormat="1" ht="14.25" x14ac:dyDescent="0.15">
      <c r="B4" s="15" t="s">
        <v>32</v>
      </c>
      <c r="C4" s="16" t="s">
        <v>33</v>
      </c>
      <c r="D4" s="16" t="s">
        <v>34</v>
      </c>
      <c r="E4" s="16" t="s">
        <v>35</v>
      </c>
      <c r="F4" s="48"/>
      <c r="G4" s="15" t="s">
        <v>32</v>
      </c>
      <c r="H4" s="16" t="s">
        <v>33</v>
      </c>
      <c r="I4" s="16" t="s">
        <v>34</v>
      </c>
      <c r="J4" s="16" t="s">
        <v>35</v>
      </c>
      <c r="K4" s="48"/>
      <c r="L4" s="15" t="s">
        <v>32</v>
      </c>
      <c r="M4" s="16" t="s">
        <v>33</v>
      </c>
      <c r="N4" s="16" t="s">
        <v>34</v>
      </c>
      <c r="O4" s="16" t="s">
        <v>35</v>
      </c>
      <c r="P4" s="48"/>
      <c r="Q4" s="15" t="s">
        <v>32</v>
      </c>
      <c r="R4" s="16" t="s">
        <v>33</v>
      </c>
      <c r="S4" s="16" t="s">
        <v>34</v>
      </c>
      <c r="T4" s="16" t="s">
        <v>35</v>
      </c>
      <c r="U4" s="2"/>
      <c r="V4" s="9" t="s">
        <v>24</v>
      </c>
      <c r="W4" s="9" t="s">
        <v>25</v>
      </c>
      <c r="X4" s="9" t="s">
        <v>26</v>
      </c>
      <c r="Z4" s="9" t="s">
        <v>24</v>
      </c>
      <c r="AA4" s="9" t="s">
        <v>25</v>
      </c>
      <c r="AB4" s="9" t="s">
        <v>26</v>
      </c>
      <c r="AD4" s="9" t="s">
        <v>74</v>
      </c>
      <c r="AE4" s="9"/>
      <c r="AF4" s="69"/>
      <c r="AG4" s="286" t="s">
        <v>76</v>
      </c>
      <c r="AH4" s="287"/>
      <c r="AI4" s="286" t="s">
        <v>83</v>
      </c>
      <c r="AJ4" s="287"/>
      <c r="AK4" s="286" t="s">
        <v>84</v>
      </c>
      <c r="AL4" s="287"/>
      <c r="AM4" s="286" t="s">
        <v>85</v>
      </c>
      <c r="AN4" s="287"/>
      <c r="AO4" s="286" t="s">
        <v>86</v>
      </c>
      <c r="AP4" s="287"/>
    </row>
    <row r="5" spans="1:42" s="41" customFormat="1" ht="14.25" x14ac:dyDescent="0.15">
      <c r="B5" s="21">
        <v>10</v>
      </c>
      <c r="C5" s="20">
        <v>2.0099999999999998</v>
      </c>
      <c r="D5" s="20">
        <v>1.74</v>
      </c>
      <c r="E5" s="17">
        <f>IF(D5="","",SQRT((C5^2)+(D5^2)))</f>
        <v>2.6585146228674383</v>
      </c>
      <c r="F5" s="14"/>
      <c r="G5" s="21">
        <v>10</v>
      </c>
      <c r="H5" s="20">
        <v>2.72</v>
      </c>
      <c r="I5" s="20">
        <v>3.5</v>
      </c>
      <c r="J5" s="17">
        <f>IF(I5="","",SQRT((H5^2)+(I5^2)))</f>
        <v>4.4326515766525123</v>
      </c>
      <c r="K5" s="14"/>
      <c r="L5" s="21">
        <v>10</v>
      </c>
      <c r="M5" s="20">
        <v>1.92</v>
      </c>
      <c r="N5" s="20">
        <v>1.93</v>
      </c>
      <c r="O5" s="17">
        <f>IF(N5="","",SQRT((M5^2)+(N5^2)))</f>
        <v>2.7223702907576697</v>
      </c>
      <c r="P5" s="14"/>
      <c r="Q5" s="21">
        <v>10</v>
      </c>
      <c r="R5" s="20">
        <v>2.72</v>
      </c>
      <c r="S5" s="20">
        <v>3.5</v>
      </c>
      <c r="T5" s="17">
        <f>IF(S5="","",SQRT((R5^2)+(S5^2)))</f>
        <v>4.4326515766525123</v>
      </c>
      <c r="U5" s="2"/>
      <c r="V5" s="10" t="s">
        <v>23</v>
      </c>
      <c r="W5" s="10" t="s">
        <v>67</v>
      </c>
      <c r="X5" s="10" t="s">
        <v>27</v>
      </c>
      <c r="Z5" s="10" t="s">
        <v>23</v>
      </c>
      <c r="AA5" s="10" t="s">
        <v>29</v>
      </c>
      <c r="AB5" s="10" t="s">
        <v>27</v>
      </c>
      <c r="AD5" s="10" t="s">
        <v>75</v>
      </c>
      <c r="AE5" s="10" t="s">
        <v>47</v>
      </c>
      <c r="AF5" s="70" t="s">
        <v>48</v>
      </c>
      <c r="AG5" s="67" t="s">
        <v>79</v>
      </c>
      <c r="AH5" s="67" t="s">
        <v>80</v>
      </c>
      <c r="AI5" s="67" t="s">
        <v>79</v>
      </c>
      <c r="AJ5" s="67" t="s">
        <v>80</v>
      </c>
      <c r="AK5" s="67" t="s">
        <v>79</v>
      </c>
      <c r="AL5" s="67" t="s">
        <v>80</v>
      </c>
      <c r="AM5" s="67" t="s">
        <v>79</v>
      </c>
      <c r="AN5" s="67" t="s">
        <v>80</v>
      </c>
      <c r="AO5" s="67" t="s">
        <v>79</v>
      </c>
      <c r="AP5" s="67" t="s">
        <v>80</v>
      </c>
    </row>
    <row r="6" spans="1:42" s="41" customFormat="1" x14ac:dyDescent="0.15">
      <c r="B6" s="21">
        <v>20</v>
      </c>
      <c r="C6" s="20">
        <v>1.77</v>
      </c>
      <c r="D6" s="20">
        <v>1.82</v>
      </c>
      <c r="E6" s="17">
        <f t="shared" ref="E6:E16" si="0">IF(D6="","",SQRT((C6^2)+(D6^2)))</f>
        <v>2.5387595396177245</v>
      </c>
      <c r="F6" s="14"/>
      <c r="G6" s="21">
        <v>20</v>
      </c>
      <c r="H6" s="20">
        <v>1.99</v>
      </c>
      <c r="I6" s="20">
        <v>4.6399999999999997</v>
      </c>
      <c r="J6" s="17">
        <f t="shared" ref="J6:J16" si="1">IF(I6="","",SQRT((H6^2)+(I6^2)))</f>
        <v>5.0487325142059172</v>
      </c>
      <c r="K6" s="14"/>
      <c r="L6" s="21">
        <v>20</v>
      </c>
      <c r="M6" s="20">
        <v>1.68</v>
      </c>
      <c r="N6" s="20">
        <v>2.04</v>
      </c>
      <c r="O6" s="17">
        <f t="shared" ref="O6:O16" si="2">IF(N6="","",SQRT((M6^2)+(N6^2)))</f>
        <v>2.6427258654654286</v>
      </c>
      <c r="P6" s="14"/>
      <c r="Q6" s="21">
        <v>20</v>
      </c>
      <c r="R6" s="20">
        <v>1.99</v>
      </c>
      <c r="S6" s="20">
        <v>4.6399999999999997</v>
      </c>
      <c r="T6" s="17">
        <f t="shared" ref="T6:T16" si="3">IF(S6="","",SQRT((R6^2)+(S6^2)))</f>
        <v>5.0487325142059172</v>
      </c>
      <c r="U6" s="2"/>
      <c r="V6" s="50"/>
      <c r="W6" s="11" t="s">
        <v>28</v>
      </c>
      <c r="X6" s="11" t="s">
        <v>28</v>
      </c>
      <c r="Z6" s="50"/>
      <c r="AA6" s="11" t="s">
        <v>28</v>
      </c>
      <c r="AB6" s="11" t="s">
        <v>28</v>
      </c>
      <c r="AD6" s="50"/>
      <c r="AE6" s="68" t="s">
        <v>82</v>
      </c>
      <c r="AF6" s="71" t="s">
        <v>55</v>
      </c>
      <c r="AG6" s="50" t="s">
        <v>81</v>
      </c>
      <c r="AH6" s="50" t="s">
        <v>81</v>
      </c>
      <c r="AI6" s="50" t="s">
        <v>81</v>
      </c>
      <c r="AJ6" s="50" t="s">
        <v>81</v>
      </c>
      <c r="AK6" s="50" t="s">
        <v>81</v>
      </c>
      <c r="AL6" s="50" t="s">
        <v>81</v>
      </c>
      <c r="AM6" s="50" t="s">
        <v>81</v>
      </c>
      <c r="AN6" s="50" t="s">
        <v>81</v>
      </c>
      <c r="AO6" s="50" t="s">
        <v>81</v>
      </c>
      <c r="AP6" s="50" t="s">
        <v>81</v>
      </c>
    </row>
    <row r="7" spans="1:42" s="41" customFormat="1" x14ac:dyDescent="0.15">
      <c r="A7" s="2"/>
      <c r="B7" s="21">
        <v>30</v>
      </c>
      <c r="C7" s="20">
        <v>1.56</v>
      </c>
      <c r="D7" s="20">
        <v>2.37</v>
      </c>
      <c r="E7" s="17">
        <f t="shared" si="0"/>
        <v>2.8373403038761493</v>
      </c>
      <c r="F7" s="47"/>
      <c r="G7" s="21">
        <v>30</v>
      </c>
      <c r="H7" s="20">
        <v>1.56</v>
      </c>
      <c r="I7" s="20">
        <v>4.28</v>
      </c>
      <c r="J7" s="17">
        <f t="shared" si="1"/>
        <v>4.5554363128025406</v>
      </c>
      <c r="K7" s="47"/>
      <c r="L7" s="21">
        <v>30</v>
      </c>
      <c r="M7" s="20">
        <v>1.51</v>
      </c>
      <c r="N7" s="20">
        <v>2.6</v>
      </c>
      <c r="O7" s="17">
        <f t="shared" si="2"/>
        <v>3.0066759053812238</v>
      </c>
      <c r="P7" s="47"/>
      <c r="Q7" s="21">
        <v>30</v>
      </c>
      <c r="R7" s="20">
        <v>1.56</v>
      </c>
      <c r="S7" s="20">
        <v>4.28</v>
      </c>
      <c r="T7" s="17">
        <f t="shared" si="3"/>
        <v>4.5554363128025406</v>
      </c>
      <c r="U7" s="2"/>
      <c r="V7" s="64">
        <v>2</v>
      </c>
      <c r="W7" s="19">
        <v>10.7</v>
      </c>
      <c r="X7" s="19">
        <v>9.9199999999999997E-2</v>
      </c>
      <c r="Y7" s="2"/>
      <c r="Z7" s="64">
        <v>8</v>
      </c>
      <c r="AA7" s="19">
        <v>3.01</v>
      </c>
      <c r="AB7" s="19">
        <v>0.114</v>
      </c>
      <c r="AD7" s="63">
        <v>0.1</v>
      </c>
      <c r="AE7" s="77"/>
      <c r="AF7" s="77"/>
      <c r="AG7" s="72">
        <v>50</v>
      </c>
      <c r="AH7" s="73">
        <v>50</v>
      </c>
      <c r="AI7" s="72">
        <v>20</v>
      </c>
      <c r="AJ7" s="73">
        <v>20</v>
      </c>
      <c r="AK7" s="72"/>
      <c r="AL7" s="73"/>
      <c r="AM7" s="72"/>
      <c r="AN7" s="73"/>
      <c r="AO7" s="72"/>
      <c r="AP7" s="73"/>
    </row>
    <row r="8" spans="1:42" s="41" customFormat="1" x14ac:dyDescent="0.15">
      <c r="A8" s="2"/>
      <c r="B8" s="21">
        <v>50</v>
      </c>
      <c r="C8" s="20">
        <v>1.43</v>
      </c>
      <c r="D8" s="20">
        <v>2.27</v>
      </c>
      <c r="E8" s="17">
        <f t="shared" si="0"/>
        <v>2.6828715958837837</v>
      </c>
      <c r="F8" s="47"/>
      <c r="G8" s="21">
        <v>50</v>
      </c>
      <c r="H8" s="20">
        <v>1.81</v>
      </c>
      <c r="I8" s="20">
        <v>3.54</v>
      </c>
      <c r="J8" s="17">
        <f t="shared" si="1"/>
        <v>3.9758898375080767</v>
      </c>
      <c r="K8" s="47"/>
      <c r="L8" s="21">
        <v>50</v>
      </c>
      <c r="M8" s="20">
        <v>1.39</v>
      </c>
      <c r="N8" s="20">
        <v>2.5499999999999998</v>
      </c>
      <c r="O8" s="17">
        <f t="shared" si="2"/>
        <v>2.90423828223512</v>
      </c>
      <c r="P8" s="47"/>
      <c r="Q8" s="21">
        <v>50</v>
      </c>
      <c r="R8" s="20">
        <v>1.81</v>
      </c>
      <c r="S8" s="20">
        <v>3.54</v>
      </c>
      <c r="T8" s="17">
        <f t="shared" si="3"/>
        <v>3.9758898375080767</v>
      </c>
      <c r="U8" s="2"/>
      <c r="V8" s="64">
        <v>3.5</v>
      </c>
      <c r="W8" s="19">
        <v>6.02</v>
      </c>
      <c r="X8" s="19">
        <v>9.1399999999999995E-2</v>
      </c>
      <c r="Y8" s="2"/>
      <c r="Z8" s="64">
        <v>14</v>
      </c>
      <c r="AA8" s="19">
        <v>1.71</v>
      </c>
      <c r="AB8" s="19">
        <v>0.107</v>
      </c>
      <c r="AD8" s="63">
        <v>0.2</v>
      </c>
      <c r="AE8" s="77">
        <v>0.56000000000000005</v>
      </c>
      <c r="AF8" s="77">
        <v>0.53</v>
      </c>
      <c r="AG8" s="72">
        <v>75</v>
      </c>
      <c r="AH8" s="73">
        <v>50</v>
      </c>
      <c r="AI8" s="72">
        <v>20</v>
      </c>
      <c r="AJ8" s="73">
        <v>20</v>
      </c>
      <c r="AK8" s="72">
        <v>15</v>
      </c>
      <c r="AL8" s="73">
        <v>10</v>
      </c>
      <c r="AM8" s="72">
        <v>5</v>
      </c>
      <c r="AN8" s="73">
        <v>5</v>
      </c>
      <c r="AO8" s="72">
        <v>5</v>
      </c>
      <c r="AP8" s="73">
        <v>5</v>
      </c>
    </row>
    <row r="9" spans="1:42" s="41" customFormat="1" x14ac:dyDescent="0.15">
      <c r="A9" s="2"/>
      <c r="B9" s="21">
        <v>75</v>
      </c>
      <c r="C9" s="20">
        <v>1.53</v>
      </c>
      <c r="D9" s="20">
        <v>1.95</v>
      </c>
      <c r="E9" s="17">
        <f t="shared" si="0"/>
        <v>2.4785883078881819</v>
      </c>
      <c r="F9" s="47"/>
      <c r="G9" s="21">
        <v>75</v>
      </c>
      <c r="H9" s="20">
        <v>1.54</v>
      </c>
      <c r="I9" s="20">
        <v>3.6</v>
      </c>
      <c r="J9" s="17">
        <f t="shared" si="1"/>
        <v>3.915558708537008</v>
      </c>
      <c r="K9" s="47"/>
      <c r="L9" s="21">
        <v>75</v>
      </c>
      <c r="M9" s="20">
        <v>1.43</v>
      </c>
      <c r="N9" s="20">
        <v>2.15</v>
      </c>
      <c r="O9" s="17">
        <f t="shared" si="2"/>
        <v>2.5821309029559285</v>
      </c>
      <c r="P9" s="47"/>
      <c r="Q9" s="21">
        <v>75</v>
      </c>
      <c r="R9" s="20">
        <v>1.54</v>
      </c>
      <c r="S9" s="20">
        <v>3.6</v>
      </c>
      <c r="T9" s="17">
        <f t="shared" si="3"/>
        <v>3.915558708537008</v>
      </c>
      <c r="U9" s="2"/>
      <c r="V9" s="64">
        <v>5.5</v>
      </c>
      <c r="W9" s="19">
        <v>3.85</v>
      </c>
      <c r="X9" s="19">
        <v>9.1399999999999995E-2</v>
      </c>
      <c r="Y9" s="2"/>
      <c r="Z9" s="64">
        <v>22</v>
      </c>
      <c r="AA9" s="19">
        <v>1.08</v>
      </c>
      <c r="AB9" s="19">
        <v>0.10199999999999999</v>
      </c>
      <c r="AD9" s="63">
        <v>0.25</v>
      </c>
      <c r="AE9" s="77"/>
      <c r="AF9" s="77"/>
      <c r="AG9" s="72">
        <v>75</v>
      </c>
      <c r="AH9" s="73">
        <v>75</v>
      </c>
      <c r="AI9" s="72">
        <v>30</v>
      </c>
      <c r="AJ9" s="73">
        <v>20</v>
      </c>
      <c r="AK9" s="72"/>
      <c r="AL9" s="73"/>
      <c r="AM9" s="72"/>
      <c r="AN9" s="73"/>
      <c r="AO9" s="72"/>
      <c r="AP9" s="73"/>
    </row>
    <row r="10" spans="1:42" s="41" customFormat="1" x14ac:dyDescent="0.15">
      <c r="A10" s="2"/>
      <c r="B10" s="21">
        <v>100</v>
      </c>
      <c r="C10" s="20">
        <v>1.54</v>
      </c>
      <c r="D10" s="20">
        <v>2.29</v>
      </c>
      <c r="E10" s="17">
        <f t="shared" si="0"/>
        <v>2.7596557756357947</v>
      </c>
      <c r="F10" s="47"/>
      <c r="G10" s="21">
        <v>100</v>
      </c>
      <c r="H10" s="20">
        <v>1.57</v>
      </c>
      <c r="I10" s="20">
        <v>3.88</v>
      </c>
      <c r="J10" s="17">
        <f t="shared" si="1"/>
        <v>4.1856062882215763</v>
      </c>
      <c r="K10" s="47"/>
      <c r="L10" s="21">
        <v>100</v>
      </c>
      <c r="M10" s="20">
        <v>1.42</v>
      </c>
      <c r="N10" s="20">
        <v>2.54</v>
      </c>
      <c r="O10" s="17">
        <f t="shared" si="2"/>
        <v>2.9099828178186895</v>
      </c>
      <c r="P10" s="47"/>
      <c r="Q10" s="21">
        <v>100</v>
      </c>
      <c r="R10" s="20">
        <v>1.57</v>
      </c>
      <c r="S10" s="20">
        <v>3.88</v>
      </c>
      <c r="T10" s="17">
        <f t="shared" si="3"/>
        <v>4.1856062882215763</v>
      </c>
      <c r="U10" s="2"/>
      <c r="V10" s="64">
        <v>8</v>
      </c>
      <c r="W10" s="19">
        <v>2.67</v>
      </c>
      <c r="X10" s="19">
        <v>9.1399999999999995E-2</v>
      </c>
      <c r="Y10" s="2"/>
      <c r="Z10" s="64">
        <v>38</v>
      </c>
      <c r="AA10" s="19">
        <v>0.626</v>
      </c>
      <c r="AB10" s="19">
        <v>9.3899999999999997E-2</v>
      </c>
      <c r="AD10" s="63">
        <v>0.4</v>
      </c>
      <c r="AE10" s="77">
        <v>0.63500000000000001</v>
      </c>
      <c r="AF10" s="77">
        <v>0.63</v>
      </c>
      <c r="AG10" s="72">
        <v>75</v>
      </c>
      <c r="AH10" s="73">
        <v>75</v>
      </c>
      <c r="AI10" s="72">
        <v>30</v>
      </c>
      <c r="AJ10" s="73">
        <v>30</v>
      </c>
      <c r="AK10" s="72">
        <v>20</v>
      </c>
      <c r="AL10" s="73">
        <v>15</v>
      </c>
      <c r="AM10" s="72">
        <v>5</v>
      </c>
      <c r="AN10" s="73">
        <v>5</v>
      </c>
      <c r="AO10" s="72">
        <v>5</v>
      </c>
      <c r="AP10" s="73">
        <v>5</v>
      </c>
    </row>
    <row r="11" spans="1:42" s="41" customFormat="1" x14ac:dyDescent="0.15">
      <c r="A11" s="2"/>
      <c r="B11" s="21">
        <v>150</v>
      </c>
      <c r="C11" s="20">
        <v>1.41</v>
      </c>
      <c r="D11" s="20">
        <v>2.36</v>
      </c>
      <c r="E11" s="17">
        <f t="shared" si="0"/>
        <v>2.7491271342009629</v>
      </c>
      <c r="F11" s="47"/>
      <c r="G11" s="21">
        <v>150</v>
      </c>
      <c r="H11" s="20">
        <v>1.41</v>
      </c>
      <c r="I11" s="20">
        <v>4.33</v>
      </c>
      <c r="J11" s="17">
        <f t="shared" si="1"/>
        <v>4.5537896306263423</v>
      </c>
      <c r="K11" s="47"/>
      <c r="L11" s="21">
        <v>150</v>
      </c>
      <c r="M11" s="20">
        <v>1.37</v>
      </c>
      <c r="N11" s="20">
        <v>2.73</v>
      </c>
      <c r="O11" s="17">
        <f t="shared" si="2"/>
        <v>3.0544721311545797</v>
      </c>
      <c r="P11" s="47"/>
      <c r="Q11" s="21">
        <v>150</v>
      </c>
      <c r="R11" s="20">
        <v>1.41</v>
      </c>
      <c r="S11" s="20">
        <v>4.33</v>
      </c>
      <c r="T11" s="17">
        <f t="shared" si="3"/>
        <v>4.5537896306263423</v>
      </c>
      <c r="U11" s="2"/>
      <c r="V11" s="64">
        <v>14</v>
      </c>
      <c r="W11" s="19">
        <v>1.5</v>
      </c>
      <c r="X11" s="19">
        <v>8.3000000000000004E-2</v>
      </c>
      <c r="Y11" s="2"/>
      <c r="Z11" s="64">
        <v>60</v>
      </c>
      <c r="AA11" s="19">
        <v>0.39700000000000002</v>
      </c>
      <c r="AB11" s="19">
        <v>9.0499999999999997E-2</v>
      </c>
      <c r="AD11" s="63">
        <v>0.75</v>
      </c>
      <c r="AE11" s="77">
        <v>0.69499999999999995</v>
      </c>
      <c r="AF11" s="77">
        <v>0.7</v>
      </c>
      <c r="AG11" s="72">
        <v>100</v>
      </c>
      <c r="AH11" s="73">
        <v>100</v>
      </c>
      <c r="AI11" s="72">
        <v>40</v>
      </c>
      <c r="AJ11" s="73">
        <v>40</v>
      </c>
      <c r="AK11" s="72">
        <v>30</v>
      </c>
      <c r="AL11" s="73">
        <v>20</v>
      </c>
      <c r="AM11" s="72">
        <v>7.5</v>
      </c>
      <c r="AN11" s="73">
        <v>5</v>
      </c>
      <c r="AO11" s="72">
        <v>7.5</v>
      </c>
      <c r="AP11" s="73">
        <v>5</v>
      </c>
    </row>
    <row r="12" spans="1:42" s="41" customFormat="1" x14ac:dyDescent="0.15">
      <c r="A12" s="2"/>
      <c r="B12" s="21">
        <v>200</v>
      </c>
      <c r="C12" s="20">
        <v>1.35</v>
      </c>
      <c r="D12" s="20">
        <v>2.7</v>
      </c>
      <c r="E12" s="17">
        <f t="shared" si="0"/>
        <v>3.0186917696247164</v>
      </c>
      <c r="F12" s="47"/>
      <c r="G12" s="21">
        <v>200</v>
      </c>
      <c r="H12" s="20">
        <v>1.35</v>
      </c>
      <c r="I12" s="20">
        <v>4.88</v>
      </c>
      <c r="J12" s="17">
        <f t="shared" si="1"/>
        <v>5.0632894446199694</v>
      </c>
      <c r="K12" s="47"/>
      <c r="L12" s="21">
        <v>200</v>
      </c>
      <c r="M12" s="20">
        <v>1.31</v>
      </c>
      <c r="N12" s="20">
        <v>3.14</v>
      </c>
      <c r="O12" s="17">
        <f t="shared" si="2"/>
        <v>3.4023080401398107</v>
      </c>
      <c r="P12" s="47"/>
      <c r="Q12" s="21">
        <v>200</v>
      </c>
      <c r="R12" s="20">
        <v>1.35</v>
      </c>
      <c r="S12" s="20">
        <v>4.88</v>
      </c>
      <c r="T12" s="17">
        <f t="shared" si="3"/>
        <v>5.0632894446199694</v>
      </c>
      <c r="U12" s="2"/>
      <c r="V12" s="64">
        <v>22</v>
      </c>
      <c r="W12" s="19">
        <v>0.95299999999999996</v>
      </c>
      <c r="X12" s="19">
        <v>8.5800000000000001E-2</v>
      </c>
      <c r="Y12" s="2"/>
      <c r="Z12" s="64">
        <v>100</v>
      </c>
      <c r="AA12" s="19">
        <v>0.24</v>
      </c>
      <c r="AB12" s="19">
        <v>8.8300000000000003E-2</v>
      </c>
      <c r="AD12" s="63">
        <v>1.1000000000000001</v>
      </c>
      <c r="AE12" s="77"/>
      <c r="AF12" s="77"/>
      <c r="AG12" s="72">
        <v>100</v>
      </c>
      <c r="AH12" s="73">
        <v>100</v>
      </c>
      <c r="AI12" s="72">
        <v>50</v>
      </c>
      <c r="AJ12" s="73">
        <v>40</v>
      </c>
      <c r="AK12" s="72">
        <v>30</v>
      </c>
      <c r="AL12" s="73">
        <v>20</v>
      </c>
      <c r="AM12" s="72">
        <v>7.5</v>
      </c>
      <c r="AN12" s="73">
        <v>5</v>
      </c>
      <c r="AO12" s="72">
        <v>7.5</v>
      </c>
      <c r="AP12" s="73">
        <v>5</v>
      </c>
    </row>
    <row r="13" spans="1:42" s="41" customFormat="1" x14ac:dyDescent="0.15">
      <c r="A13" s="2"/>
      <c r="B13" s="21">
        <v>300</v>
      </c>
      <c r="C13" s="20">
        <v>1.31</v>
      </c>
      <c r="D13" s="20">
        <v>3.7</v>
      </c>
      <c r="E13" s="17">
        <f t="shared" si="0"/>
        <v>3.9250605090877264</v>
      </c>
      <c r="F13" s="47"/>
      <c r="G13" s="21">
        <v>300</v>
      </c>
      <c r="H13" s="20">
        <v>1.1100000000000001</v>
      </c>
      <c r="I13" s="20">
        <v>4.99</v>
      </c>
      <c r="J13" s="17">
        <f t="shared" si="1"/>
        <v>5.1119663535668938</v>
      </c>
      <c r="K13" s="47"/>
      <c r="L13" s="21">
        <v>300</v>
      </c>
      <c r="M13" s="20">
        <v>1.29</v>
      </c>
      <c r="N13" s="20">
        <v>4.28</v>
      </c>
      <c r="O13" s="17">
        <f t="shared" si="2"/>
        <v>4.4701789673345296</v>
      </c>
      <c r="P13" s="47"/>
      <c r="Q13" s="21">
        <v>300</v>
      </c>
      <c r="R13" s="20">
        <v>1.1100000000000001</v>
      </c>
      <c r="S13" s="20">
        <v>4.99</v>
      </c>
      <c r="T13" s="17">
        <f t="shared" si="3"/>
        <v>5.1119663535668938</v>
      </c>
      <c r="U13" s="2"/>
      <c r="V13" s="64">
        <v>38</v>
      </c>
      <c r="W13" s="19">
        <v>0.56299999999999994</v>
      </c>
      <c r="X13" s="19">
        <v>7.6100000000000001E-2</v>
      </c>
      <c r="Y13" s="2"/>
      <c r="Z13" s="64">
        <v>150</v>
      </c>
      <c r="AA13" s="19">
        <v>0.159</v>
      </c>
      <c r="AB13" s="19">
        <v>8.3900000000000002E-2</v>
      </c>
      <c r="AD13" s="63">
        <v>1.5</v>
      </c>
      <c r="AE13" s="77">
        <v>0.755</v>
      </c>
      <c r="AF13" s="77">
        <v>0.75</v>
      </c>
      <c r="AG13" s="72"/>
      <c r="AH13" s="73"/>
      <c r="AI13" s="72"/>
      <c r="AJ13" s="73"/>
      <c r="AK13" s="72">
        <v>40</v>
      </c>
      <c r="AL13" s="73">
        <v>30</v>
      </c>
      <c r="AM13" s="72">
        <v>10</v>
      </c>
      <c r="AN13" s="73">
        <v>7.5</v>
      </c>
      <c r="AO13" s="72">
        <v>10</v>
      </c>
      <c r="AP13" s="73">
        <v>7.5</v>
      </c>
    </row>
    <row r="14" spans="1:42" s="41" customFormat="1" x14ac:dyDescent="0.15">
      <c r="A14" s="2"/>
      <c r="B14" s="21">
        <v>500</v>
      </c>
      <c r="C14" s="20">
        <v>1.1100000000000001</v>
      </c>
      <c r="D14" s="20">
        <v>4.1100000000000003</v>
      </c>
      <c r="E14" s="17">
        <f t="shared" si="0"/>
        <v>4.2572526352097082</v>
      </c>
      <c r="F14" s="47"/>
      <c r="G14" s="21"/>
      <c r="H14" s="20"/>
      <c r="I14" s="20"/>
      <c r="J14" s="17" t="str">
        <f t="shared" si="1"/>
        <v/>
      </c>
      <c r="K14" s="47"/>
      <c r="L14" s="21">
        <v>500</v>
      </c>
      <c r="M14" s="20">
        <v>1.1000000000000001</v>
      </c>
      <c r="N14" s="20">
        <v>4.75</v>
      </c>
      <c r="O14" s="17">
        <f t="shared" si="2"/>
        <v>4.8757050772170381</v>
      </c>
      <c r="P14" s="47"/>
      <c r="Q14" s="21"/>
      <c r="R14" s="20"/>
      <c r="S14" s="20"/>
      <c r="T14" s="17" t="str">
        <f t="shared" si="3"/>
        <v/>
      </c>
      <c r="U14" s="2"/>
      <c r="V14" s="64">
        <v>60</v>
      </c>
      <c r="W14" s="19">
        <v>0.35099999999999998</v>
      </c>
      <c r="X14" s="19">
        <v>7.8600000000000003E-2</v>
      </c>
      <c r="Y14" s="2"/>
      <c r="Z14" s="64">
        <v>200</v>
      </c>
      <c r="AA14" s="19">
        <v>0.121</v>
      </c>
      <c r="AB14" s="19">
        <v>8.4500000000000006E-2</v>
      </c>
      <c r="AD14" s="63">
        <v>2.2000000000000002</v>
      </c>
      <c r="AE14" s="77">
        <v>0.78500000000000003</v>
      </c>
      <c r="AF14" s="77">
        <v>0.77</v>
      </c>
      <c r="AG14" s="72"/>
      <c r="AH14" s="73"/>
      <c r="AI14" s="72"/>
      <c r="AJ14" s="73"/>
      <c r="AK14" s="72">
        <v>50</v>
      </c>
      <c r="AL14" s="73">
        <v>40</v>
      </c>
      <c r="AM14" s="72">
        <v>15</v>
      </c>
      <c r="AN14" s="73">
        <v>10</v>
      </c>
      <c r="AO14" s="72">
        <v>10</v>
      </c>
      <c r="AP14" s="73">
        <v>10</v>
      </c>
    </row>
    <row r="15" spans="1:42" s="41" customFormat="1" x14ac:dyDescent="0.15">
      <c r="A15" s="2"/>
      <c r="B15" s="21"/>
      <c r="C15" s="20"/>
      <c r="D15" s="20"/>
      <c r="E15" s="17" t="str">
        <f t="shared" si="0"/>
        <v/>
      </c>
      <c r="F15" s="47"/>
      <c r="G15" s="21"/>
      <c r="H15" s="20"/>
      <c r="I15" s="20"/>
      <c r="J15" s="17" t="str">
        <f t="shared" si="1"/>
        <v/>
      </c>
      <c r="K15" s="47"/>
      <c r="L15" s="21"/>
      <c r="M15" s="20"/>
      <c r="N15" s="20"/>
      <c r="O15" s="17" t="str">
        <f t="shared" si="2"/>
        <v/>
      </c>
      <c r="P15" s="47"/>
      <c r="Q15" s="21"/>
      <c r="R15" s="20"/>
      <c r="S15" s="20"/>
      <c r="T15" s="17" t="str">
        <f t="shared" si="3"/>
        <v/>
      </c>
      <c r="U15" s="2"/>
      <c r="V15" s="64">
        <v>100</v>
      </c>
      <c r="W15" s="19">
        <v>0.20899999999999999</v>
      </c>
      <c r="X15" s="19">
        <v>7.6100000000000001E-2</v>
      </c>
      <c r="Y15" s="2"/>
      <c r="Z15" s="64">
        <v>250</v>
      </c>
      <c r="AA15" s="19">
        <v>9.8100000000000007E-2</v>
      </c>
      <c r="AB15" s="19">
        <v>8.2600000000000007E-2</v>
      </c>
      <c r="AD15" s="63">
        <v>3.7</v>
      </c>
      <c r="AE15" s="77">
        <v>0.81</v>
      </c>
      <c r="AF15" s="77">
        <v>0.78</v>
      </c>
      <c r="AG15" s="72"/>
      <c r="AH15" s="73"/>
      <c r="AI15" s="72"/>
      <c r="AJ15" s="73"/>
      <c r="AK15" s="72">
        <v>75</v>
      </c>
      <c r="AL15" s="73">
        <v>50</v>
      </c>
      <c r="AM15" s="72">
        <v>20</v>
      </c>
      <c r="AN15" s="73">
        <v>15</v>
      </c>
      <c r="AO15" s="72">
        <v>15</v>
      </c>
      <c r="AP15" s="73">
        <v>10</v>
      </c>
    </row>
    <row r="16" spans="1:42" s="41" customFormat="1" x14ac:dyDescent="0.15">
      <c r="A16" s="2"/>
      <c r="B16" s="21"/>
      <c r="C16" s="20"/>
      <c r="D16" s="20"/>
      <c r="E16" s="17" t="str">
        <f t="shared" si="0"/>
        <v/>
      </c>
      <c r="F16" s="47"/>
      <c r="G16" s="21"/>
      <c r="H16" s="20"/>
      <c r="I16" s="20"/>
      <c r="J16" s="17" t="str">
        <f t="shared" si="1"/>
        <v/>
      </c>
      <c r="K16" s="47"/>
      <c r="L16" s="21"/>
      <c r="M16" s="20"/>
      <c r="N16" s="20"/>
      <c r="O16" s="17" t="str">
        <f t="shared" si="2"/>
        <v/>
      </c>
      <c r="P16" s="47"/>
      <c r="Q16" s="21"/>
      <c r="R16" s="20"/>
      <c r="S16" s="20"/>
      <c r="T16" s="17" t="str">
        <f t="shared" si="3"/>
        <v/>
      </c>
      <c r="U16" s="2"/>
      <c r="V16" s="64">
        <v>150</v>
      </c>
      <c r="W16" s="19">
        <v>0.13700000000000001</v>
      </c>
      <c r="X16" s="19">
        <v>7.4399999999999994E-2</v>
      </c>
      <c r="Y16" s="2"/>
      <c r="Z16" s="64">
        <v>325</v>
      </c>
      <c r="AA16" s="19">
        <v>7.6499999999999999E-2</v>
      </c>
      <c r="AB16" s="19">
        <v>8.0699999999999994E-2</v>
      </c>
      <c r="AD16" s="63">
        <v>5.5</v>
      </c>
      <c r="AE16" s="77">
        <v>0.82499999999999996</v>
      </c>
      <c r="AF16" s="77">
        <v>0.78</v>
      </c>
      <c r="AG16" s="72"/>
      <c r="AH16" s="73"/>
      <c r="AI16" s="72"/>
      <c r="AJ16" s="73"/>
      <c r="AK16" s="72">
        <v>100</v>
      </c>
      <c r="AL16" s="73">
        <v>75</v>
      </c>
      <c r="AM16" s="72">
        <v>30</v>
      </c>
      <c r="AN16" s="73">
        <v>25</v>
      </c>
      <c r="AO16" s="72">
        <v>25</v>
      </c>
      <c r="AP16" s="73">
        <v>20</v>
      </c>
    </row>
    <row r="17" spans="1:42" s="41" customFormat="1" x14ac:dyDescent="0.15">
      <c r="A17" s="2"/>
      <c r="B17" s="21"/>
      <c r="C17" s="20"/>
      <c r="D17" s="20"/>
      <c r="E17" s="17" t="str">
        <f>IF(D17="","",SQRT((C17^2)+(D17^2)))</f>
        <v/>
      </c>
      <c r="F17" s="47"/>
      <c r="G17" s="21"/>
      <c r="H17" s="20"/>
      <c r="I17" s="20"/>
      <c r="J17" s="17" t="str">
        <f>IF(I17="","",SQRT((H17^2)+(I17^2)))</f>
        <v/>
      </c>
      <c r="K17" s="47"/>
      <c r="L17" s="21"/>
      <c r="M17" s="20"/>
      <c r="N17" s="20"/>
      <c r="O17" s="17" t="str">
        <f>IF(N17="","",SQRT((M17^2)+(N17^2)))</f>
        <v/>
      </c>
      <c r="P17" s="47"/>
      <c r="Q17" s="21"/>
      <c r="R17" s="20"/>
      <c r="S17" s="20"/>
      <c r="T17" s="17" t="str">
        <f>IF(S17="","",SQRT((R17^2)+(S17^2)))</f>
        <v/>
      </c>
      <c r="U17" s="2"/>
      <c r="V17" s="64">
        <v>200</v>
      </c>
      <c r="W17" s="19">
        <v>0.107</v>
      </c>
      <c r="X17" s="19">
        <v>7.3999999999999996E-2</v>
      </c>
      <c r="Y17" s="2"/>
      <c r="Z17" s="64">
        <v>400</v>
      </c>
      <c r="AA17" s="19">
        <v>6.3399999999999998E-2</v>
      </c>
      <c r="AB17" s="19">
        <v>7.9200000000000007E-2</v>
      </c>
      <c r="AD17" s="63">
        <v>7.5</v>
      </c>
      <c r="AE17" s="77">
        <v>0.83499999999999996</v>
      </c>
      <c r="AF17" s="77">
        <v>0.79</v>
      </c>
      <c r="AG17" s="72"/>
      <c r="AH17" s="73"/>
      <c r="AI17" s="72"/>
      <c r="AJ17" s="73"/>
      <c r="AK17" s="72">
        <v>150</v>
      </c>
      <c r="AL17" s="73">
        <v>100</v>
      </c>
      <c r="AM17" s="72">
        <v>40</v>
      </c>
      <c r="AN17" s="73">
        <v>25</v>
      </c>
      <c r="AO17" s="72">
        <v>30</v>
      </c>
      <c r="AP17" s="73">
        <v>20</v>
      </c>
    </row>
    <row r="18" spans="1:42" s="41" customFormat="1" x14ac:dyDescent="0.15">
      <c r="A18" s="2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2"/>
      <c r="V18" s="64">
        <v>250</v>
      </c>
      <c r="W18" s="19">
        <v>8.4000000000000005E-2</v>
      </c>
      <c r="X18" s="19">
        <v>7.2400000000000006E-2</v>
      </c>
      <c r="Y18" s="2"/>
      <c r="Z18" s="64">
        <v>500</v>
      </c>
      <c r="AA18" s="19">
        <v>5.1999999999999998E-2</v>
      </c>
      <c r="AB18" s="19">
        <v>7.9500000000000001E-2</v>
      </c>
      <c r="AD18" s="63">
        <v>11</v>
      </c>
      <c r="AE18" s="77">
        <v>0.84499999999999997</v>
      </c>
      <c r="AF18" s="77">
        <v>0.8</v>
      </c>
      <c r="AG18" s="72"/>
      <c r="AH18" s="73"/>
      <c r="AI18" s="72"/>
      <c r="AJ18" s="73"/>
      <c r="AK18" s="72">
        <v>200</v>
      </c>
      <c r="AL18" s="73">
        <v>150</v>
      </c>
      <c r="AM18" s="72">
        <v>50</v>
      </c>
      <c r="AN18" s="73">
        <v>40</v>
      </c>
      <c r="AO18" s="72">
        <v>40</v>
      </c>
      <c r="AP18" s="73">
        <v>30</v>
      </c>
    </row>
    <row r="19" spans="1:42" s="41" customFormat="1" ht="15" customHeight="1" x14ac:dyDescent="0.2">
      <c r="A19" s="2"/>
      <c r="B19" s="18" t="s">
        <v>37</v>
      </c>
      <c r="C19" s="283" t="s">
        <v>57</v>
      </c>
      <c r="D19" s="283"/>
      <c r="E19" s="49" t="s">
        <v>30</v>
      </c>
      <c r="F19" s="47"/>
      <c r="G19" s="18" t="s">
        <v>37</v>
      </c>
      <c r="H19" s="283" t="s">
        <v>60</v>
      </c>
      <c r="I19" s="283"/>
      <c r="J19" s="49" t="s">
        <v>30</v>
      </c>
      <c r="K19" s="47"/>
      <c r="L19" s="18" t="s">
        <v>37</v>
      </c>
      <c r="M19" s="283" t="s">
        <v>62</v>
      </c>
      <c r="N19" s="283"/>
      <c r="O19" s="49" t="s">
        <v>30</v>
      </c>
      <c r="P19" s="47"/>
      <c r="Q19" s="18" t="s">
        <v>37</v>
      </c>
      <c r="R19" s="283" t="s">
        <v>64</v>
      </c>
      <c r="S19" s="283"/>
      <c r="T19" s="49" t="s">
        <v>30</v>
      </c>
      <c r="U19" s="2"/>
      <c r="V19" s="64">
        <v>325</v>
      </c>
      <c r="W19" s="19">
        <v>6.6600000000000006E-2</v>
      </c>
      <c r="X19" s="19">
        <v>7.1900000000000006E-2</v>
      </c>
      <c r="Y19" s="2"/>
      <c r="Z19" s="64">
        <v>600</v>
      </c>
      <c r="AA19" s="19">
        <v>4.48E-2</v>
      </c>
      <c r="AB19" s="19">
        <v>7.85E-2</v>
      </c>
      <c r="AD19" s="63">
        <v>15</v>
      </c>
      <c r="AE19" s="77">
        <v>0.85499999999999998</v>
      </c>
      <c r="AF19" s="77">
        <v>0.80500000000000005</v>
      </c>
      <c r="AG19" s="72"/>
      <c r="AH19" s="73"/>
      <c r="AI19" s="72"/>
      <c r="AJ19" s="73"/>
      <c r="AK19" s="72">
        <v>250</v>
      </c>
      <c r="AL19" s="73">
        <v>200</v>
      </c>
      <c r="AM19" s="72">
        <v>75</v>
      </c>
      <c r="AN19" s="73">
        <v>50</v>
      </c>
      <c r="AO19" s="72">
        <v>50</v>
      </c>
      <c r="AP19" s="73">
        <v>40</v>
      </c>
    </row>
    <row r="20" spans="1:42" s="41" customFormat="1" ht="14.25" x14ac:dyDescent="0.15">
      <c r="A20" s="2"/>
      <c r="B20" s="15" t="s">
        <v>32</v>
      </c>
      <c r="C20" s="16" t="s">
        <v>33</v>
      </c>
      <c r="D20" s="16" t="s">
        <v>34</v>
      </c>
      <c r="E20" s="16" t="s">
        <v>35</v>
      </c>
      <c r="F20" s="47"/>
      <c r="G20" s="15" t="s">
        <v>32</v>
      </c>
      <c r="H20" s="16" t="s">
        <v>33</v>
      </c>
      <c r="I20" s="16" t="s">
        <v>34</v>
      </c>
      <c r="J20" s="16" t="s">
        <v>35</v>
      </c>
      <c r="K20" s="47"/>
      <c r="L20" s="15" t="s">
        <v>32</v>
      </c>
      <c r="M20" s="16" t="s">
        <v>33</v>
      </c>
      <c r="N20" s="16" t="s">
        <v>34</v>
      </c>
      <c r="O20" s="16" t="s">
        <v>35</v>
      </c>
      <c r="P20" s="47"/>
      <c r="Q20" s="15" t="s">
        <v>32</v>
      </c>
      <c r="R20" s="16" t="s">
        <v>33</v>
      </c>
      <c r="S20" s="16" t="s">
        <v>34</v>
      </c>
      <c r="T20" s="16" t="s">
        <v>35</v>
      </c>
      <c r="U20" s="2"/>
      <c r="V20" s="64"/>
      <c r="W20" s="19"/>
      <c r="X20" s="19"/>
      <c r="Y20" s="2"/>
      <c r="Z20" s="64"/>
      <c r="AA20" s="19"/>
      <c r="AB20" s="19"/>
      <c r="AD20" s="63">
        <v>18.5</v>
      </c>
      <c r="AE20" s="77">
        <v>0.85499999999999998</v>
      </c>
      <c r="AF20" s="77">
        <v>0.80500000000000005</v>
      </c>
      <c r="AG20" s="72"/>
      <c r="AH20" s="73"/>
      <c r="AI20" s="72"/>
      <c r="AJ20" s="73"/>
      <c r="AK20" s="72">
        <v>300</v>
      </c>
      <c r="AL20" s="73">
        <v>250</v>
      </c>
      <c r="AM20" s="72">
        <v>75</v>
      </c>
      <c r="AN20" s="73">
        <v>75</v>
      </c>
      <c r="AO20" s="72">
        <v>75</v>
      </c>
      <c r="AP20" s="73">
        <v>50</v>
      </c>
    </row>
    <row r="21" spans="1:42" s="41" customFormat="1" x14ac:dyDescent="0.15">
      <c r="A21" s="2"/>
      <c r="B21" s="21"/>
      <c r="C21" s="20"/>
      <c r="D21" s="20"/>
      <c r="E21" s="17" t="str">
        <f>IF(D21="","",SQRT((C21^2)+(D21^2)))</f>
        <v/>
      </c>
      <c r="F21" s="47"/>
      <c r="G21" s="21"/>
      <c r="H21" s="20"/>
      <c r="I21" s="20"/>
      <c r="J21" s="17" t="str">
        <f>IF(I21="","",SQRT((H21^2)+(I21^2)))</f>
        <v/>
      </c>
      <c r="K21" s="47"/>
      <c r="L21" s="21"/>
      <c r="M21" s="20"/>
      <c r="N21" s="20"/>
      <c r="O21" s="17" t="str">
        <f>IF(N21="","",SQRT((M21^2)+(N21^2)))</f>
        <v/>
      </c>
      <c r="P21" s="47"/>
      <c r="Q21" s="21"/>
      <c r="R21" s="20"/>
      <c r="S21" s="20"/>
      <c r="T21" s="17" t="str">
        <f>IF(S21="","",SQRT((R21^2)+(S21^2)))</f>
        <v/>
      </c>
      <c r="U21" s="2"/>
      <c r="V21" s="64"/>
      <c r="W21" s="19"/>
      <c r="X21" s="19"/>
      <c r="Y21" s="2"/>
      <c r="Z21" s="64"/>
      <c r="AA21" s="19"/>
      <c r="AB21" s="19"/>
      <c r="AD21" s="63">
        <v>22</v>
      </c>
      <c r="AE21" s="77">
        <v>0.86</v>
      </c>
      <c r="AF21" s="77">
        <v>0.81</v>
      </c>
      <c r="AG21" s="72"/>
      <c r="AH21" s="73"/>
      <c r="AI21" s="72"/>
      <c r="AJ21" s="73"/>
      <c r="AK21" s="72">
        <v>400</v>
      </c>
      <c r="AL21" s="73">
        <v>300</v>
      </c>
      <c r="AM21" s="72">
        <v>100</v>
      </c>
      <c r="AN21" s="73">
        <v>75</v>
      </c>
      <c r="AO21" s="72">
        <v>75</v>
      </c>
      <c r="AP21" s="73">
        <v>50</v>
      </c>
    </row>
    <row r="22" spans="1:42" s="41" customFormat="1" x14ac:dyDescent="0.15">
      <c r="A22" s="2"/>
      <c r="B22" s="21">
        <v>20</v>
      </c>
      <c r="C22" s="20">
        <v>2.14</v>
      </c>
      <c r="D22" s="20">
        <v>0.98</v>
      </c>
      <c r="E22" s="17">
        <f t="shared" ref="E22:E32" si="4">IF(D22="","",SQRT((C22^2)+(D22^2)))</f>
        <v>2.3537204591879641</v>
      </c>
      <c r="F22" s="47"/>
      <c r="G22" s="21">
        <v>20</v>
      </c>
      <c r="H22" s="20">
        <v>3.39</v>
      </c>
      <c r="I22" s="20">
        <v>2.82</v>
      </c>
      <c r="J22" s="17">
        <f t="shared" ref="J22:J32" si="5">IF(I22="","",SQRT((H22^2)+(I22^2)))</f>
        <v>4.409591817844368</v>
      </c>
      <c r="K22" s="47"/>
      <c r="L22" s="21">
        <v>20</v>
      </c>
      <c r="M22" s="20">
        <v>1.97</v>
      </c>
      <c r="N22" s="20">
        <v>1.01</v>
      </c>
      <c r="O22" s="17">
        <f t="shared" ref="O22:O32" si="6">IF(N22="","",SQRT((M22^2)+(N22^2)))</f>
        <v>2.213820227570432</v>
      </c>
      <c r="P22" s="47"/>
      <c r="Q22" s="21">
        <v>20</v>
      </c>
      <c r="R22" s="20">
        <v>3.16</v>
      </c>
      <c r="S22" s="20">
        <v>3.03</v>
      </c>
      <c r="T22" s="17">
        <f t="shared" ref="T22:T32" si="7">IF(S22="","",SQRT((R22^2)+(S22^2)))</f>
        <v>4.3779561441384951</v>
      </c>
      <c r="U22" s="2"/>
      <c r="V22" s="64"/>
      <c r="W22" s="19"/>
      <c r="X22" s="19"/>
      <c r="Y22" s="2"/>
      <c r="Z22" s="64"/>
      <c r="AA22" s="19"/>
      <c r="AB22" s="19"/>
      <c r="AD22" s="63">
        <v>30</v>
      </c>
      <c r="AE22" s="77">
        <v>0.86499999999999999</v>
      </c>
      <c r="AF22" s="77">
        <v>0.81499999999999995</v>
      </c>
      <c r="AG22" s="72"/>
      <c r="AH22" s="73"/>
      <c r="AI22" s="72"/>
      <c r="AJ22" s="73"/>
      <c r="AK22" s="72">
        <v>500</v>
      </c>
      <c r="AL22" s="73">
        <v>400</v>
      </c>
      <c r="AM22" s="72">
        <v>125</v>
      </c>
      <c r="AN22" s="73">
        <v>100</v>
      </c>
      <c r="AO22" s="72">
        <v>100</v>
      </c>
      <c r="AP22" s="73">
        <v>100</v>
      </c>
    </row>
    <row r="23" spans="1:42" s="41" customFormat="1" x14ac:dyDescent="0.15">
      <c r="A23" s="2"/>
      <c r="B23" s="21">
        <v>30</v>
      </c>
      <c r="C23" s="20">
        <v>1.91</v>
      </c>
      <c r="D23" s="20">
        <v>1.0900000000000001</v>
      </c>
      <c r="E23" s="17">
        <f t="shared" si="4"/>
        <v>2.1991361940543839</v>
      </c>
      <c r="F23" s="47"/>
      <c r="G23" s="21">
        <v>30</v>
      </c>
      <c r="H23" s="20">
        <v>2.83</v>
      </c>
      <c r="I23" s="20">
        <v>2.4900000000000002</v>
      </c>
      <c r="J23" s="17">
        <f t="shared" si="5"/>
        <v>3.7694827231332422</v>
      </c>
      <c r="K23" s="47"/>
      <c r="L23" s="21">
        <v>30</v>
      </c>
      <c r="M23" s="20">
        <v>1.78</v>
      </c>
      <c r="N23" s="20">
        <v>1.24</v>
      </c>
      <c r="O23" s="17">
        <f t="shared" si="6"/>
        <v>2.1693316943243142</v>
      </c>
      <c r="P23" s="47"/>
      <c r="Q23" s="21">
        <v>30</v>
      </c>
      <c r="R23" s="20">
        <v>2.84</v>
      </c>
      <c r="S23" s="20">
        <v>3.11</v>
      </c>
      <c r="T23" s="17">
        <f t="shared" si="7"/>
        <v>4.2116148921761587</v>
      </c>
      <c r="U23" s="2"/>
      <c r="V23" s="12"/>
      <c r="W23" s="13"/>
      <c r="X23" s="13"/>
      <c r="Y23" s="2"/>
      <c r="Z23" s="12"/>
      <c r="AA23" s="13"/>
      <c r="AB23" s="13"/>
      <c r="AD23" s="63">
        <v>37</v>
      </c>
      <c r="AE23" s="77">
        <v>0.87</v>
      </c>
      <c r="AF23" s="77">
        <v>0.82</v>
      </c>
      <c r="AG23" s="72"/>
      <c r="AH23" s="73"/>
      <c r="AI23" s="72"/>
      <c r="AJ23" s="73"/>
      <c r="AK23" s="72">
        <v>600</v>
      </c>
      <c r="AL23" s="73">
        <v>500</v>
      </c>
      <c r="AM23" s="72">
        <v>150</v>
      </c>
      <c r="AN23" s="73">
        <v>125</v>
      </c>
      <c r="AO23" s="72">
        <v>125</v>
      </c>
      <c r="AP23" s="73">
        <v>100</v>
      </c>
    </row>
    <row r="24" spans="1:42" s="41" customFormat="1" ht="15" customHeight="1" x14ac:dyDescent="0.2">
      <c r="A24" s="2"/>
      <c r="B24" s="21">
        <v>50</v>
      </c>
      <c r="C24" s="20">
        <v>1.81</v>
      </c>
      <c r="D24" s="20">
        <v>1.31</v>
      </c>
      <c r="E24" s="17">
        <f t="shared" si="4"/>
        <v>2.2343231637343779</v>
      </c>
      <c r="F24" s="47"/>
      <c r="G24" s="21">
        <v>50</v>
      </c>
      <c r="H24" s="20">
        <v>1.98</v>
      </c>
      <c r="I24" s="20">
        <v>3.1</v>
      </c>
      <c r="J24" s="17">
        <f t="shared" si="5"/>
        <v>3.6783692038728248</v>
      </c>
      <c r="K24" s="47"/>
      <c r="L24" s="21">
        <v>50</v>
      </c>
      <c r="M24" s="20">
        <v>1.7</v>
      </c>
      <c r="N24" s="20">
        <v>1.46</v>
      </c>
      <c r="O24" s="17">
        <f t="shared" si="6"/>
        <v>2.2408926792686881</v>
      </c>
      <c r="P24" s="47"/>
      <c r="Q24" s="21">
        <v>50</v>
      </c>
      <c r="R24" s="20">
        <v>1.93</v>
      </c>
      <c r="S24" s="20">
        <v>3.12</v>
      </c>
      <c r="T24" s="17">
        <f t="shared" si="7"/>
        <v>3.6686918649567724</v>
      </c>
      <c r="U24" s="2"/>
      <c r="V24" s="282" t="s">
        <v>71</v>
      </c>
      <c r="W24" s="282"/>
      <c r="X24" s="49" t="s">
        <v>30</v>
      </c>
      <c r="Y24" s="2"/>
      <c r="Z24" s="282" t="s">
        <v>36</v>
      </c>
      <c r="AA24" s="282"/>
      <c r="AB24" s="49" t="s">
        <v>31</v>
      </c>
      <c r="AD24" s="63">
        <v>45</v>
      </c>
      <c r="AE24" s="77"/>
      <c r="AF24" s="77"/>
      <c r="AG24" s="72"/>
      <c r="AH24" s="73"/>
      <c r="AI24" s="72"/>
      <c r="AJ24" s="73"/>
      <c r="AK24" s="72">
        <v>750</v>
      </c>
      <c r="AL24" s="73">
        <v>600</v>
      </c>
      <c r="AM24" s="72">
        <v>200</v>
      </c>
      <c r="AN24" s="73">
        <v>150</v>
      </c>
      <c r="AO24" s="72">
        <v>200</v>
      </c>
      <c r="AP24" s="73">
        <v>150</v>
      </c>
    </row>
    <row r="25" spans="1:42" s="41" customFormat="1" x14ac:dyDescent="0.15">
      <c r="A25" s="2"/>
      <c r="B25" s="21">
        <v>75</v>
      </c>
      <c r="C25" s="20">
        <v>1.78</v>
      </c>
      <c r="D25" s="20">
        <v>1.73</v>
      </c>
      <c r="E25" s="17">
        <f t="shared" si="4"/>
        <v>2.4821966078455593</v>
      </c>
      <c r="F25" s="47"/>
      <c r="G25" s="21">
        <v>75</v>
      </c>
      <c r="H25" s="20">
        <v>1.7</v>
      </c>
      <c r="I25" s="20">
        <v>3.6</v>
      </c>
      <c r="J25" s="17">
        <f t="shared" si="5"/>
        <v>3.981205847478877</v>
      </c>
      <c r="K25" s="47"/>
      <c r="L25" s="21">
        <v>75</v>
      </c>
      <c r="M25" s="20">
        <v>1.64</v>
      </c>
      <c r="N25" s="20">
        <v>1.93</v>
      </c>
      <c r="O25" s="17">
        <f t="shared" si="6"/>
        <v>2.5326863208853951</v>
      </c>
      <c r="P25" s="47"/>
      <c r="Q25" s="21">
        <v>75</v>
      </c>
      <c r="R25" s="20">
        <v>1.66</v>
      </c>
      <c r="S25" s="20">
        <v>4.17</v>
      </c>
      <c r="T25" s="17">
        <f t="shared" si="7"/>
        <v>4.4882624700433906</v>
      </c>
      <c r="U25" s="2"/>
      <c r="V25" s="9" t="s">
        <v>24</v>
      </c>
      <c r="W25" s="9" t="s">
        <v>25</v>
      </c>
      <c r="X25" s="9" t="s">
        <v>26</v>
      </c>
      <c r="Y25" s="2"/>
      <c r="Z25" s="9" t="s">
        <v>24</v>
      </c>
      <c r="AA25" s="9" t="s">
        <v>25</v>
      </c>
      <c r="AB25" s="9" t="s">
        <v>26</v>
      </c>
      <c r="AD25" s="63">
        <v>55</v>
      </c>
      <c r="AE25" s="77">
        <v>0.88</v>
      </c>
      <c r="AF25" s="77">
        <v>0.83499999999999996</v>
      </c>
      <c r="AG25" s="72"/>
      <c r="AH25" s="73"/>
      <c r="AI25" s="72"/>
      <c r="AJ25" s="73"/>
      <c r="AK25" s="72">
        <v>900</v>
      </c>
      <c r="AL25" s="73">
        <v>750</v>
      </c>
      <c r="AM25" s="72">
        <v>250</v>
      </c>
      <c r="AN25" s="73">
        <v>200</v>
      </c>
      <c r="AO25" s="72">
        <v>250</v>
      </c>
      <c r="AP25" s="73">
        <v>200</v>
      </c>
    </row>
    <row r="26" spans="1:42" s="41" customFormat="1" x14ac:dyDescent="0.15">
      <c r="A26" s="2"/>
      <c r="B26" s="21">
        <v>100</v>
      </c>
      <c r="C26" s="20">
        <v>1.73</v>
      </c>
      <c r="D26" s="20">
        <v>1.74</v>
      </c>
      <c r="E26" s="17">
        <f t="shared" si="4"/>
        <v>2.4536707195546841</v>
      </c>
      <c r="F26" s="47"/>
      <c r="G26" s="21">
        <v>100</v>
      </c>
      <c r="H26" s="20">
        <v>1.87</v>
      </c>
      <c r="I26" s="20">
        <v>3.83</v>
      </c>
      <c r="J26" s="17">
        <f t="shared" si="5"/>
        <v>4.2621356149235794</v>
      </c>
      <c r="K26" s="47"/>
      <c r="L26" s="21">
        <v>100</v>
      </c>
      <c r="M26" s="20">
        <v>1.6</v>
      </c>
      <c r="N26" s="20">
        <v>1.93</v>
      </c>
      <c r="O26" s="17">
        <f t="shared" si="6"/>
        <v>2.5069702830308938</v>
      </c>
      <c r="P26" s="47"/>
      <c r="Q26" s="21">
        <v>100</v>
      </c>
      <c r="R26" s="20">
        <v>1.91</v>
      </c>
      <c r="S26" s="20">
        <v>4.4000000000000004</v>
      </c>
      <c r="T26" s="17">
        <f t="shared" si="7"/>
        <v>4.7966759323514863</v>
      </c>
      <c r="U26" s="2"/>
      <c r="V26" s="10" t="s">
        <v>23</v>
      </c>
      <c r="W26" s="10" t="s">
        <v>29</v>
      </c>
      <c r="X26" s="10" t="s">
        <v>27</v>
      </c>
      <c r="Y26" s="2"/>
      <c r="Z26" s="10" t="s">
        <v>23</v>
      </c>
      <c r="AA26" s="10" t="s">
        <v>29</v>
      </c>
      <c r="AB26" s="10" t="s">
        <v>27</v>
      </c>
      <c r="AD26" s="63"/>
      <c r="AE26" s="77"/>
      <c r="AF26" s="77"/>
      <c r="AG26" s="72"/>
      <c r="AH26" s="73"/>
      <c r="AI26" s="72"/>
      <c r="AJ26" s="73"/>
      <c r="AK26" s="72"/>
      <c r="AL26" s="73"/>
      <c r="AM26" s="72"/>
      <c r="AN26" s="73"/>
      <c r="AO26" s="72"/>
      <c r="AP26" s="73"/>
    </row>
    <row r="27" spans="1:42" s="41" customFormat="1" x14ac:dyDescent="0.15">
      <c r="A27" s="2"/>
      <c r="B27" s="21">
        <v>150</v>
      </c>
      <c r="C27" s="20">
        <v>1.61</v>
      </c>
      <c r="D27" s="20">
        <v>1.91</v>
      </c>
      <c r="E27" s="17">
        <f t="shared" si="4"/>
        <v>2.4980392310770463</v>
      </c>
      <c r="F27" s="47"/>
      <c r="G27" s="21">
        <v>150</v>
      </c>
      <c r="H27" s="20">
        <v>1.57</v>
      </c>
      <c r="I27" s="20">
        <v>3.93</v>
      </c>
      <c r="J27" s="17">
        <f t="shared" si="5"/>
        <v>4.2319971644602976</v>
      </c>
      <c r="K27" s="47"/>
      <c r="L27" s="21">
        <v>150</v>
      </c>
      <c r="M27" s="20">
        <v>1.5</v>
      </c>
      <c r="N27" s="20">
        <v>2.12</v>
      </c>
      <c r="O27" s="17">
        <f t="shared" si="6"/>
        <v>2.5969982672308429</v>
      </c>
      <c r="P27" s="47"/>
      <c r="Q27" s="21">
        <v>150</v>
      </c>
      <c r="R27" s="20">
        <v>1.56</v>
      </c>
      <c r="S27" s="20">
        <v>4.6900000000000004</v>
      </c>
      <c r="T27" s="17">
        <f t="shared" si="7"/>
        <v>4.9426409944482117</v>
      </c>
      <c r="U27" s="2"/>
      <c r="V27" s="50"/>
      <c r="W27" s="11" t="s">
        <v>28</v>
      </c>
      <c r="X27" s="11" t="s">
        <v>28</v>
      </c>
      <c r="Y27" s="2"/>
      <c r="Z27" s="50"/>
      <c r="AA27" s="11" t="s">
        <v>28</v>
      </c>
      <c r="AB27" s="11" t="s">
        <v>28</v>
      </c>
      <c r="AD27" s="63">
        <v>70.956000000000003</v>
      </c>
      <c r="AE27" s="77">
        <v>0.92500000000000004</v>
      </c>
      <c r="AF27" s="77">
        <v>0.89800000000000002</v>
      </c>
      <c r="AG27" s="72"/>
      <c r="AH27" s="73"/>
      <c r="AI27" s="72"/>
      <c r="AJ27" s="73"/>
      <c r="AK27" s="72"/>
      <c r="AL27" s="73"/>
      <c r="AM27" s="72"/>
      <c r="AN27" s="73"/>
      <c r="AO27" s="72"/>
      <c r="AP27" s="73"/>
    </row>
    <row r="28" spans="1:42" s="41" customFormat="1" x14ac:dyDescent="0.15">
      <c r="A28" s="2"/>
      <c r="B28" s="21">
        <v>200</v>
      </c>
      <c r="C28" s="20">
        <v>1.63</v>
      </c>
      <c r="D28" s="20">
        <v>2.6</v>
      </c>
      <c r="E28" s="17">
        <f t="shared" si="4"/>
        <v>3.0686967917994115</v>
      </c>
      <c r="F28" s="47"/>
      <c r="G28" s="21">
        <v>200</v>
      </c>
      <c r="H28" s="20">
        <v>1.49</v>
      </c>
      <c r="I28" s="20">
        <v>4.3499999999999996</v>
      </c>
      <c r="J28" s="17">
        <f t="shared" si="5"/>
        <v>4.5981083066843906</v>
      </c>
      <c r="K28" s="47"/>
      <c r="L28" s="21">
        <v>200</v>
      </c>
      <c r="M28" s="20">
        <v>1.53</v>
      </c>
      <c r="N28" s="20">
        <v>2.9</v>
      </c>
      <c r="O28" s="17">
        <f t="shared" si="6"/>
        <v>3.2788565079917724</v>
      </c>
      <c r="P28" s="47"/>
      <c r="Q28" s="21">
        <v>200</v>
      </c>
      <c r="R28" s="20">
        <v>1.44</v>
      </c>
      <c r="S28" s="20">
        <v>4.88</v>
      </c>
      <c r="T28" s="17">
        <f t="shared" si="7"/>
        <v>5.0880251571705104</v>
      </c>
      <c r="U28" s="2"/>
      <c r="V28" s="64">
        <v>2</v>
      </c>
      <c r="W28" s="19">
        <v>12</v>
      </c>
      <c r="X28" s="19">
        <v>9.9199999999999997E-2</v>
      </c>
      <c r="Y28" s="2"/>
      <c r="Z28" s="64">
        <v>8</v>
      </c>
      <c r="AA28" s="19"/>
      <c r="AB28" s="19"/>
      <c r="AD28" s="63">
        <v>120</v>
      </c>
      <c r="AE28" s="77">
        <v>0.91</v>
      </c>
      <c r="AF28" s="77">
        <v>0.85</v>
      </c>
      <c r="AG28" s="72"/>
      <c r="AH28" s="73"/>
      <c r="AI28" s="72"/>
      <c r="AJ28" s="73"/>
      <c r="AK28" s="72"/>
      <c r="AL28" s="73"/>
      <c r="AM28" s="72"/>
      <c r="AN28" s="73"/>
      <c r="AO28" s="72"/>
      <c r="AP28" s="73"/>
    </row>
    <row r="29" spans="1:42" s="41" customFormat="1" x14ac:dyDescent="0.15">
      <c r="A29" s="2"/>
      <c r="B29" s="21">
        <v>300</v>
      </c>
      <c r="C29" s="20">
        <v>1.5</v>
      </c>
      <c r="D29" s="20">
        <v>2.82</v>
      </c>
      <c r="E29" s="17">
        <f t="shared" si="4"/>
        <v>3.1941195970094793</v>
      </c>
      <c r="F29" s="47"/>
      <c r="G29" s="21">
        <v>300</v>
      </c>
      <c r="H29" s="20">
        <v>1.44</v>
      </c>
      <c r="I29" s="20">
        <v>4.43</v>
      </c>
      <c r="J29" s="17">
        <f t="shared" si="5"/>
        <v>4.658164874711928</v>
      </c>
      <c r="K29" s="47"/>
      <c r="L29" s="21">
        <v>300</v>
      </c>
      <c r="M29" s="20">
        <v>1.41</v>
      </c>
      <c r="N29" s="20">
        <v>3.26</v>
      </c>
      <c r="O29" s="17">
        <f t="shared" si="6"/>
        <v>3.5518586683594267</v>
      </c>
      <c r="P29" s="47"/>
      <c r="Q29" s="21">
        <v>300</v>
      </c>
      <c r="R29" s="20">
        <v>1.34</v>
      </c>
      <c r="S29" s="20">
        <v>5.07</v>
      </c>
      <c r="T29" s="17">
        <f t="shared" si="7"/>
        <v>5.2440919137635262</v>
      </c>
      <c r="U29" s="2"/>
      <c r="V29" s="64">
        <v>3.5</v>
      </c>
      <c r="W29" s="19">
        <v>6.76</v>
      </c>
      <c r="X29" s="19">
        <v>9.1399999999999995E-2</v>
      </c>
      <c r="Y29" s="2"/>
      <c r="Z29" s="64">
        <v>14</v>
      </c>
      <c r="AA29" s="19"/>
      <c r="AB29" s="19"/>
      <c r="AD29" s="63"/>
      <c r="AE29" s="77"/>
      <c r="AF29" s="77"/>
      <c r="AG29" s="72"/>
      <c r="AH29" s="73"/>
      <c r="AI29" s="72"/>
      <c r="AJ29" s="73"/>
      <c r="AK29" s="72"/>
      <c r="AL29" s="73"/>
      <c r="AM29" s="72"/>
      <c r="AN29" s="73"/>
      <c r="AO29" s="72"/>
      <c r="AP29" s="73"/>
    </row>
    <row r="30" spans="1:42" s="41" customFormat="1" x14ac:dyDescent="0.15">
      <c r="A30" s="2"/>
      <c r="B30" s="21">
        <v>500</v>
      </c>
      <c r="C30" s="20">
        <v>1.25</v>
      </c>
      <c r="D30" s="20">
        <v>4.0599999999999996</v>
      </c>
      <c r="E30" s="17">
        <f t="shared" si="4"/>
        <v>4.2480701500799158</v>
      </c>
      <c r="F30" s="47"/>
      <c r="G30" s="21">
        <v>500</v>
      </c>
      <c r="H30" s="20">
        <v>1.07</v>
      </c>
      <c r="I30" s="20">
        <v>4.09</v>
      </c>
      <c r="J30" s="17">
        <f t="shared" si="5"/>
        <v>4.2276470997470916</v>
      </c>
      <c r="K30" s="47"/>
      <c r="L30" s="21">
        <v>500</v>
      </c>
      <c r="M30" s="20">
        <v>1.18</v>
      </c>
      <c r="N30" s="20">
        <v>4.6100000000000003</v>
      </c>
      <c r="O30" s="17">
        <f t="shared" si="6"/>
        <v>4.7586237506237037</v>
      </c>
      <c r="P30" s="47"/>
      <c r="Q30" s="21">
        <v>500</v>
      </c>
      <c r="R30" s="20">
        <v>1.06</v>
      </c>
      <c r="S30" s="20">
        <v>5.47</v>
      </c>
      <c r="T30" s="17">
        <f t="shared" si="7"/>
        <v>5.5717591477019175</v>
      </c>
      <c r="U30" s="2"/>
      <c r="V30" s="64">
        <v>5.5</v>
      </c>
      <c r="W30" s="19">
        <v>4.34</v>
      </c>
      <c r="X30" s="19">
        <v>9.1399999999999995E-2</v>
      </c>
      <c r="Y30" s="2"/>
      <c r="Z30" s="64">
        <v>22</v>
      </c>
      <c r="AA30" s="19"/>
      <c r="AB30" s="19"/>
      <c r="AD30" s="63"/>
      <c r="AE30" s="77"/>
      <c r="AF30" s="77"/>
      <c r="AG30" s="72"/>
      <c r="AH30" s="73"/>
      <c r="AI30" s="72"/>
      <c r="AJ30" s="73"/>
      <c r="AK30" s="72"/>
      <c r="AL30" s="73"/>
      <c r="AM30" s="72"/>
      <c r="AN30" s="73"/>
      <c r="AO30" s="72"/>
      <c r="AP30" s="73"/>
    </row>
    <row r="31" spans="1:42" s="41" customFormat="1" x14ac:dyDescent="0.15">
      <c r="A31" s="2"/>
      <c r="B31" s="21">
        <v>750</v>
      </c>
      <c r="C31" s="20">
        <v>1.31</v>
      </c>
      <c r="D31" s="20">
        <v>4.92</v>
      </c>
      <c r="E31" s="17">
        <f t="shared" si="4"/>
        <v>5.0914143418111237</v>
      </c>
      <c r="F31" s="47"/>
      <c r="G31" s="21"/>
      <c r="H31" s="20"/>
      <c r="I31" s="20"/>
      <c r="J31" s="17" t="str">
        <f t="shared" si="5"/>
        <v/>
      </c>
      <c r="K31" s="47"/>
      <c r="L31" s="21">
        <v>750</v>
      </c>
      <c r="M31" s="20">
        <v>1.24</v>
      </c>
      <c r="N31" s="20">
        <v>5.35</v>
      </c>
      <c r="O31" s="17">
        <f t="shared" si="6"/>
        <v>5.4918211915538544</v>
      </c>
      <c r="P31" s="47"/>
      <c r="Q31" s="21"/>
      <c r="R31" s="20"/>
      <c r="S31" s="20"/>
      <c r="T31" s="17" t="str">
        <f t="shared" si="7"/>
        <v/>
      </c>
      <c r="U31" s="2"/>
      <c r="V31" s="64">
        <v>8</v>
      </c>
      <c r="W31" s="19">
        <v>3.01</v>
      </c>
      <c r="X31" s="19">
        <v>8.6999999999999994E-2</v>
      </c>
      <c r="Y31" s="2"/>
      <c r="Z31" s="64">
        <v>38</v>
      </c>
      <c r="AA31" s="19"/>
      <c r="AB31" s="19"/>
      <c r="AD31" s="63"/>
      <c r="AE31" s="77"/>
      <c r="AF31" s="77"/>
      <c r="AG31" s="72"/>
      <c r="AH31" s="73"/>
      <c r="AI31" s="72"/>
      <c r="AJ31" s="73"/>
      <c r="AK31" s="72"/>
      <c r="AL31" s="73"/>
      <c r="AM31" s="72"/>
      <c r="AN31" s="73"/>
      <c r="AO31" s="72"/>
      <c r="AP31" s="73"/>
    </row>
    <row r="32" spans="1:42" s="41" customFormat="1" x14ac:dyDescent="0.15">
      <c r="A32" s="2"/>
      <c r="B32" s="21">
        <v>1000</v>
      </c>
      <c r="C32" s="20">
        <v>1.19</v>
      </c>
      <c r="D32" s="20">
        <v>5.0199999999999996</v>
      </c>
      <c r="E32" s="17">
        <f t="shared" si="4"/>
        <v>5.159118141698249</v>
      </c>
      <c r="F32" s="47"/>
      <c r="G32" s="21"/>
      <c r="H32" s="20"/>
      <c r="I32" s="20"/>
      <c r="J32" s="17" t="str">
        <f t="shared" si="5"/>
        <v/>
      </c>
      <c r="K32" s="47"/>
      <c r="L32" s="21">
        <v>1000</v>
      </c>
      <c r="M32" s="20">
        <v>1.1200000000000001</v>
      </c>
      <c r="N32" s="20">
        <v>5.68</v>
      </c>
      <c r="O32" s="17">
        <f t="shared" si="6"/>
        <v>5.7893695684418001</v>
      </c>
      <c r="P32" s="47"/>
      <c r="Q32" s="21"/>
      <c r="R32" s="20"/>
      <c r="S32" s="20"/>
      <c r="T32" s="17" t="str">
        <f t="shared" si="7"/>
        <v/>
      </c>
      <c r="U32" s="2"/>
      <c r="V32" s="64">
        <v>14</v>
      </c>
      <c r="W32" s="19">
        <v>1.71</v>
      </c>
      <c r="X32" s="19">
        <v>8.2799999999999999E-2</v>
      </c>
      <c r="Y32" s="2"/>
      <c r="Z32" s="64">
        <v>60</v>
      </c>
      <c r="AA32" s="19"/>
      <c r="AB32" s="19"/>
      <c r="AD32" s="63"/>
      <c r="AE32" s="77"/>
      <c r="AF32" s="77"/>
      <c r="AG32" s="72"/>
      <c r="AH32" s="73"/>
      <c r="AI32" s="72"/>
      <c r="AJ32" s="73"/>
      <c r="AK32" s="72"/>
      <c r="AL32" s="73"/>
      <c r="AM32" s="72"/>
      <c r="AN32" s="73"/>
      <c r="AO32" s="72"/>
      <c r="AP32" s="73"/>
    </row>
    <row r="33" spans="1:42" s="41" customFormat="1" x14ac:dyDescent="0.15">
      <c r="A33" s="2"/>
      <c r="B33" s="21"/>
      <c r="C33" s="20"/>
      <c r="D33" s="20"/>
      <c r="E33" s="17" t="str">
        <f>IF(D33="","",SQRT((C33^2)+(D33^2)))</f>
        <v/>
      </c>
      <c r="F33" s="47"/>
      <c r="G33" s="21"/>
      <c r="H33" s="20"/>
      <c r="I33" s="20"/>
      <c r="J33" s="17" t="str">
        <f>IF(I33="","",SQRT((H33^2)+(I33^2)))</f>
        <v/>
      </c>
      <c r="K33" s="47"/>
      <c r="L33" s="21"/>
      <c r="M33" s="20"/>
      <c r="N33" s="20"/>
      <c r="O33" s="17" t="str">
        <f>IF(N33="","",SQRT((M33^2)+(N33^2)))</f>
        <v/>
      </c>
      <c r="P33" s="47"/>
      <c r="Q33" s="21"/>
      <c r="R33" s="20"/>
      <c r="S33" s="20"/>
      <c r="T33" s="17" t="str">
        <f>IF(S33="","",SQRT((R33^2)+(S33^2)))</f>
        <v/>
      </c>
      <c r="U33" s="2"/>
      <c r="V33" s="64">
        <v>22</v>
      </c>
      <c r="W33" s="19">
        <v>1.08</v>
      </c>
      <c r="X33" s="19">
        <v>8.2000000000000003E-2</v>
      </c>
      <c r="Y33" s="2"/>
      <c r="Z33" s="64">
        <v>100</v>
      </c>
      <c r="AA33" s="19"/>
      <c r="AB33" s="19"/>
      <c r="AD33" s="63"/>
      <c r="AE33" s="77"/>
      <c r="AF33" s="77"/>
      <c r="AG33" s="72"/>
      <c r="AH33" s="73"/>
      <c r="AI33" s="72"/>
      <c r="AJ33" s="73"/>
      <c r="AK33" s="72"/>
      <c r="AL33" s="73"/>
      <c r="AM33" s="72"/>
      <c r="AN33" s="73"/>
      <c r="AO33" s="72"/>
      <c r="AP33" s="73"/>
    </row>
    <row r="34" spans="1:42" s="41" customFormat="1" x14ac:dyDescent="0.15">
      <c r="A34" s="2"/>
      <c r="B34" s="21"/>
      <c r="C34" s="20"/>
      <c r="D34" s="20"/>
      <c r="E34" s="17" t="str">
        <f>IF(D34="","",SQRT((C34^2)+(D34^2)))</f>
        <v/>
      </c>
      <c r="F34" s="14"/>
      <c r="G34" s="21"/>
      <c r="H34" s="20"/>
      <c r="I34" s="20"/>
      <c r="J34" s="17" t="str">
        <f>IF(I34="","",SQRT((H34^2)+(I34^2)))</f>
        <v/>
      </c>
      <c r="K34" s="14"/>
      <c r="L34" s="21"/>
      <c r="M34" s="20"/>
      <c r="N34" s="20"/>
      <c r="O34" s="17" t="str">
        <f>IF(N34="","",SQRT((M34^2)+(N34^2)))</f>
        <v/>
      </c>
      <c r="P34" s="14"/>
      <c r="Q34" s="21"/>
      <c r="R34" s="20"/>
      <c r="S34" s="20"/>
      <c r="T34" s="17" t="str">
        <f>IF(S34="","",SQRT((R34^2)+(S34^2)))</f>
        <v/>
      </c>
      <c r="U34" s="2"/>
      <c r="V34" s="64">
        <v>38</v>
      </c>
      <c r="W34" s="19">
        <v>0.626</v>
      </c>
      <c r="X34" s="19">
        <v>7.7100000000000002E-2</v>
      </c>
      <c r="Y34" s="2"/>
      <c r="Z34" s="64">
        <v>150</v>
      </c>
      <c r="AA34" s="19"/>
      <c r="AB34" s="19"/>
      <c r="AD34" s="63"/>
      <c r="AE34" s="77"/>
      <c r="AF34" s="77"/>
      <c r="AG34" s="72"/>
      <c r="AH34" s="73"/>
      <c r="AI34" s="72"/>
      <c r="AJ34" s="73"/>
      <c r="AK34" s="72"/>
      <c r="AL34" s="73"/>
      <c r="AM34" s="72"/>
      <c r="AN34" s="73"/>
      <c r="AO34" s="72"/>
      <c r="AP34" s="73"/>
    </row>
    <row r="35" spans="1:42" s="41" customFormat="1" x14ac:dyDescent="0.15">
      <c r="A35" s="2"/>
      <c r="B35" s="21"/>
      <c r="C35" s="20"/>
      <c r="D35" s="20"/>
      <c r="E35" s="17" t="str">
        <f>IF(D35="","",SQRT((C35^2)+(D35^2)))</f>
        <v/>
      </c>
      <c r="F35" s="14"/>
      <c r="G35" s="21"/>
      <c r="H35" s="20"/>
      <c r="I35" s="20"/>
      <c r="J35" s="17" t="str">
        <f>IF(I35="","",SQRT((H35^2)+(I35^2)))</f>
        <v/>
      </c>
      <c r="K35" s="14"/>
      <c r="L35" s="21"/>
      <c r="M35" s="20"/>
      <c r="N35" s="20"/>
      <c r="O35" s="17" t="str">
        <f>IF(N35="","",SQRT((M35^2)+(N35^2)))</f>
        <v/>
      </c>
      <c r="P35" s="14"/>
      <c r="Q35" s="21"/>
      <c r="R35" s="20"/>
      <c r="S35" s="20"/>
      <c r="T35" s="17" t="str">
        <f>IF(S35="","",SQRT((R35^2)+(S35^2)))</f>
        <v/>
      </c>
      <c r="U35" s="2"/>
      <c r="V35" s="64">
        <v>60</v>
      </c>
      <c r="W35" s="19">
        <v>0.39700000000000002</v>
      </c>
      <c r="X35" s="19">
        <v>7.7299999999999994E-2</v>
      </c>
      <c r="Y35" s="2"/>
      <c r="Z35" s="64">
        <v>200</v>
      </c>
      <c r="AA35" s="19"/>
      <c r="AB35" s="19"/>
      <c r="AD35" s="63"/>
      <c r="AE35" s="77"/>
      <c r="AF35" s="77"/>
      <c r="AG35" s="72"/>
      <c r="AH35" s="73"/>
      <c r="AI35" s="72"/>
      <c r="AJ35" s="73"/>
      <c r="AK35" s="72"/>
      <c r="AL35" s="73"/>
      <c r="AM35" s="72"/>
      <c r="AN35" s="73"/>
      <c r="AO35" s="72"/>
      <c r="AP35" s="73"/>
    </row>
    <row r="36" spans="1:42" s="41" customFormat="1" x14ac:dyDescent="0.15">
      <c r="A36" s="2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64">
        <v>100</v>
      </c>
      <c r="W36" s="19">
        <v>0.24</v>
      </c>
      <c r="X36" s="19">
        <v>7.7700000000000005E-2</v>
      </c>
      <c r="Y36" s="2"/>
      <c r="Z36" s="64">
        <v>250</v>
      </c>
      <c r="AA36" s="19"/>
      <c r="AB36" s="19"/>
    </row>
    <row r="37" spans="1:42" s="41" customFormat="1" ht="15" customHeight="1" x14ac:dyDescent="0.2">
      <c r="A37" s="2"/>
      <c r="B37" s="18" t="s">
        <v>37</v>
      </c>
      <c r="C37" s="285" t="s">
        <v>69</v>
      </c>
      <c r="D37" s="283"/>
      <c r="E37" s="49" t="s">
        <v>68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64">
        <v>150</v>
      </c>
      <c r="W37" s="19">
        <v>0.159</v>
      </c>
      <c r="X37" s="19">
        <v>7.4700000000000003E-2</v>
      </c>
      <c r="Y37" s="2"/>
      <c r="Z37" s="64">
        <v>325</v>
      </c>
      <c r="AA37" s="19"/>
      <c r="AB37" s="19"/>
    </row>
    <row r="38" spans="1:42" s="41" customFormat="1" ht="14.25" x14ac:dyDescent="0.15">
      <c r="A38" s="2"/>
      <c r="B38" s="15" t="s">
        <v>32</v>
      </c>
      <c r="C38" s="16" t="s">
        <v>33</v>
      </c>
      <c r="D38" s="16" t="s">
        <v>34</v>
      </c>
      <c r="E38" s="16" t="s">
        <v>35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64">
        <v>200</v>
      </c>
      <c r="W38" s="19">
        <v>0.121</v>
      </c>
      <c r="X38" s="19">
        <v>7.5700000000000003E-2</v>
      </c>
      <c r="Y38" s="2"/>
      <c r="Z38" s="64">
        <v>400</v>
      </c>
      <c r="AA38" s="19"/>
      <c r="AB38" s="19"/>
    </row>
    <row r="39" spans="1:42" s="41" customFormat="1" x14ac:dyDescent="0.15">
      <c r="A39" s="2"/>
      <c r="B39" s="21"/>
      <c r="C39" s="20"/>
      <c r="D39" s="20"/>
      <c r="E39" s="17" t="str">
        <f>IF(D39="","",SQRT((C39^2)+(D39^2)))</f>
        <v/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64">
        <v>250</v>
      </c>
      <c r="W39" s="19">
        <v>9.8500000000000004E-2</v>
      </c>
      <c r="X39" s="19">
        <v>7.4200000000000002E-2</v>
      </c>
      <c r="Y39" s="2"/>
      <c r="Z39" s="64">
        <v>500</v>
      </c>
      <c r="AA39" s="19"/>
      <c r="AB39" s="19"/>
    </row>
    <row r="40" spans="1:42" s="41" customFormat="1" x14ac:dyDescent="0.15">
      <c r="A40" s="2"/>
      <c r="B40" s="21"/>
      <c r="C40" s="20"/>
      <c r="D40" s="20"/>
      <c r="E40" s="17" t="str">
        <f t="shared" ref="E40:E50" si="8">IF(D40="","",SQRT((C40^2)+(D40^2)))</f>
        <v/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64">
        <v>325</v>
      </c>
      <c r="W40" s="19">
        <v>7.7100000000000002E-2</v>
      </c>
      <c r="X40" s="19">
        <v>7.2499999999999995E-2</v>
      </c>
      <c r="Y40" s="2"/>
      <c r="Z40" s="64">
        <v>600</v>
      </c>
      <c r="AA40" s="19"/>
      <c r="AB40" s="19"/>
    </row>
    <row r="41" spans="1:42" s="41" customFormat="1" x14ac:dyDescent="0.15">
      <c r="A41" s="2"/>
      <c r="B41" s="21"/>
      <c r="C41" s="20"/>
      <c r="D41" s="20"/>
      <c r="E41" s="17" t="str">
        <f t="shared" si="8"/>
        <v/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64"/>
      <c r="W41" s="19"/>
      <c r="X41" s="19"/>
      <c r="Y41" s="2"/>
      <c r="Z41" s="64">
        <v>1000</v>
      </c>
      <c r="AA41" s="19"/>
      <c r="AB41" s="19"/>
    </row>
    <row r="42" spans="1:42" s="41" customFormat="1" x14ac:dyDescent="0.15">
      <c r="A42" s="2"/>
      <c r="B42" s="21"/>
      <c r="C42" s="20"/>
      <c r="D42" s="20"/>
      <c r="E42" s="17" t="str">
        <f t="shared" si="8"/>
        <v/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64"/>
      <c r="W42" s="19"/>
      <c r="X42" s="19"/>
      <c r="Y42" s="2"/>
      <c r="Z42" s="64"/>
      <c r="AA42" s="19"/>
      <c r="AB42" s="19"/>
    </row>
    <row r="43" spans="1:42" s="41" customFormat="1" x14ac:dyDescent="0.15">
      <c r="A43" s="2"/>
      <c r="B43" s="21"/>
      <c r="C43" s="20"/>
      <c r="D43" s="20"/>
      <c r="E43" s="17" t="str">
        <f t="shared" si="8"/>
        <v/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64"/>
      <c r="W43" s="19"/>
      <c r="X43" s="19"/>
      <c r="Y43" s="2"/>
      <c r="Z43" s="64"/>
      <c r="AA43" s="19"/>
      <c r="AB43" s="19"/>
    </row>
    <row r="44" spans="1:42" s="41" customFormat="1" x14ac:dyDescent="0.15">
      <c r="A44" s="2"/>
      <c r="B44" s="21"/>
      <c r="C44" s="20"/>
      <c r="D44" s="20"/>
      <c r="E44" s="17" t="str">
        <f t="shared" si="8"/>
        <v/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42" s="41" customFormat="1" x14ac:dyDescent="0.15">
      <c r="A45" s="2"/>
      <c r="B45" s="21"/>
      <c r="C45" s="20"/>
      <c r="D45" s="20"/>
      <c r="E45" s="17" t="str">
        <f t="shared" si="8"/>
        <v/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B45" s="2"/>
    </row>
    <row r="46" spans="1:42" s="41" customFormat="1" x14ac:dyDescent="0.15">
      <c r="A46" s="2"/>
      <c r="B46" s="21"/>
      <c r="C46" s="20"/>
      <c r="D46" s="20"/>
      <c r="E46" s="17" t="str">
        <f t="shared" si="8"/>
        <v/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42" s="41" customFormat="1" x14ac:dyDescent="0.15">
      <c r="A47" s="2"/>
      <c r="B47" s="21"/>
      <c r="C47" s="20"/>
      <c r="D47" s="20"/>
      <c r="E47" s="17" t="str">
        <f t="shared" si="8"/>
        <v/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42" s="41" customFormat="1" x14ac:dyDescent="0.15">
      <c r="A48" s="2"/>
      <c r="B48" s="21"/>
      <c r="C48" s="20"/>
      <c r="D48" s="20"/>
      <c r="E48" s="17" t="str">
        <f t="shared" si="8"/>
        <v/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42" s="41" customFormat="1" x14ac:dyDescent="0.15">
      <c r="A49" s="2"/>
      <c r="B49" s="21"/>
      <c r="C49" s="20"/>
      <c r="D49" s="20"/>
      <c r="E49" s="17" t="str">
        <f t="shared" si="8"/>
        <v/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42" s="41" customFormat="1" x14ac:dyDescent="0.15">
      <c r="A50" s="2"/>
      <c r="B50" s="21"/>
      <c r="C50" s="20"/>
      <c r="D50" s="20"/>
      <c r="E50" s="17" t="str">
        <f t="shared" si="8"/>
        <v/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42" s="41" customFormat="1" x14ac:dyDescent="0.15">
      <c r="A51" s="2"/>
      <c r="B51" s="21"/>
      <c r="C51" s="20"/>
      <c r="D51" s="20"/>
      <c r="E51" s="17" t="str">
        <f>IF(D51="","",SQRT((C51^2)+(D51^2)))</f>
        <v/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42" s="41" customFormat="1" x14ac:dyDescent="0.15">
      <c r="A52" s="2"/>
      <c r="B52" s="21"/>
      <c r="C52" s="20"/>
      <c r="D52" s="20"/>
      <c r="E52" s="17" t="str">
        <f>IF(D52="","",SQRT((C52^2)+(D52^2)))</f>
        <v/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42" s="41" customFormat="1" x14ac:dyDescent="0.15">
      <c r="A53" s="2"/>
      <c r="B53" s="21"/>
      <c r="C53" s="20"/>
      <c r="D53" s="20"/>
      <c r="E53" s="17" t="str">
        <f>IF(D53="","",SQRT((C53^2)+(D53^2)))</f>
        <v/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42" x14ac:dyDescent="0.15"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</row>
    <row r="55" spans="1:42" x14ac:dyDescent="0.15"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</row>
    <row r="56" spans="1:42" x14ac:dyDescent="0.15"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</row>
    <row r="57" spans="1:42" x14ac:dyDescent="0.15"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</row>
    <row r="58" spans="1:42" x14ac:dyDescent="0.15"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</row>
    <row r="59" spans="1:42" x14ac:dyDescent="0.15"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</row>
    <row r="60" spans="1:42" x14ac:dyDescent="0.15"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</row>
    <row r="61" spans="1:42" x14ac:dyDescent="0.15"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</row>
    <row r="62" spans="1:42" x14ac:dyDescent="0.15"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</row>
    <row r="63" spans="1:42" x14ac:dyDescent="0.15"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</row>
    <row r="64" spans="1:42" x14ac:dyDescent="0.15"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</row>
    <row r="65" spans="29:42" x14ac:dyDescent="0.15"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</row>
    <row r="66" spans="29:42" x14ac:dyDescent="0.15"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</row>
    <row r="67" spans="29:42" x14ac:dyDescent="0.15"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</row>
    <row r="68" spans="29:42" x14ac:dyDescent="0.15"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</row>
    <row r="69" spans="29:42" x14ac:dyDescent="0.15"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</row>
    <row r="70" spans="29:42" x14ac:dyDescent="0.15"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</row>
    <row r="71" spans="29:42" x14ac:dyDescent="0.15"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</row>
    <row r="72" spans="29:42" x14ac:dyDescent="0.15"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</row>
    <row r="73" spans="29:42" x14ac:dyDescent="0.15"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</row>
    <row r="74" spans="29:42" x14ac:dyDescent="0.15"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</row>
    <row r="75" spans="29:42" x14ac:dyDescent="0.15"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</row>
    <row r="76" spans="29:42" x14ac:dyDescent="0.15"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</row>
    <row r="77" spans="29:42" x14ac:dyDescent="0.15"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</row>
    <row r="78" spans="29:42" x14ac:dyDescent="0.15"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</row>
    <row r="79" spans="29:42" x14ac:dyDescent="0.15"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</row>
    <row r="80" spans="29:42" x14ac:dyDescent="0.15"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</row>
    <row r="81" spans="29:42" x14ac:dyDescent="0.15"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</row>
    <row r="82" spans="29:42" x14ac:dyDescent="0.15"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</row>
    <row r="83" spans="29:42" x14ac:dyDescent="0.15"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</row>
    <row r="84" spans="29:42" x14ac:dyDescent="0.15"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</row>
    <row r="85" spans="29:42" x14ac:dyDescent="0.15"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</row>
    <row r="86" spans="29:42" x14ac:dyDescent="0.15"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</row>
    <row r="87" spans="29:42" x14ac:dyDescent="0.15"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</row>
    <row r="88" spans="29:42" x14ac:dyDescent="0.15"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</row>
    <row r="89" spans="29:42" x14ac:dyDescent="0.15"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</row>
    <row r="90" spans="29:42" x14ac:dyDescent="0.15"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</row>
    <row r="91" spans="29:42" x14ac:dyDescent="0.15"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</row>
    <row r="92" spans="29:42" x14ac:dyDescent="0.15"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</row>
    <row r="93" spans="29:42" x14ac:dyDescent="0.15"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</row>
    <row r="94" spans="29:42" x14ac:dyDescent="0.15"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</row>
    <row r="95" spans="29:42" x14ac:dyDescent="0.15"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</row>
    <row r="96" spans="29:42" x14ac:dyDescent="0.15"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</row>
    <row r="97" spans="29:42" x14ac:dyDescent="0.15"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</row>
    <row r="98" spans="29:42" x14ac:dyDescent="0.15"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</row>
    <row r="99" spans="29:42" x14ac:dyDescent="0.15"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</row>
    <row r="100" spans="29:42" x14ac:dyDescent="0.15"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</row>
    <row r="101" spans="29:42" x14ac:dyDescent="0.15"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</row>
    <row r="102" spans="29:42" x14ac:dyDescent="0.15"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</row>
    <row r="103" spans="29:42" x14ac:dyDescent="0.15"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</row>
    <row r="104" spans="29:42" x14ac:dyDescent="0.15"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</row>
    <row r="105" spans="29:42" x14ac:dyDescent="0.15"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</row>
    <row r="106" spans="29:42" x14ac:dyDescent="0.15"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</row>
    <row r="107" spans="29:42" x14ac:dyDescent="0.15"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</row>
    <row r="108" spans="29:42" x14ac:dyDescent="0.15"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</row>
    <row r="109" spans="29:42" x14ac:dyDescent="0.15"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</row>
    <row r="110" spans="29:42" x14ac:dyDescent="0.15"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</row>
    <row r="111" spans="29:42" x14ac:dyDescent="0.15"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</row>
    <row r="112" spans="29:42" x14ac:dyDescent="0.15"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</row>
    <row r="113" spans="29:42" x14ac:dyDescent="0.15"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</row>
    <row r="114" spans="29:42" x14ac:dyDescent="0.15"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</row>
    <row r="115" spans="29:42" x14ac:dyDescent="0.15"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</row>
    <row r="116" spans="29:42" x14ac:dyDescent="0.15"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</row>
    <row r="117" spans="29:42" x14ac:dyDescent="0.15"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</row>
    <row r="118" spans="29:42" x14ac:dyDescent="0.15"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</row>
    <row r="119" spans="29:42" x14ac:dyDescent="0.15"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</row>
    <row r="120" spans="29:42" x14ac:dyDescent="0.15"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</row>
    <row r="121" spans="29:42" x14ac:dyDescent="0.15"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</row>
    <row r="122" spans="29:42" x14ac:dyDescent="0.15"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</row>
    <row r="123" spans="29:42" x14ac:dyDescent="0.15"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</row>
    <row r="124" spans="29:42" x14ac:dyDescent="0.15"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</row>
    <row r="125" spans="29:42" x14ac:dyDescent="0.15"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</row>
    <row r="126" spans="29:42" x14ac:dyDescent="0.15"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</row>
    <row r="127" spans="29:42" x14ac:dyDescent="0.15"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</row>
    <row r="128" spans="29:42" x14ac:dyDescent="0.15"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</row>
    <row r="129" spans="29:42" x14ac:dyDescent="0.15"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</row>
    <row r="130" spans="29:42" x14ac:dyDescent="0.15"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</row>
    <row r="131" spans="29:42" x14ac:dyDescent="0.15"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</row>
    <row r="132" spans="29:42" x14ac:dyDescent="0.15"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</row>
    <row r="133" spans="29:42" x14ac:dyDescent="0.15"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</row>
    <row r="134" spans="29:42" x14ac:dyDescent="0.15"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</row>
    <row r="135" spans="29:42" x14ac:dyDescent="0.15"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</row>
    <row r="136" spans="29:42" x14ac:dyDescent="0.15"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</row>
    <row r="137" spans="29:42" x14ac:dyDescent="0.15"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</row>
    <row r="138" spans="29:42" x14ac:dyDescent="0.15"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</row>
    <row r="139" spans="29:42" x14ac:dyDescent="0.15"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</row>
    <row r="140" spans="29:42" x14ac:dyDescent="0.15"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</row>
    <row r="141" spans="29:42" x14ac:dyDescent="0.15"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</row>
    <row r="142" spans="29:42" x14ac:dyDescent="0.15"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</row>
    <row r="143" spans="29:42" x14ac:dyDescent="0.15"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</row>
    <row r="144" spans="29:42" x14ac:dyDescent="0.15"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</row>
    <row r="145" spans="29:42" x14ac:dyDescent="0.15"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</row>
    <row r="146" spans="29:42" x14ac:dyDescent="0.15"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</row>
    <row r="147" spans="29:42" x14ac:dyDescent="0.15"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</row>
    <row r="148" spans="29:42" x14ac:dyDescent="0.15"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</row>
    <row r="149" spans="29:42" x14ac:dyDescent="0.15"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</row>
    <row r="150" spans="29:42" x14ac:dyDescent="0.15"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</row>
    <row r="151" spans="29:42" x14ac:dyDescent="0.15"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</row>
    <row r="152" spans="29:42" x14ac:dyDescent="0.15"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</row>
    <row r="153" spans="29:42" x14ac:dyDescent="0.15"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</row>
    <row r="154" spans="29:42" x14ac:dyDescent="0.15"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</row>
    <row r="155" spans="29:42" x14ac:dyDescent="0.15"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</row>
    <row r="156" spans="29:42" x14ac:dyDescent="0.15"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</row>
  </sheetData>
  <sheetProtection password="B220" sheet="1" objects="1" scenarios="1"/>
  <mergeCells count="22">
    <mergeCell ref="AO4:AP4"/>
    <mergeCell ref="AO3:AP3"/>
    <mergeCell ref="AG4:AH4"/>
    <mergeCell ref="AD3:AE3"/>
    <mergeCell ref="AG3:AH3"/>
    <mergeCell ref="AI4:AJ4"/>
    <mergeCell ref="AK4:AL4"/>
    <mergeCell ref="AM4:AN4"/>
    <mergeCell ref="B2:C2"/>
    <mergeCell ref="R19:S19"/>
    <mergeCell ref="C37:D37"/>
    <mergeCell ref="C19:D19"/>
    <mergeCell ref="H3:I3"/>
    <mergeCell ref="M3:N3"/>
    <mergeCell ref="M19:N19"/>
    <mergeCell ref="H19:I19"/>
    <mergeCell ref="Z24:AA24"/>
    <mergeCell ref="Z3:AA3"/>
    <mergeCell ref="C3:D3"/>
    <mergeCell ref="R3:S3"/>
    <mergeCell ref="V24:W24"/>
    <mergeCell ref="V3:W3"/>
  </mergeCells>
  <phoneticPr fontId="4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VD3-1</vt:lpstr>
      <vt:lpstr>DATA Table</vt:lpstr>
      <vt:lpstr>ＣＵＳＥＲ</vt:lpstr>
      <vt:lpstr>ＣＶ２３Ｃ</vt:lpstr>
      <vt:lpstr>ＣＶＴ</vt:lpstr>
      <vt:lpstr>ＩＶ</vt:lpstr>
      <vt:lpstr>Ｍ</vt:lpstr>
      <vt:lpstr>'VD3-1'!Print_Area</vt:lpstr>
      <vt:lpstr>変１</vt:lpstr>
      <vt:lpstr>変３</vt:lpstr>
      <vt:lpstr>変ＵＳＥＲ</vt:lpstr>
    </vt:vector>
  </TitlesOfParts>
  <Company>電設設計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佐海 恭三</dc:creator>
  <cp:lastModifiedBy>FJ-USER</cp:lastModifiedBy>
  <cp:lastPrinted>2008-06-18T04:40:06Z</cp:lastPrinted>
  <dcterms:created xsi:type="dcterms:W3CDTF">1999-07-04T07:29:00Z</dcterms:created>
  <dcterms:modified xsi:type="dcterms:W3CDTF">2017-11-18T17:05:53Z</dcterms:modified>
</cp:coreProperties>
</file>