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B220" lockStructure="1"/>
  <bookViews>
    <workbookView xWindow="0" yWindow="-15" windowWidth="19320" windowHeight="11640"/>
  </bookViews>
  <sheets>
    <sheet name="WireDip-01" sheetId="1" r:id="rId1"/>
    <sheet name="WireDip-02" sheetId="4" r:id="rId2"/>
    <sheet name="WireDip-03" sheetId="6" r:id="rId3"/>
    <sheet name="WireDip-04" sheetId="7" r:id="rId4"/>
    <sheet name="WireDip-05" sheetId="8" r:id="rId5"/>
    <sheet name="A4-Total" sheetId="5" r:id="rId6"/>
    <sheet name="DATA" sheetId="2" r:id="rId7"/>
  </sheets>
  <externalReferences>
    <externalReference r:id="rId8"/>
  </externalReferences>
  <definedNames>
    <definedName name="ＣＵＳＥＲ">#REF!</definedName>
    <definedName name="ＣＶ２３Ｃ">#REF!</definedName>
    <definedName name="ＣＶＴ">#REF!</definedName>
    <definedName name="ＩＶ">#REF!</definedName>
    <definedName name="Ｍ.Ｗｉｒｅ">DATA!$AS$4:$AY$11</definedName>
    <definedName name="_xlnm.Print_Area" localSheetId="5">'A4-Total'!$A$1:$Q$63</definedName>
    <definedName name="_xlnm.Print_Area" localSheetId="6">DATA!$A$1:$AY$319</definedName>
    <definedName name="_xlnm.Print_Area" localSheetId="0">'WireDip-01'!$A$1:$Q$59</definedName>
    <definedName name="_xlnm.Print_Area" localSheetId="1">'WireDip-02'!$A$1:$Q$59</definedName>
    <definedName name="_xlnm.Print_Area" localSheetId="2">'WireDip-03'!$A$1:$Q$59</definedName>
    <definedName name="_xlnm.Print_Area" localSheetId="3">'WireDip-04'!$A$1:$Q$59</definedName>
    <definedName name="_xlnm.Print_Area" localSheetId="4">'WireDip-05'!$A$1:$Q$225</definedName>
    <definedName name="ＵＳＥＲ">'[1]VD2-Data '!$N$6:$Q$23</definedName>
    <definedName name="Ｗｉｒｅ">DATA!$C$3:$AQ$319</definedName>
    <definedName name="充電電流３">'[1]VD2-Data '!$D$6:$G$23</definedName>
    <definedName name="充電電流Ｔ">'[1]VD2-Data '!$I$6:$L$23</definedName>
    <definedName name="変１">#REF!</definedName>
    <definedName name="変３">#REF!</definedName>
    <definedName name="変ＵＳＥＲ">#REF!</definedName>
    <definedName name="変圧器">'[1]VD2-Data '!$D$27:$G$41</definedName>
  </definedNames>
  <calcPr calcId="145621"/>
</workbook>
</file>

<file path=xl/calcChain.xml><?xml version="1.0" encoding="utf-8"?>
<calcChain xmlns="http://schemas.openxmlformats.org/spreadsheetml/2006/main">
  <c r="S23" i="1" l="1"/>
  <c r="U23" i="1"/>
  <c r="AL78" i="1"/>
  <c r="AH11" i="8"/>
  <c r="AH10" i="8"/>
  <c r="AH9" i="8"/>
  <c r="AH8" i="8"/>
  <c r="AH7" i="8"/>
  <c r="AH6" i="8"/>
  <c r="AH5" i="8"/>
  <c r="AH4" i="8"/>
  <c r="AH3" i="8"/>
  <c r="S23" i="8" s="1"/>
  <c r="AH11" i="7"/>
  <c r="AH10" i="7"/>
  <c r="AH9" i="7"/>
  <c r="AH8" i="7"/>
  <c r="AH7" i="7"/>
  <c r="AH6" i="7"/>
  <c r="AH5" i="7"/>
  <c r="AH4" i="7"/>
  <c r="S25" i="7" s="1"/>
  <c r="AH3" i="7"/>
  <c r="AH11" i="6"/>
  <c r="AH10" i="6"/>
  <c r="AH9" i="6"/>
  <c r="AH8" i="6"/>
  <c r="AH7" i="6"/>
  <c r="AH6" i="6"/>
  <c r="AH5" i="6"/>
  <c r="S24" i="6" s="1"/>
  <c r="AH4" i="6"/>
  <c r="AH3" i="6"/>
  <c r="AH11" i="4"/>
  <c r="AH10" i="4"/>
  <c r="AH9" i="4"/>
  <c r="AH8" i="4"/>
  <c r="AH7" i="4"/>
  <c r="AH6" i="4"/>
  <c r="S26" i="4" s="1"/>
  <c r="AH5" i="4"/>
  <c r="AH4" i="4"/>
  <c r="AH3" i="4"/>
  <c r="AF44" i="8"/>
  <c r="AF43" i="8"/>
  <c r="AF42" i="8"/>
  <c r="AF41" i="8"/>
  <c r="AF40" i="8"/>
  <c r="AF39" i="8"/>
  <c r="AF38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AF13" i="8"/>
  <c r="AF12" i="8"/>
  <c r="AF11" i="8"/>
  <c r="AF10" i="8"/>
  <c r="AF9" i="8"/>
  <c r="AF8" i="8"/>
  <c r="AF7" i="8"/>
  <c r="AF6" i="8"/>
  <c r="AF5" i="8"/>
  <c r="AF4" i="8"/>
  <c r="AF3" i="8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F4" i="7"/>
  <c r="AF3" i="7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2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F7" i="6"/>
  <c r="AF6" i="6"/>
  <c r="AF5" i="6"/>
  <c r="AF4" i="6"/>
  <c r="AF3" i="6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AF6" i="4"/>
  <c r="AF5" i="4"/>
  <c r="AF4" i="4"/>
  <c r="AF3" i="4"/>
  <c r="B27" i="1"/>
  <c r="Y27" i="1" s="1"/>
  <c r="M27" i="1" s="1"/>
  <c r="B26" i="1"/>
  <c r="B25" i="1"/>
  <c r="C2" i="4"/>
  <c r="C4" i="4"/>
  <c r="P4" i="4"/>
  <c r="B23" i="4"/>
  <c r="C2" i="6"/>
  <c r="C4" i="6"/>
  <c r="P4" i="6"/>
  <c r="B23" i="6"/>
  <c r="C2" i="7"/>
  <c r="C4" i="7"/>
  <c r="P4" i="7"/>
  <c r="AF57" i="7" s="1"/>
  <c r="AF56" i="7" s="1"/>
  <c r="B23" i="7"/>
  <c r="Y23" i="7" s="1"/>
  <c r="M23" i="7" s="1"/>
  <c r="C2" i="8"/>
  <c r="C4" i="8"/>
  <c r="AF57" i="8" s="1"/>
  <c r="AF56" i="8" s="1"/>
  <c r="P4" i="8"/>
  <c r="B23" i="8"/>
  <c r="Y23" i="8" s="1"/>
  <c r="M23" i="8" s="1"/>
  <c r="P4" i="5"/>
  <c r="C4" i="5"/>
  <c r="C2" i="5"/>
  <c r="AD23" i="8"/>
  <c r="AC23" i="8" s="1"/>
  <c r="AB23" i="8" s="1"/>
  <c r="W23" i="8"/>
  <c r="AQ78" i="8" s="1"/>
  <c r="AL158" i="8"/>
  <c r="AM158" i="8"/>
  <c r="V23" i="8"/>
  <c r="AO158" i="8" s="1"/>
  <c r="L23" i="8"/>
  <c r="AP178" i="8" s="1"/>
  <c r="N23" i="8"/>
  <c r="AD24" i="8"/>
  <c r="AC24" i="8" s="1"/>
  <c r="AD25" i="8"/>
  <c r="AC25" i="8" s="1"/>
  <c r="AB25" i="8" s="1"/>
  <c r="AD26" i="8"/>
  <c r="AC26" i="8" s="1"/>
  <c r="AD27" i="8"/>
  <c r="AC27" i="8"/>
  <c r="AD28" i="8"/>
  <c r="AC28" i="8" s="1"/>
  <c r="AD29" i="8"/>
  <c r="AC29" i="8" s="1"/>
  <c r="S35" i="8"/>
  <c r="K23" i="8"/>
  <c r="T18" i="8"/>
  <c r="O23" i="8"/>
  <c r="AJ78" i="8" s="1"/>
  <c r="AL78" i="8"/>
  <c r="AM78" i="8"/>
  <c r="AO78" i="8"/>
  <c r="S48" i="8"/>
  <c r="U18" i="8"/>
  <c r="P23" i="8"/>
  <c r="AJ118" i="8" s="1"/>
  <c r="AL118" i="8"/>
  <c r="AM118" i="8"/>
  <c r="S61" i="8"/>
  <c r="V18" i="8"/>
  <c r="Q23" i="8"/>
  <c r="AJ98" i="8" s="1"/>
  <c r="AL98" i="8"/>
  <c r="AM98" i="8"/>
  <c r="E27" i="5"/>
  <c r="D27" i="5"/>
  <c r="C27" i="5"/>
  <c r="AD23" i="7"/>
  <c r="AC23" i="7" s="1"/>
  <c r="B32" i="7" s="1"/>
  <c r="E23" i="5"/>
  <c r="D23" i="5"/>
  <c r="C23" i="5"/>
  <c r="AD23" i="6"/>
  <c r="AC23" i="6" s="1"/>
  <c r="B32" i="6"/>
  <c r="D41" i="6"/>
  <c r="F41" i="6" s="1"/>
  <c r="D38" i="6"/>
  <c r="P53" i="6" s="1"/>
  <c r="E19" i="5"/>
  <c r="D19" i="5"/>
  <c r="C19" i="5"/>
  <c r="AD23" i="4"/>
  <c r="AC23" i="4" s="1"/>
  <c r="AB23" i="4" s="1"/>
  <c r="E15" i="5"/>
  <c r="D15" i="5"/>
  <c r="C15" i="5"/>
  <c r="AD23" i="1"/>
  <c r="AC23" i="1" s="1"/>
  <c r="AL158" i="1"/>
  <c r="AM158" i="1"/>
  <c r="AD24" i="1"/>
  <c r="AD25" i="1"/>
  <c r="AC25" i="1" s="1"/>
  <c r="AB25" i="1" s="1"/>
  <c r="AD26" i="1"/>
  <c r="AC26" i="1" s="1"/>
  <c r="AD27" i="1"/>
  <c r="AC27" i="1" s="1"/>
  <c r="AD28" i="1"/>
  <c r="AC28" i="1" s="1"/>
  <c r="B28" i="1" s="1"/>
  <c r="AD29" i="1"/>
  <c r="AC29" i="1" s="1"/>
  <c r="B29" i="1" s="1"/>
  <c r="Y29" i="1" s="1"/>
  <c r="M29" i="1" s="1"/>
  <c r="S35" i="1"/>
  <c r="AM78" i="1"/>
  <c r="S48" i="1"/>
  <c r="AL118" i="1"/>
  <c r="AM118" i="1"/>
  <c r="S61" i="1"/>
  <c r="AL98" i="1"/>
  <c r="AM98" i="1"/>
  <c r="E11" i="5"/>
  <c r="D11" i="5"/>
  <c r="C11" i="5"/>
  <c r="B28" i="5"/>
  <c r="B26" i="5"/>
  <c r="B24" i="5"/>
  <c r="B22" i="5"/>
  <c r="B20" i="5"/>
  <c r="B18" i="5"/>
  <c r="O1" i="8"/>
  <c r="Z47" i="8"/>
  <c r="B24" i="8"/>
  <c r="B25" i="8"/>
  <c r="BI220" i="8" s="1"/>
  <c r="B26" i="8"/>
  <c r="Y26" i="8" s="1"/>
  <c r="M26" i="8" s="1"/>
  <c r="B27" i="8"/>
  <c r="W27" i="8" s="1"/>
  <c r="T36" i="8"/>
  <c r="T49" i="8"/>
  <c r="T62" i="8"/>
  <c r="T20" i="8"/>
  <c r="U20" i="8"/>
  <c r="V20" i="8"/>
  <c r="G23" i="8"/>
  <c r="G24" i="8"/>
  <c r="G25" i="8"/>
  <c r="T25" i="8"/>
  <c r="U25" i="8"/>
  <c r="G26" i="8"/>
  <c r="K26" i="8"/>
  <c r="N26" i="8"/>
  <c r="O26" i="8"/>
  <c r="V26" i="8"/>
  <c r="AB26" i="8"/>
  <c r="G27" i="8"/>
  <c r="K27" i="8"/>
  <c r="N27" i="8"/>
  <c r="O27" i="8"/>
  <c r="T27" i="8"/>
  <c r="V27" i="8"/>
  <c r="AB27" i="8"/>
  <c r="G28" i="8"/>
  <c r="G29" i="8"/>
  <c r="T29" i="8"/>
  <c r="S36" i="8"/>
  <c r="S37" i="8"/>
  <c r="T37" i="8"/>
  <c r="U37" i="8"/>
  <c r="S38" i="8"/>
  <c r="T38" i="8"/>
  <c r="U38" i="8"/>
  <c r="V38" i="8"/>
  <c r="S39" i="8"/>
  <c r="T39" i="8"/>
  <c r="U39" i="8"/>
  <c r="V39" i="8"/>
  <c r="W39" i="8"/>
  <c r="AQ138" i="8"/>
  <c r="AL138" i="8"/>
  <c r="AM138" i="8"/>
  <c r="S40" i="8"/>
  <c r="T40" i="8"/>
  <c r="U40" i="8"/>
  <c r="V40" i="8"/>
  <c r="W40" i="8"/>
  <c r="X40" i="8"/>
  <c r="AL178" i="8"/>
  <c r="AM178" i="8"/>
  <c r="AL198" i="8"/>
  <c r="AM198" i="8"/>
  <c r="AQ220" i="8"/>
  <c r="AL218" i="8"/>
  <c r="AM218" i="8"/>
  <c r="Z48" i="8"/>
  <c r="S49" i="8"/>
  <c r="Y49" i="8"/>
  <c r="S50" i="8"/>
  <c r="T50" i="8"/>
  <c r="U50" i="8"/>
  <c r="S51" i="8"/>
  <c r="T51" i="8"/>
  <c r="U51" i="8"/>
  <c r="V51" i="8"/>
  <c r="Z51" i="8"/>
  <c r="S52" i="8"/>
  <c r="T52" i="8"/>
  <c r="U52" i="8"/>
  <c r="V52" i="8"/>
  <c r="W52" i="8"/>
  <c r="S53" i="8"/>
  <c r="T53" i="8"/>
  <c r="U53" i="8"/>
  <c r="V53" i="8"/>
  <c r="W53" i="8"/>
  <c r="X53" i="8"/>
  <c r="S62" i="8"/>
  <c r="AU78" i="8"/>
  <c r="AV78" i="8"/>
  <c r="BD78" i="8"/>
  <c r="BE78" i="8"/>
  <c r="BM78" i="8"/>
  <c r="BN78" i="8"/>
  <c r="BV78" i="8"/>
  <c r="BW78" i="8"/>
  <c r="S63" i="8"/>
  <c r="T63" i="8"/>
  <c r="U63" i="8"/>
  <c r="S64" i="8"/>
  <c r="T64" i="8"/>
  <c r="U64" i="8"/>
  <c r="V64" i="8"/>
  <c r="S65" i="8"/>
  <c r="T65" i="8"/>
  <c r="U65" i="8"/>
  <c r="V65" i="8"/>
  <c r="W65" i="8"/>
  <c r="S66" i="8"/>
  <c r="T66" i="8"/>
  <c r="U66" i="8"/>
  <c r="V66" i="8"/>
  <c r="W66" i="8"/>
  <c r="X66" i="8"/>
  <c r="AP75" i="8"/>
  <c r="AY75" i="8"/>
  <c r="BH75" i="8"/>
  <c r="BQ75" i="8"/>
  <c r="BZ75" i="8"/>
  <c r="AU98" i="8"/>
  <c r="AV98" i="8"/>
  <c r="BD98" i="8"/>
  <c r="BE98" i="8"/>
  <c r="BM98" i="8"/>
  <c r="BN98" i="8"/>
  <c r="BV98" i="8"/>
  <c r="BW98" i="8"/>
  <c r="AP95" i="8"/>
  <c r="AY95" i="8"/>
  <c r="BH95" i="8"/>
  <c r="BQ95" i="8"/>
  <c r="BZ95" i="8"/>
  <c r="AU118" i="8"/>
  <c r="AV118" i="8"/>
  <c r="BD118" i="8"/>
  <c r="BE118" i="8"/>
  <c r="BM118" i="8"/>
  <c r="BN118" i="8"/>
  <c r="BV118" i="8"/>
  <c r="BW118" i="8"/>
  <c r="AU138" i="8"/>
  <c r="AV138" i="8"/>
  <c r="BD138" i="8"/>
  <c r="BE138" i="8"/>
  <c r="BM138" i="8"/>
  <c r="BN138" i="8"/>
  <c r="BV138" i="8"/>
  <c r="BW138" i="8"/>
  <c r="AP135" i="8"/>
  <c r="AY135" i="8"/>
  <c r="BH135" i="8"/>
  <c r="BQ135" i="8"/>
  <c r="BZ135" i="8"/>
  <c r="AU158" i="8"/>
  <c r="AV158" i="8"/>
  <c r="BD158" i="8"/>
  <c r="BE158" i="8"/>
  <c r="BM158" i="8"/>
  <c r="BN158" i="8"/>
  <c r="BV158" i="8"/>
  <c r="BW158" i="8"/>
  <c r="AP155" i="8"/>
  <c r="AY155" i="8"/>
  <c r="BH155" i="8"/>
  <c r="BQ155" i="8"/>
  <c r="BZ155" i="8"/>
  <c r="AU178" i="8"/>
  <c r="AV178" i="8"/>
  <c r="BD178" i="8"/>
  <c r="BE178" i="8"/>
  <c r="BM178" i="8"/>
  <c r="BN178" i="8"/>
  <c r="BV178" i="8"/>
  <c r="BW178" i="8"/>
  <c r="AP175" i="8"/>
  <c r="AY175" i="8"/>
  <c r="BH175" i="8"/>
  <c r="BQ175" i="8"/>
  <c r="BZ175" i="8"/>
  <c r="AU198" i="8"/>
  <c r="AV198" i="8"/>
  <c r="BD198" i="8"/>
  <c r="BE198" i="8"/>
  <c r="BM198" i="8"/>
  <c r="BN198" i="8"/>
  <c r="BV198" i="8"/>
  <c r="BW198" i="8"/>
  <c r="AP195" i="8"/>
  <c r="AY195" i="8"/>
  <c r="BH195" i="8"/>
  <c r="BQ195" i="8"/>
  <c r="BZ195" i="8"/>
  <c r="AU218" i="8"/>
  <c r="AV218" i="8"/>
  <c r="BD218" i="8"/>
  <c r="BE218" i="8"/>
  <c r="BM218" i="8"/>
  <c r="BN218" i="8"/>
  <c r="BV218" i="8"/>
  <c r="BW218" i="8"/>
  <c r="BR211" i="8"/>
  <c r="CA211" i="8"/>
  <c r="AP215" i="8"/>
  <c r="AY215" i="8"/>
  <c r="BH215" i="8"/>
  <c r="BQ215" i="8"/>
  <c r="BZ215" i="8"/>
  <c r="BR220" i="8"/>
  <c r="CA220" i="8"/>
  <c r="BI221" i="8"/>
  <c r="BR221" i="8"/>
  <c r="AZ222" i="8"/>
  <c r="BI222" i="8"/>
  <c r="AZ223" i="8"/>
  <c r="O1" i="7"/>
  <c r="S35" i="7"/>
  <c r="AD24" i="7"/>
  <c r="AC24" i="7" s="1"/>
  <c r="AD25" i="7"/>
  <c r="AC25" i="7" s="1"/>
  <c r="AB25" i="7" s="1"/>
  <c r="AD26" i="7"/>
  <c r="AC26" i="7" s="1"/>
  <c r="AD27" i="7"/>
  <c r="AC27" i="7" s="1"/>
  <c r="AD28" i="7"/>
  <c r="AC28" i="7" s="1"/>
  <c r="AD29" i="7"/>
  <c r="AC29" i="7"/>
  <c r="S48" i="7"/>
  <c r="S61" i="7"/>
  <c r="T18" i="7"/>
  <c r="U18" i="7"/>
  <c r="V18" i="7"/>
  <c r="B24" i="7"/>
  <c r="Y24" i="7" s="1"/>
  <c r="B25" i="7"/>
  <c r="Y25" i="7" s="1"/>
  <c r="B26" i="7"/>
  <c r="B27" i="7"/>
  <c r="K27" i="7" s="1"/>
  <c r="T20" i="7"/>
  <c r="U20" i="7"/>
  <c r="V20" i="7"/>
  <c r="G23" i="7"/>
  <c r="K23" i="7"/>
  <c r="L23" i="7"/>
  <c r="AP138" i="7" s="1"/>
  <c r="N23" i="7"/>
  <c r="O23" i="7"/>
  <c r="AJ78" i="7" s="1"/>
  <c r="P23" i="7"/>
  <c r="AJ118" i="7" s="1"/>
  <c r="Q23" i="7"/>
  <c r="AJ98" i="7" s="1"/>
  <c r="V23" i="7"/>
  <c r="AO138" i="7" s="1"/>
  <c r="W23" i="7"/>
  <c r="AQ78" i="7" s="1"/>
  <c r="AJ65" i="7" s="1"/>
  <c r="AB23" i="7"/>
  <c r="G24" i="7"/>
  <c r="K24" i="7"/>
  <c r="M24" i="7"/>
  <c r="N24" i="7"/>
  <c r="V24" i="7"/>
  <c r="W24" i="7"/>
  <c r="G25" i="7"/>
  <c r="K25" i="7"/>
  <c r="L25" i="7"/>
  <c r="M25" i="7"/>
  <c r="N25" i="7"/>
  <c r="O25" i="7"/>
  <c r="U25" i="7"/>
  <c r="V25" i="7"/>
  <c r="W25" i="7"/>
  <c r="G26" i="7"/>
  <c r="G27" i="7"/>
  <c r="L27" i="7"/>
  <c r="O27" i="7"/>
  <c r="T27" i="7"/>
  <c r="G28" i="7"/>
  <c r="S28" i="7"/>
  <c r="G29" i="7"/>
  <c r="S36" i="7"/>
  <c r="T36" i="7"/>
  <c r="S37" i="7"/>
  <c r="T37" i="7"/>
  <c r="U37" i="7"/>
  <c r="S38" i="7"/>
  <c r="T38" i="7"/>
  <c r="U38" i="7"/>
  <c r="V38" i="7"/>
  <c r="S39" i="7"/>
  <c r="T39" i="7"/>
  <c r="U39" i="7"/>
  <c r="V39" i="7"/>
  <c r="W39" i="7"/>
  <c r="S40" i="7"/>
  <c r="T40" i="7"/>
  <c r="U40" i="7"/>
  <c r="V40" i="7"/>
  <c r="W40" i="7"/>
  <c r="X40" i="7"/>
  <c r="AZ211" i="7"/>
  <c r="J44" i="7" s="1"/>
  <c r="Y47" i="7"/>
  <c r="Y48" i="7"/>
  <c r="S49" i="7"/>
  <c r="T49" i="7"/>
  <c r="S50" i="7"/>
  <c r="T50" i="7"/>
  <c r="U50" i="7"/>
  <c r="Y50" i="7"/>
  <c r="Z50" i="7"/>
  <c r="S51" i="7"/>
  <c r="T51" i="7"/>
  <c r="U51" i="7"/>
  <c r="V51" i="7"/>
  <c r="Z51" i="7"/>
  <c r="S52" i="7"/>
  <c r="T52" i="7"/>
  <c r="U52" i="7"/>
  <c r="V52" i="7"/>
  <c r="W52" i="7"/>
  <c r="S53" i="7"/>
  <c r="T53" i="7"/>
  <c r="U53" i="7"/>
  <c r="V53" i="7"/>
  <c r="W53" i="7"/>
  <c r="X53" i="7"/>
  <c r="S62" i="7"/>
  <c r="T62" i="7"/>
  <c r="AL78" i="7"/>
  <c r="AM78" i="7"/>
  <c r="AP78" i="7"/>
  <c r="AU78" i="7"/>
  <c r="AV78" i="7"/>
  <c r="BD78" i="7"/>
  <c r="BE78" i="7"/>
  <c r="BM78" i="7"/>
  <c r="BN78" i="7"/>
  <c r="BV78" i="7"/>
  <c r="BW78" i="7"/>
  <c r="S63" i="7"/>
  <c r="T63" i="7"/>
  <c r="U63" i="7"/>
  <c r="S64" i="7"/>
  <c r="T64" i="7"/>
  <c r="U64" i="7"/>
  <c r="V64" i="7"/>
  <c r="S65" i="7"/>
  <c r="T65" i="7"/>
  <c r="U65" i="7"/>
  <c r="V65" i="7"/>
  <c r="W65" i="7"/>
  <c r="S66" i="7"/>
  <c r="T66" i="7"/>
  <c r="U66" i="7"/>
  <c r="V66" i="7"/>
  <c r="W66" i="7"/>
  <c r="X66" i="7"/>
  <c r="AP75" i="7"/>
  <c r="AY75" i="7"/>
  <c r="BH75" i="7"/>
  <c r="BQ75" i="7"/>
  <c r="BZ75" i="7"/>
  <c r="AL98" i="7"/>
  <c r="AM98" i="7"/>
  <c r="AU98" i="7"/>
  <c r="AV98" i="7"/>
  <c r="BD98" i="7"/>
  <c r="BE98" i="7"/>
  <c r="BM98" i="7"/>
  <c r="BN98" i="7"/>
  <c r="BV98" i="7"/>
  <c r="BW98" i="7"/>
  <c r="AP95" i="7"/>
  <c r="AY95" i="7"/>
  <c r="BH95" i="7"/>
  <c r="BQ95" i="7"/>
  <c r="BZ95" i="7"/>
  <c r="AL118" i="7"/>
  <c r="AM118" i="7"/>
  <c r="AU118" i="7"/>
  <c r="AV118" i="7"/>
  <c r="BD118" i="7"/>
  <c r="BE118" i="7"/>
  <c r="BM118" i="7"/>
  <c r="BN118" i="7"/>
  <c r="BV118" i="7"/>
  <c r="BW118" i="7"/>
  <c r="AL138" i="7"/>
  <c r="AM138" i="7"/>
  <c r="AU138" i="7"/>
  <c r="AV138" i="7"/>
  <c r="BD138" i="7"/>
  <c r="BE138" i="7"/>
  <c r="BM138" i="7"/>
  <c r="BN138" i="7"/>
  <c r="BV138" i="7"/>
  <c r="BW138" i="7"/>
  <c r="AP135" i="7"/>
  <c r="AY135" i="7"/>
  <c r="BH135" i="7"/>
  <c r="BQ135" i="7"/>
  <c r="BZ135" i="7"/>
  <c r="AL158" i="7"/>
  <c r="AM158" i="7"/>
  <c r="AU158" i="7"/>
  <c r="AV158" i="7"/>
  <c r="BD158" i="7"/>
  <c r="BE158" i="7"/>
  <c r="BM158" i="7"/>
  <c r="BN158" i="7"/>
  <c r="BV158" i="7"/>
  <c r="BW158" i="7"/>
  <c r="AP155" i="7"/>
  <c r="AY155" i="7"/>
  <c r="BH155" i="7"/>
  <c r="BQ155" i="7"/>
  <c r="BZ155" i="7"/>
  <c r="AL178" i="7"/>
  <c r="AM178" i="7"/>
  <c r="AU178" i="7"/>
  <c r="AV178" i="7"/>
  <c r="BD178" i="7"/>
  <c r="BE178" i="7"/>
  <c r="BM178" i="7"/>
  <c r="BN178" i="7"/>
  <c r="BV178" i="7"/>
  <c r="BW178" i="7"/>
  <c r="AP175" i="7"/>
  <c r="AY175" i="7"/>
  <c r="BH175" i="7"/>
  <c r="BQ175" i="7"/>
  <c r="BZ175" i="7"/>
  <c r="AL198" i="7"/>
  <c r="AM198" i="7"/>
  <c r="AU198" i="7"/>
  <c r="AV198" i="7"/>
  <c r="BD198" i="7"/>
  <c r="BE198" i="7"/>
  <c r="BM198" i="7"/>
  <c r="BN198" i="7"/>
  <c r="BV198" i="7"/>
  <c r="BW198" i="7"/>
  <c r="AP195" i="7"/>
  <c r="AY195" i="7"/>
  <c r="BH195" i="7"/>
  <c r="BQ195" i="7"/>
  <c r="BZ195" i="7"/>
  <c r="AL218" i="7"/>
  <c r="AM218" i="7"/>
  <c r="AU218" i="7"/>
  <c r="AV218" i="7"/>
  <c r="BD218" i="7"/>
  <c r="BE218" i="7"/>
  <c r="BM218" i="7"/>
  <c r="BN218" i="7"/>
  <c r="BV218" i="7"/>
  <c r="BW218" i="7"/>
  <c r="AQ220" i="7"/>
  <c r="BI211" i="7"/>
  <c r="CA211" i="7"/>
  <c r="AP215" i="7"/>
  <c r="AY215" i="7"/>
  <c r="BH215" i="7"/>
  <c r="BQ215" i="7"/>
  <c r="BZ215" i="7"/>
  <c r="AZ220" i="7"/>
  <c r="BI220" i="7"/>
  <c r="CA220" i="7"/>
  <c r="AZ221" i="7"/>
  <c r="BI221" i="7"/>
  <c r="BR221" i="7"/>
  <c r="BI222" i="7"/>
  <c r="AZ223" i="7"/>
  <c r="O1" i="6"/>
  <c r="S35" i="6"/>
  <c r="AD24" i="6"/>
  <c r="AC24" i="6" s="1"/>
  <c r="AD25" i="6"/>
  <c r="AC25" i="6" s="1"/>
  <c r="AD26" i="6"/>
  <c r="AC26" i="6"/>
  <c r="AB26" i="6" s="1"/>
  <c r="AD27" i="6"/>
  <c r="AC27" i="6" s="1"/>
  <c r="AD28" i="6"/>
  <c r="AC28" i="6" s="1"/>
  <c r="G46" i="6" s="1"/>
  <c r="AD29" i="6"/>
  <c r="AC29" i="6" s="1"/>
  <c r="AB29" i="6" s="1"/>
  <c r="S48" i="6"/>
  <c r="S61" i="6"/>
  <c r="T18" i="6"/>
  <c r="U18" i="6"/>
  <c r="V18" i="6"/>
  <c r="B24" i="6"/>
  <c r="Y24" i="6" s="1"/>
  <c r="M24" i="6" s="1"/>
  <c r="B25" i="6"/>
  <c r="B26" i="6"/>
  <c r="B27" i="6"/>
  <c r="B29" i="6"/>
  <c r="V19" i="6"/>
  <c r="T20" i="6"/>
  <c r="U20" i="6"/>
  <c r="V20" i="6"/>
  <c r="G23" i="6"/>
  <c r="N23" i="6"/>
  <c r="S23" i="6"/>
  <c r="U23" i="6"/>
  <c r="V23" i="6"/>
  <c r="AO98" i="6" s="1"/>
  <c r="AB23" i="6"/>
  <c r="G24" i="6"/>
  <c r="K24" i="6"/>
  <c r="L24" i="6"/>
  <c r="N24" i="6"/>
  <c r="V24" i="6"/>
  <c r="W24" i="6"/>
  <c r="G25" i="6"/>
  <c r="K25" i="6"/>
  <c r="O25" i="6"/>
  <c r="S25" i="6"/>
  <c r="G26" i="6"/>
  <c r="L26" i="6"/>
  <c r="V26" i="6"/>
  <c r="G27" i="6"/>
  <c r="L27" i="6"/>
  <c r="O27" i="6"/>
  <c r="AB27" i="6"/>
  <c r="G28" i="6"/>
  <c r="T28" i="6"/>
  <c r="U28" i="6"/>
  <c r="G29" i="6"/>
  <c r="U29" i="6"/>
  <c r="B33" i="6"/>
  <c r="S36" i="6"/>
  <c r="T36" i="6"/>
  <c r="S37" i="6"/>
  <c r="T37" i="6"/>
  <c r="U37" i="6"/>
  <c r="S38" i="6"/>
  <c r="T38" i="6"/>
  <c r="U38" i="6"/>
  <c r="V38" i="6"/>
  <c r="S39" i="6"/>
  <c r="T39" i="6"/>
  <c r="U39" i="6"/>
  <c r="V39" i="6"/>
  <c r="W39" i="6"/>
  <c r="D40" i="6"/>
  <c r="S40" i="6"/>
  <c r="T40" i="6"/>
  <c r="U40" i="6"/>
  <c r="V40" i="6"/>
  <c r="W40" i="6"/>
  <c r="X40" i="6"/>
  <c r="D43" i="6"/>
  <c r="D44" i="6"/>
  <c r="F44" i="6" s="1"/>
  <c r="AZ211" i="6"/>
  <c r="J44" i="6" s="1"/>
  <c r="L44" i="6" s="1"/>
  <c r="Z47" i="6"/>
  <c r="Z48" i="6"/>
  <c r="S49" i="6"/>
  <c r="T49" i="6"/>
  <c r="S50" i="6"/>
  <c r="T50" i="6"/>
  <c r="U50" i="6"/>
  <c r="Y50" i="6"/>
  <c r="Z50" i="6"/>
  <c r="S51" i="6"/>
  <c r="T51" i="6"/>
  <c r="U51" i="6"/>
  <c r="V51" i="6"/>
  <c r="Z51" i="6"/>
  <c r="J52" i="6"/>
  <c r="S52" i="6"/>
  <c r="T52" i="6"/>
  <c r="U52" i="6"/>
  <c r="V52" i="6"/>
  <c r="W52" i="6"/>
  <c r="Z52" i="6"/>
  <c r="S53" i="6"/>
  <c r="T53" i="6"/>
  <c r="U53" i="6"/>
  <c r="V53" i="6"/>
  <c r="W53" i="6"/>
  <c r="X53" i="6"/>
  <c r="Y53" i="6"/>
  <c r="Z53" i="6"/>
  <c r="S62" i="6"/>
  <c r="T62" i="6"/>
  <c r="AL78" i="6"/>
  <c r="AM78" i="6"/>
  <c r="AU78" i="6"/>
  <c r="AV78" i="6"/>
  <c r="BD78" i="6"/>
  <c r="BE78" i="6"/>
  <c r="BM78" i="6"/>
  <c r="BN78" i="6"/>
  <c r="BV78" i="6"/>
  <c r="BW78" i="6"/>
  <c r="S63" i="6"/>
  <c r="T63" i="6"/>
  <c r="U63" i="6"/>
  <c r="S64" i="6"/>
  <c r="T64" i="6"/>
  <c r="U64" i="6"/>
  <c r="V64" i="6"/>
  <c r="S65" i="6"/>
  <c r="T65" i="6"/>
  <c r="U65" i="6"/>
  <c r="V65" i="6"/>
  <c r="W65" i="6"/>
  <c r="S66" i="6"/>
  <c r="T66" i="6"/>
  <c r="U66" i="6"/>
  <c r="V66" i="6"/>
  <c r="W66" i="6"/>
  <c r="X66" i="6"/>
  <c r="AP75" i="6"/>
  <c r="AY75" i="6"/>
  <c r="BH75" i="6"/>
  <c r="BQ75" i="6"/>
  <c r="BZ75" i="6"/>
  <c r="AL98" i="6"/>
  <c r="AM98" i="6"/>
  <c r="AU98" i="6"/>
  <c r="AV98" i="6"/>
  <c r="BD98" i="6"/>
  <c r="BE98" i="6"/>
  <c r="BM98" i="6"/>
  <c r="BN98" i="6"/>
  <c r="BV98" i="6"/>
  <c r="BW98" i="6"/>
  <c r="AP95" i="6"/>
  <c r="AY95" i="6"/>
  <c r="BH95" i="6"/>
  <c r="BQ95" i="6"/>
  <c r="BZ95" i="6"/>
  <c r="AL118" i="6"/>
  <c r="AM118" i="6"/>
  <c r="AU118" i="6"/>
  <c r="AV118" i="6"/>
  <c r="BD118" i="6"/>
  <c r="BE118" i="6"/>
  <c r="BM118" i="6"/>
  <c r="BN118" i="6"/>
  <c r="BV118" i="6"/>
  <c r="BW118" i="6"/>
  <c r="AL138" i="6"/>
  <c r="AM138" i="6"/>
  <c r="AU138" i="6"/>
  <c r="AV138" i="6"/>
  <c r="BD138" i="6"/>
  <c r="BE138" i="6"/>
  <c r="BM138" i="6"/>
  <c r="BN138" i="6"/>
  <c r="BV138" i="6"/>
  <c r="BW138" i="6"/>
  <c r="AP135" i="6"/>
  <c r="AY135" i="6"/>
  <c r="BH135" i="6"/>
  <c r="BQ135" i="6"/>
  <c r="BZ135" i="6"/>
  <c r="AL158" i="6"/>
  <c r="AM158" i="6"/>
  <c r="AU158" i="6"/>
  <c r="AV158" i="6"/>
  <c r="BD158" i="6"/>
  <c r="BE158" i="6"/>
  <c r="BM158" i="6"/>
  <c r="BN158" i="6"/>
  <c r="BV158" i="6"/>
  <c r="BW158" i="6"/>
  <c r="AP155" i="6"/>
  <c r="AY155" i="6"/>
  <c r="BH155" i="6"/>
  <c r="BQ155" i="6"/>
  <c r="BZ155" i="6"/>
  <c r="AL178" i="6"/>
  <c r="AM178" i="6"/>
  <c r="AU178" i="6"/>
  <c r="AV178" i="6"/>
  <c r="BD178" i="6"/>
  <c r="BE178" i="6"/>
  <c r="BM178" i="6"/>
  <c r="BN178" i="6"/>
  <c r="BV178" i="6"/>
  <c r="BW178" i="6"/>
  <c r="AP175" i="6"/>
  <c r="AY175" i="6"/>
  <c r="BH175" i="6"/>
  <c r="BQ175" i="6"/>
  <c r="BZ175" i="6"/>
  <c r="AL198" i="6"/>
  <c r="AM198" i="6"/>
  <c r="AU198" i="6"/>
  <c r="AV198" i="6"/>
  <c r="BD198" i="6"/>
  <c r="BE198" i="6"/>
  <c r="BM198" i="6"/>
  <c r="BN198" i="6"/>
  <c r="BV198" i="6"/>
  <c r="BW198" i="6"/>
  <c r="AP195" i="6"/>
  <c r="AY195" i="6"/>
  <c r="BH195" i="6"/>
  <c r="BQ195" i="6"/>
  <c r="BZ195" i="6"/>
  <c r="AL218" i="6"/>
  <c r="AM218" i="6"/>
  <c r="AU218" i="6"/>
  <c r="AV218" i="6"/>
  <c r="BD218" i="6"/>
  <c r="BE218" i="6"/>
  <c r="BM218" i="6"/>
  <c r="BN218" i="6"/>
  <c r="BV218" i="6"/>
  <c r="BW218" i="6"/>
  <c r="BR211" i="6"/>
  <c r="CA211" i="6"/>
  <c r="AP215" i="6"/>
  <c r="AY215" i="6"/>
  <c r="BH215" i="6"/>
  <c r="BQ215" i="6"/>
  <c r="BZ215" i="6"/>
  <c r="AZ220" i="6"/>
  <c r="BR220" i="6"/>
  <c r="CA220" i="6"/>
  <c r="BI221" i="6"/>
  <c r="BR223" i="6"/>
  <c r="B16" i="5"/>
  <c r="B14" i="5"/>
  <c r="B12" i="5"/>
  <c r="B10" i="5"/>
  <c r="O1" i="5"/>
  <c r="O1" i="4"/>
  <c r="AD24" i="4"/>
  <c r="AC24" i="4"/>
  <c r="AD25" i="4"/>
  <c r="AC25" i="4" s="1"/>
  <c r="AD26" i="4"/>
  <c r="AC26" i="4" s="1"/>
  <c r="AD27" i="4"/>
  <c r="AC27" i="4" s="1"/>
  <c r="AD28" i="4"/>
  <c r="AC28" i="4"/>
  <c r="AD29" i="4"/>
  <c r="AC29" i="4" s="1"/>
  <c r="S35" i="4"/>
  <c r="S48" i="4"/>
  <c r="S61" i="4"/>
  <c r="K23" i="4"/>
  <c r="T18" i="4"/>
  <c r="U18" i="4"/>
  <c r="V18" i="4"/>
  <c r="B24" i="4"/>
  <c r="W24" i="4" s="1"/>
  <c r="B25" i="4"/>
  <c r="B26" i="4"/>
  <c r="B27" i="4"/>
  <c r="Y27" i="4" s="1"/>
  <c r="M27" i="4" s="1"/>
  <c r="T20" i="4"/>
  <c r="Y48" i="4"/>
  <c r="Z48" i="4"/>
  <c r="U20" i="4"/>
  <c r="V20" i="4"/>
  <c r="G23" i="4"/>
  <c r="L23" i="4"/>
  <c r="AP158" i="4" s="1"/>
  <c r="O23" i="4"/>
  <c r="AJ78" i="4" s="1"/>
  <c r="P23" i="4"/>
  <c r="AJ118" i="4" s="1"/>
  <c r="Q23" i="4"/>
  <c r="AJ98" i="4" s="1"/>
  <c r="G24" i="4"/>
  <c r="T24" i="4"/>
  <c r="G25" i="4"/>
  <c r="K26" i="4"/>
  <c r="K27" i="4"/>
  <c r="S25" i="4"/>
  <c r="U38" i="4"/>
  <c r="U51" i="4"/>
  <c r="U64" i="4"/>
  <c r="G26" i="4"/>
  <c r="L26" i="4"/>
  <c r="O26" i="4"/>
  <c r="Q26" i="4" s="1"/>
  <c r="P26" i="4"/>
  <c r="G27" i="4"/>
  <c r="L27" i="4"/>
  <c r="N27" i="4"/>
  <c r="O27" i="4"/>
  <c r="V27" i="4"/>
  <c r="W27" i="4"/>
  <c r="G28" i="4"/>
  <c r="G29" i="4"/>
  <c r="U29" i="4"/>
  <c r="AL78" i="4"/>
  <c r="AM78" i="4"/>
  <c r="AU78" i="4"/>
  <c r="AV78" i="4"/>
  <c r="BD78" i="4"/>
  <c r="BE78" i="4"/>
  <c r="AL98" i="4"/>
  <c r="AM98" i="4"/>
  <c r="AU98" i="4"/>
  <c r="AV98" i="4"/>
  <c r="BD98" i="4"/>
  <c r="BE98" i="4"/>
  <c r="S36" i="4"/>
  <c r="T36" i="4"/>
  <c r="S37" i="4"/>
  <c r="T37" i="4"/>
  <c r="U37" i="4"/>
  <c r="AL118" i="4"/>
  <c r="AM118" i="4"/>
  <c r="AU118" i="4"/>
  <c r="AV118" i="4"/>
  <c r="BD118" i="4"/>
  <c r="BE118" i="4"/>
  <c r="S38" i="4"/>
  <c r="T38" i="4"/>
  <c r="V38" i="4"/>
  <c r="S39" i="4"/>
  <c r="T39" i="4"/>
  <c r="U39" i="4"/>
  <c r="V39" i="4"/>
  <c r="W39" i="4"/>
  <c r="AL138" i="4"/>
  <c r="AM138" i="4"/>
  <c r="AU138" i="4"/>
  <c r="AV138" i="4"/>
  <c r="BD138" i="4"/>
  <c r="BE138" i="4"/>
  <c r="S40" i="4"/>
  <c r="T40" i="4"/>
  <c r="U40" i="4"/>
  <c r="V40" i="4"/>
  <c r="W40" i="4"/>
  <c r="X40" i="4"/>
  <c r="AL158" i="4"/>
  <c r="AM158" i="4"/>
  <c r="AU158" i="4"/>
  <c r="AV158" i="4"/>
  <c r="BD158" i="4"/>
  <c r="BE158" i="4"/>
  <c r="AL178" i="4"/>
  <c r="AM178" i="4"/>
  <c r="AU178" i="4"/>
  <c r="AV178" i="4"/>
  <c r="BD178" i="4"/>
  <c r="BE178" i="4"/>
  <c r="AL198" i="4"/>
  <c r="AM198" i="4"/>
  <c r="AU198" i="4"/>
  <c r="AV198" i="4"/>
  <c r="BD198" i="4"/>
  <c r="BE198" i="4"/>
  <c r="AL218" i="4"/>
  <c r="AM218" i="4"/>
  <c r="AU218" i="4"/>
  <c r="AV218" i="4"/>
  <c r="S49" i="4"/>
  <c r="T49" i="4"/>
  <c r="S50" i="4"/>
  <c r="T50" i="4"/>
  <c r="U50" i="4"/>
  <c r="Z50" i="4"/>
  <c r="S51" i="4"/>
  <c r="T51" i="4"/>
  <c r="V51" i="4"/>
  <c r="S52" i="4"/>
  <c r="T52" i="4"/>
  <c r="U52" i="4"/>
  <c r="V52" i="4"/>
  <c r="W52" i="4"/>
  <c r="Y52" i="4"/>
  <c r="S53" i="4"/>
  <c r="T53" i="4"/>
  <c r="U53" i="4"/>
  <c r="V53" i="4"/>
  <c r="W53" i="4"/>
  <c r="X53" i="4"/>
  <c r="Y53" i="4"/>
  <c r="S62" i="4"/>
  <c r="T62" i="4"/>
  <c r="BM78" i="4"/>
  <c r="BN78" i="4"/>
  <c r="BV78" i="4"/>
  <c r="BW78" i="4"/>
  <c r="S63" i="4"/>
  <c r="T63" i="4"/>
  <c r="U63" i="4"/>
  <c r="S64" i="4"/>
  <c r="T64" i="4"/>
  <c r="V64" i="4"/>
  <c r="S65" i="4"/>
  <c r="T65" i="4"/>
  <c r="U65" i="4"/>
  <c r="V65" i="4"/>
  <c r="W65" i="4"/>
  <c r="S66" i="4"/>
  <c r="T66" i="4"/>
  <c r="U66" i="4"/>
  <c r="V66" i="4"/>
  <c r="W66" i="4"/>
  <c r="X66" i="4"/>
  <c r="AP75" i="4"/>
  <c r="AY75" i="4"/>
  <c r="BH75" i="4"/>
  <c r="BQ75" i="4"/>
  <c r="BZ75" i="4"/>
  <c r="BM98" i="4"/>
  <c r="BN98" i="4"/>
  <c r="BV98" i="4"/>
  <c r="BW98" i="4"/>
  <c r="AP95" i="4"/>
  <c r="AY95" i="4"/>
  <c r="BH95" i="4"/>
  <c r="BQ95" i="4"/>
  <c r="BZ95" i="4"/>
  <c r="BM118" i="4"/>
  <c r="BN118" i="4"/>
  <c r="BV118" i="4"/>
  <c r="BW118" i="4"/>
  <c r="BM138" i="4"/>
  <c r="BN138" i="4"/>
  <c r="BV138" i="4"/>
  <c r="BW138" i="4"/>
  <c r="AP135" i="4"/>
  <c r="AY135" i="4"/>
  <c r="BH135" i="4"/>
  <c r="BQ135" i="4"/>
  <c r="BZ135" i="4"/>
  <c r="BM158" i="4"/>
  <c r="BN158" i="4"/>
  <c r="BV158" i="4"/>
  <c r="BW158" i="4"/>
  <c r="AP155" i="4"/>
  <c r="AY155" i="4"/>
  <c r="BH155" i="4"/>
  <c r="BQ155" i="4"/>
  <c r="BZ155" i="4"/>
  <c r="BM178" i="4"/>
  <c r="BN178" i="4"/>
  <c r="BV178" i="4"/>
  <c r="BW178" i="4"/>
  <c r="AP175" i="4"/>
  <c r="AY175" i="4"/>
  <c r="BH175" i="4"/>
  <c r="BQ175" i="4"/>
  <c r="BZ175" i="4"/>
  <c r="BM198" i="4"/>
  <c r="BN198" i="4"/>
  <c r="BV198" i="4"/>
  <c r="BW198" i="4"/>
  <c r="AP195" i="4"/>
  <c r="AY195" i="4"/>
  <c r="BH195" i="4"/>
  <c r="BQ195" i="4"/>
  <c r="BZ195" i="4"/>
  <c r="BD218" i="4"/>
  <c r="BE218" i="4"/>
  <c r="BM218" i="4"/>
  <c r="BN218" i="4"/>
  <c r="BV218" i="4"/>
  <c r="BW218" i="4"/>
  <c r="BR211" i="4"/>
  <c r="CA211" i="4"/>
  <c r="AP215" i="4"/>
  <c r="AY215" i="4"/>
  <c r="BH215" i="4"/>
  <c r="BQ215" i="4"/>
  <c r="BZ215" i="4"/>
  <c r="CA220" i="4"/>
  <c r="BI221" i="4"/>
  <c r="BR221" i="4"/>
  <c r="AZ222" i="4"/>
  <c r="BI222" i="4"/>
  <c r="AZ223" i="4"/>
  <c r="O1" i="1"/>
  <c r="AS4" i="2"/>
  <c r="AS5" i="2"/>
  <c r="U25" i="1"/>
  <c r="AS6" i="2"/>
  <c r="AS7" i="2"/>
  <c r="U24" i="1"/>
  <c r="Z48" i="1" s="1"/>
  <c r="W25" i="1"/>
  <c r="AU138" i="1"/>
  <c r="AV138" i="1"/>
  <c r="T26" i="1"/>
  <c r="L26" i="1"/>
  <c r="T25" i="1"/>
  <c r="T24" i="1"/>
  <c r="S24" i="1"/>
  <c r="Y48" i="1" s="1"/>
  <c r="K26" i="1"/>
  <c r="K25" i="1"/>
  <c r="S36" i="1"/>
  <c r="S37" i="1"/>
  <c r="S38" i="1"/>
  <c r="S39" i="1"/>
  <c r="AM138" i="1"/>
  <c r="AL138" i="1"/>
  <c r="S28" i="1"/>
  <c r="U28" i="1"/>
  <c r="X40" i="1"/>
  <c r="S27" i="1"/>
  <c r="U27" i="1"/>
  <c r="W40" i="1"/>
  <c r="W39" i="1"/>
  <c r="S26" i="1"/>
  <c r="U26" i="1"/>
  <c r="V40" i="1"/>
  <c r="V39" i="1"/>
  <c r="V38" i="1"/>
  <c r="S25" i="1"/>
  <c r="U40" i="1"/>
  <c r="U39" i="1"/>
  <c r="U38" i="1"/>
  <c r="U37" i="1"/>
  <c r="T40" i="1"/>
  <c r="T39" i="1"/>
  <c r="T38" i="1"/>
  <c r="T37" i="1"/>
  <c r="T36" i="1"/>
  <c r="Y51" i="1"/>
  <c r="Z47" i="1"/>
  <c r="S49" i="1"/>
  <c r="Y47" i="1"/>
  <c r="S50" i="1"/>
  <c r="S51" i="1"/>
  <c r="S52" i="1"/>
  <c r="T23" i="1"/>
  <c r="S29" i="1"/>
  <c r="U29" i="1"/>
  <c r="O26" i="1"/>
  <c r="P26" i="1" s="1"/>
  <c r="AU78" i="1"/>
  <c r="AV78" i="1"/>
  <c r="T27" i="1"/>
  <c r="T29" i="1"/>
  <c r="T28" i="1"/>
  <c r="AL218" i="1"/>
  <c r="AM218" i="1"/>
  <c r="AL198" i="1"/>
  <c r="AM198" i="1"/>
  <c r="AL178" i="1"/>
  <c r="AM178" i="1"/>
  <c r="S62" i="1"/>
  <c r="S63" i="1"/>
  <c r="S64" i="1"/>
  <c r="S65" i="1"/>
  <c r="T62" i="1"/>
  <c r="T49" i="1"/>
  <c r="Y49" i="1"/>
  <c r="Z49" i="1"/>
  <c r="U51" i="1"/>
  <c r="U50" i="1"/>
  <c r="Y50" i="1"/>
  <c r="Z50" i="1"/>
  <c r="V52" i="1"/>
  <c r="V51" i="1"/>
  <c r="Y53" i="1"/>
  <c r="Z53" i="1"/>
  <c r="Y52" i="1"/>
  <c r="Z52" i="1"/>
  <c r="X53" i="1"/>
  <c r="Z51" i="1"/>
  <c r="W53" i="1"/>
  <c r="W52" i="1"/>
  <c r="W66" i="1"/>
  <c r="W65" i="1"/>
  <c r="V65" i="1"/>
  <c r="V64" i="1"/>
  <c r="N26" i="1"/>
  <c r="BD138" i="1"/>
  <c r="BE138" i="1"/>
  <c r="BD78" i="1"/>
  <c r="BE78" i="1"/>
  <c r="U52" i="1"/>
  <c r="U53" i="1"/>
  <c r="V53" i="1"/>
  <c r="BD118" i="1"/>
  <c r="BE118" i="1"/>
  <c r="V66" i="1"/>
  <c r="U65" i="1"/>
  <c r="U64" i="1"/>
  <c r="U63" i="1"/>
  <c r="X66" i="1"/>
  <c r="T63" i="1"/>
  <c r="T50" i="1"/>
  <c r="BI221" i="1"/>
  <c r="BD218" i="1"/>
  <c r="BE218" i="1"/>
  <c r="BI211" i="1"/>
  <c r="BD198" i="1"/>
  <c r="BE198" i="1"/>
  <c r="BD178" i="1"/>
  <c r="BE178" i="1"/>
  <c r="BD158" i="1"/>
  <c r="BE158" i="1"/>
  <c r="U66" i="1"/>
  <c r="BD98" i="1"/>
  <c r="BE98" i="1"/>
  <c r="AU218" i="1"/>
  <c r="AV218" i="1"/>
  <c r="AZ221" i="1"/>
  <c r="AZ222" i="1"/>
  <c r="AU198" i="1"/>
  <c r="AV198" i="1"/>
  <c r="AU178" i="1"/>
  <c r="AV178" i="1"/>
  <c r="AU158" i="1"/>
  <c r="AV158" i="1"/>
  <c r="AU118" i="1"/>
  <c r="AV118" i="1"/>
  <c r="AU98" i="1"/>
  <c r="AV98" i="1"/>
  <c r="BV218" i="1"/>
  <c r="BW218" i="1"/>
  <c r="BV198" i="1"/>
  <c r="BW198" i="1"/>
  <c r="BV178" i="1"/>
  <c r="BW178" i="1"/>
  <c r="BV158" i="1"/>
  <c r="BW158" i="1"/>
  <c r="BV138" i="1"/>
  <c r="BW138" i="1"/>
  <c r="BV118" i="1"/>
  <c r="BW118" i="1"/>
  <c r="BV98" i="1"/>
  <c r="BW98" i="1"/>
  <c r="BV78" i="1"/>
  <c r="BW78" i="1"/>
  <c r="BR220" i="1"/>
  <c r="BM218" i="1"/>
  <c r="BN218" i="1"/>
  <c r="BR211" i="1"/>
  <c r="BM198" i="1"/>
  <c r="BN198" i="1"/>
  <c r="BM178" i="1"/>
  <c r="BN178" i="1"/>
  <c r="BM158" i="1"/>
  <c r="BN158" i="1"/>
  <c r="BM138" i="1"/>
  <c r="BN138" i="1"/>
  <c r="BM118" i="1"/>
  <c r="BN118" i="1"/>
  <c r="BM98" i="1"/>
  <c r="BN98" i="1"/>
  <c r="BM78" i="1"/>
  <c r="BN78" i="1"/>
  <c r="G23" i="1"/>
  <c r="T65" i="1"/>
  <c r="T64" i="1"/>
  <c r="T52" i="1"/>
  <c r="T51" i="1"/>
  <c r="G26" i="1"/>
  <c r="G25" i="1"/>
  <c r="G24" i="1"/>
  <c r="T66" i="1"/>
  <c r="T53" i="1"/>
  <c r="G27" i="1"/>
  <c r="BZ95" i="1"/>
  <c r="BZ75" i="1"/>
  <c r="BZ155" i="1"/>
  <c r="BZ175" i="1"/>
  <c r="BZ195" i="1"/>
  <c r="BZ215" i="1"/>
  <c r="BZ135" i="1"/>
  <c r="BQ75" i="1"/>
  <c r="BQ95" i="1"/>
  <c r="BQ135" i="1"/>
  <c r="BQ155" i="1"/>
  <c r="BQ175" i="1"/>
  <c r="BQ195" i="1"/>
  <c r="BQ215" i="1"/>
  <c r="BH135" i="1"/>
  <c r="BH155" i="1"/>
  <c r="BH175" i="1"/>
  <c r="BH195" i="1"/>
  <c r="BH215" i="1"/>
  <c r="BH95" i="1"/>
  <c r="BH75" i="1"/>
  <c r="AY215" i="1"/>
  <c r="AY175" i="1"/>
  <c r="AY195" i="1"/>
  <c r="AY155" i="1"/>
  <c r="AY135" i="1"/>
  <c r="AY95" i="1"/>
  <c r="AY75" i="1"/>
  <c r="AP215" i="1"/>
  <c r="AP195" i="1"/>
  <c r="AP175" i="1"/>
  <c r="AP155" i="1"/>
  <c r="AP135" i="1"/>
  <c r="AP95" i="1"/>
  <c r="AP75" i="1"/>
  <c r="M182" i="2"/>
  <c r="J182" i="2"/>
  <c r="G182" i="2"/>
  <c r="F182" i="2"/>
  <c r="D182" i="2"/>
  <c r="M174" i="2"/>
  <c r="J174" i="2"/>
  <c r="G174" i="2"/>
  <c r="F174" i="2"/>
  <c r="D174" i="2"/>
  <c r="M166" i="2"/>
  <c r="J166" i="2"/>
  <c r="G166" i="2"/>
  <c r="F166" i="2"/>
  <c r="D166" i="2"/>
  <c r="N158" i="2"/>
  <c r="M158" i="2"/>
  <c r="J158" i="2"/>
  <c r="G158" i="2"/>
  <c r="F158" i="2"/>
  <c r="D158" i="2"/>
  <c r="N150" i="2"/>
  <c r="M150" i="2"/>
  <c r="J150" i="2"/>
  <c r="G150" i="2"/>
  <c r="F150" i="2"/>
  <c r="D150" i="2"/>
  <c r="N142" i="2"/>
  <c r="M142" i="2"/>
  <c r="J142" i="2"/>
  <c r="G142" i="2"/>
  <c r="F142" i="2"/>
  <c r="D142" i="2"/>
  <c r="N134" i="2"/>
  <c r="M134" i="2"/>
  <c r="J134" i="2"/>
  <c r="G134" i="2"/>
  <c r="F134" i="2"/>
  <c r="D134" i="2"/>
  <c r="N126" i="2"/>
  <c r="M126" i="2"/>
  <c r="J126" i="2"/>
  <c r="G126" i="2"/>
  <c r="F126" i="2"/>
  <c r="D126" i="2"/>
  <c r="N118" i="2"/>
  <c r="M118" i="2"/>
  <c r="J118" i="2"/>
  <c r="G118" i="2"/>
  <c r="F118" i="2"/>
  <c r="D118" i="2"/>
  <c r="P110" i="2"/>
  <c r="O110" i="2"/>
  <c r="N110" i="2"/>
  <c r="M110" i="2"/>
  <c r="J110" i="2"/>
  <c r="G110" i="2"/>
  <c r="F110" i="2"/>
  <c r="D110" i="2"/>
  <c r="P102" i="2"/>
  <c r="O102" i="2"/>
  <c r="N102" i="2"/>
  <c r="M102" i="2"/>
  <c r="J102" i="2"/>
  <c r="G102" i="2"/>
  <c r="F102" i="2"/>
  <c r="D102" i="2"/>
  <c r="P94" i="2"/>
  <c r="O94" i="2"/>
  <c r="N94" i="2"/>
  <c r="M94" i="2"/>
  <c r="J94" i="2"/>
  <c r="G94" i="2"/>
  <c r="F94" i="2"/>
  <c r="D94" i="2"/>
  <c r="AS8" i="2"/>
  <c r="AS11" i="2"/>
  <c r="G29" i="1"/>
  <c r="G28" i="1"/>
  <c r="B308" i="2"/>
  <c r="B300" i="2"/>
  <c r="B292" i="2"/>
  <c r="B284" i="2"/>
  <c r="B276" i="2"/>
  <c r="B268" i="2"/>
  <c r="B260" i="2"/>
  <c r="B252" i="2"/>
  <c r="B244" i="2"/>
  <c r="B236" i="2"/>
  <c r="B228" i="2"/>
  <c r="B220" i="2"/>
  <c r="B212" i="2"/>
  <c r="B204" i="2"/>
  <c r="B196" i="2"/>
  <c r="B188" i="2"/>
  <c r="B180" i="2"/>
  <c r="B172" i="2"/>
  <c r="B164" i="2"/>
  <c r="B156" i="2"/>
  <c r="B148" i="2"/>
  <c r="B140" i="2"/>
  <c r="B132" i="2"/>
  <c r="B124" i="2"/>
  <c r="B116" i="2"/>
  <c r="B108" i="2"/>
  <c r="B100" i="2"/>
  <c r="B92" i="2"/>
  <c r="B84" i="2"/>
  <c r="B76" i="2"/>
  <c r="B68" i="2"/>
  <c r="B60" i="2"/>
  <c r="B52" i="2"/>
  <c r="B44" i="2"/>
  <c r="B36" i="2"/>
  <c r="B28" i="2"/>
  <c r="B20" i="2"/>
  <c r="B12" i="2"/>
  <c r="B4" i="2"/>
  <c r="AS10" i="2"/>
  <c r="AS9" i="2"/>
  <c r="O27" i="1" l="1"/>
  <c r="P27" i="1" s="1"/>
  <c r="BH198" i="1"/>
  <c r="BH118" i="1"/>
  <c r="BR158" i="1"/>
  <c r="BK145" i="1" s="1"/>
  <c r="CA220" i="1"/>
  <c r="O29" i="1"/>
  <c r="Q29" i="1" s="1"/>
  <c r="AC24" i="1"/>
  <c r="U19" i="1" s="1"/>
  <c r="BL178" i="1"/>
  <c r="BO178" i="1" s="1"/>
  <c r="BR223" i="1"/>
  <c r="BI224" i="1"/>
  <c r="V29" i="1"/>
  <c r="K29" i="1"/>
  <c r="BR221" i="1"/>
  <c r="N27" i="1"/>
  <c r="BI222" i="1"/>
  <c r="V27" i="1"/>
  <c r="G46" i="1"/>
  <c r="G47" i="1" s="1"/>
  <c r="B46" i="1"/>
  <c r="D58" i="1" s="1"/>
  <c r="M68" i="1" s="1"/>
  <c r="CA211" i="1"/>
  <c r="L29" i="1"/>
  <c r="W29" i="1"/>
  <c r="K27" i="1"/>
  <c r="N29" i="1"/>
  <c r="AB29" i="1"/>
  <c r="AZ225" i="1"/>
  <c r="L27" i="1"/>
  <c r="W27" i="1"/>
  <c r="CA138" i="1"/>
  <c r="BZ178" i="1"/>
  <c r="CA222" i="1"/>
  <c r="AZ223" i="1"/>
  <c r="AQ118" i="8"/>
  <c r="AJ105" i="8" s="1"/>
  <c r="AQ198" i="8"/>
  <c r="AJ185" i="8" s="1"/>
  <c r="AP218" i="7"/>
  <c r="AP198" i="7"/>
  <c r="AP178" i="7"/>
  <c r="AP158" i="7"/>
  <c r="AO178" i="8"/>
  <c r="AQ98" i="8"/>
  <c r="AJ85" i="8" s="1"/>
  <c r="AO218" i="8"/>
  <c r="AQ198" i="7"/>
  <c r="AJ185" i="7" s="1"/>
  <c r="AQ218" i="7"/>
  <c r="AJ205" i="7" s="1"/>
  <c r="AQ158" i="7"/>
  <c r="AQ178" i="7"/>
  <c r="AJ165" i="7" s="1"/>
  <c r="AQ118" i="7"/>
  <c r="AJ105" i="7" s="1"/>
  <c r="AQ98" i="7"/>
  <c r="AJ85" i="7" s="1"/>
  <c r="AJ145" i="7"/>
  <c r="AP118" i="4"/>
  <c r="AO118" i="8"/>
  <c r="Q27" i="1"/>
  <c r="AP218" i="4"/>
  <c r="Q24" i="6"/>
  <c r="AP178" i="4"/>
  <c r="AO98" i="7"/>
  <c r="AO198" i="8"/>
  <c r="AO78" i="7"/>
  <c r="AO138" i="8"/>
  <c r="AO98" i="8"/>
  <c r="AP98" i="4"/>
  <c r="AQ138" i="7"/>
  <c r="AJ125" i="7" s="1"/>
  <c r="D57" i="1"/>
  <c r="E57" i="1" s="1"/>
  <c r="B47" i="1"/>
  <c r="D56" i="1"/>
  <c r="E56" i="1" s="1"/>
  <c r="B32" i="1"/>
  <c r="B33" i="1" s="1"/>
  <c r="AB23" i="1"/>
  <c r="K25" i="4"/>
  <c r="AZ221" i="4"/>
  <c r="N25" i="4"/>
  <c r="V25" i="4"/>
  <c r="BI220" i="4"/>
  <c r="BI211" i="4"/>
  <c r="J57" i="1"/>
  <c r="Y28" i="1"/>
  <c r="M28" i="1" s="1"/>
  <c r="W28" i="1"/>
  <c r="V28" i="1"/>
  <c r="K28" i="1"/>
  <c r="BZ218" i="1"/>
  <c r="BZ198" i="1"/>
  <c r="BU158" i="1"/>
  <c r="BX158" i="1" s="1"/>
  <c r="CA218" i="1"/>
  <c r="BT205" i="1" s="1"/>
  <c r="L28" i="1"/>
  <c r="AZ224" i="1"/>
  <c r="B28" i="8"/>
  <c r="AB28" i="8"/>
  <c r="BR98" i="1"/>
  <c r="BK85" i="1" s="1"/>
  <c r="BQ198" i="1"/>
  <c r="BL138" i="1"/>
  <c r="BO138" i="1" s="1"/>
  <c r="BZ158" i="1"/>
  <c r="BH178" i="1"/>
  <c r="BC138" i="1"/>
  <c r="BF138" i="1" s="1"/>
  <c r="K24" i="8"/>
  <c r="AZ220" i="8"/>
  <c r="V24" i="8"/>
  <c r="AB27" i="1"/>
  <c r="BY158" i="1"/>
  <c r="AZ211" i="4"/>
  <c r="J44" i="4" s="1"/>
  <c r="AO178" i="6"/>
  <c r="O29" i="6"/>
  <c r="Q29" i="6" s="1"/>
  <c r="N29" i="6"/>
  <c r="D38" i="7"/>
  <c r="Q52" i="7" s="1"/>
  <c r="N23" i="5" s="1"/>
  <c r="D43" i="7"/>
  <c r="Q57" i="7" s="1"/>
  <c r="D44" i="7"/>
  <c r="E44" i="7" s="1"/>
  <c r="Y23" i="6"/>
  <c r="M23" i="6" s="1"/>
  <c r="Q23" i="6"/>
  <c r="AJ98" i="6" s="1"/>
  <c r="K23" i="6"/>
  <c r="O23" i="6"/>
  <c r="AJ78" i="6" s="1"/>
  <c r="P23" i="6"/>
  <c r="AJ118" i="6" s="1"/>
  <c r="BL78" i="1"/>
  <c r="BO78" i="1" s="1"/>
  <c r="BR178" i="1"/>
  <c r="BK165" i="1" s="1"/>
  <c r="BL218" i="1"/>
  <c r="BO218" i="1" s="1"/>
  <c r="BU78" i="1"/>
  <c r="BX78" i="1" s="1"/>
  <c r="BU118" i="1"/>
  <c r="BX118" i="1" s="1"/>
  <c r="CA158" i="1"/>
  <c r="BT145" i="1" s="1"/>
  <c r="BY198" i="1"/>
  <c r="N28" i="1"/>
  <c r="BG98" i="1"/>
  <c r="V19" i="1"/>
  <c r="Z53" i="4"/>
  <c r="Z52" i="4"/>
  <c r="T28" i="4"/>
  <c r="N24" i="4"/>
  <c r="Y26" i="4"/>
  <c r="M26" i="4" s="1"/>
  <c r="W26" i="4"/>
  <c r="N26" i="4"/>
  <c r="BR220" i="4"/>
  <c r="V26" i="4"/>
  <c r="S27" i="6"/>
  <c r="W23" i="6"/>
  <c r="AQ78" i="6" s="1"/>
  <c r="AJ65" i="6" s="1"/>
  <c r="Z48" i="7"/>
  <c r="T28" i="7"/>
  <c r="T26" i="7"/>
  <c r="V25" i="8"/>
  <c r="AP98" i="8"/>
  <c r="AP158" i="8"/>
  <c r="Y23" i="4"/>
  <c r="M23" i="4" s="1"/>
  <c r="W23" i="4"/>
  <c r="N23" i="4"/>
  <c r="V23" i="4"/>
  <c r="AQ220" i="4"/>
  <c r="BR118" i="1"/>
  <c r="BK105" i="1" s="1"/>
  <c r="BQ218" i="1"/>
  <c r="BY178" i="1"/>
  <c r="AO78" i="6"/>
  <c r="BR78" i="1"/>
  <c r="BK65" i="1" s="1"/>
  <c r="BQ178" i="1"/>
  <c r="CA98" i="1"/>
  <c r="BT85" i="1" s="1"/>
  <c r="K25" i="8"/>
  <c r="BQ158" i="1"/>
  <c r="BT98" i="1"/>
  <c r="CA198" i="1"/>
  <c r="BT185" i="1" s="1"/>
  <c r="AO138" i="6"/>
  <c r="M32" i="6"/>
  <c r="O34" i="6" s="1"/>
  <c r="P34" i="6" s="1"/>
  <c r="U25" i="4"/>
  <c r="T26" i="4"/>
  <c r="T29" i="4"/>
  <c r="Z47" i="4"/>
  <c r="Y50" i="4"/>
  <c r="U24" i="4"/>
  <c r="Y49" i="4"/>
  <c r="T27" i="4"/>
  <c r="Y51" i="4"/>
  <c r="T23" i="4"/>
  <c r="U26" i="4"/>
  <c r="S27" i="4"/>
  <c r="U23" i="4"/>
  <c r="U27" i="4"/>
  <c r="S29" i="4"/>
  <c r="Y47" i="4"/>
  <c r="T29" i="6"/>
  <c r="Y47" i="6"/>
  <c r="Z49" i="6"/>
  <c r="T23" i="6"/>
  <c r="S28" i="6"/>
  <c r="Y48" i="6"/>
  <c r="T24" i="6"/>
  <c r="T25" i="6"/>
  <c r="U27" i="6"/>
  <c r="U24" i="6"/>
  <c r="U25" i="6"/>
  <c r="S29" i="6"/>
  <c r="Y49" i="6"/>
  <c r="BQ78" i="1"/>
  <c r="BQ98" i="1"/>
  <c r="BP118" i="1"/>
  <c r="BQ138" i="1"/>
  <c r="BP158" i="1"/>
  <c r="BZ78" i="1"/>
  <c r="BZ98" i="1"/>
  <c r="BZ118" i="1"/>
  <c r="BZ138" i="1"/>
  <c r="BU198" i="1"/>
  <c r="BX198" i="1" s="1"/>
  <c r="BC198" i="1"/>
  <c r="BF198" i="1" s="1"/>
  <c r="BI223" i="1"/>
  <c r="BI78" i="1"/>
  <c r="BB65" i="1" s="1"/>
  <c r="O28" i="1"/>
  <c r="P28" i="1" s="1"/>
  <c r="T25" i="4"/>
  <c r="Y52" i="6"/>
  <c r="Y51" i="6"/>
  <c r="U26" i="6"/>
  <c r="Y27" i="6"/>
  <c r="M27" i="6" s="1"/>
  <c r="K27" i="6"/>
  <c r="AZ223" i="6"/>
  <c r="N27" i="6"/>
  <c r="BR221" i="6"/>
  <c r="W27" i="6"/>
  <c r="BI222" i="6"/>
  <c r="U17" i="6"/>
  <c r="D40" i="7"/>
  <c r="F40" i="7" s="1"/>
  <c r="B33" i="7"/>
  <c r="T25" i="7"/>
  <c r="AZ211" i="8"/>
  <c r="J44" i="8" s="1"/>
  <c r="K44" i="8" s="1"/>
  <c r="T24" i="8"/>
  <c r="E38" i="6"/>
  <c r="J63" i="6"/>
  <c r="F38" i="6"/>
  <c r="Y25" i="1"/>
  <c r="M25" i="1" s="1"/>
  <c r="V25" i="1"/>
  <c r="BG138" i="1"/>
  <c r="BC78" i="1"/>
  <c r="BF78" i="1" s="1"/>
  <c r="BI220" i="1"/>
  <c r="BH78" i="1"/>
  <c r="BC118" i="1"/>
  <c r="BF118" i="1" s="1"/>
  <c r="BG218" i="1"/>
  <c r="BG198" i="1"/>
  <c r="BG178" i="1"/>
  <c r="BG158" i="1"/>
  <c r="BC98" i="1"/>
  <c r="BF98" i="1" s="1"/>
  <c r="L25" i="1"/>
  <c r="O25" i="1"/>
  <c r="BB118" i="1"/>
  <c r="N25" i="1"/>
  <c r="BI218" i="1"/>
  <c r="BB205" i="1" s="1"/>
  <c r="BI198" i="1"/>
  <c r="BB185" i="1" s="1"/>
  <c r="BI178" i="1"/>
  <c r="BB165" i="1" s="1"/>
  <c r="BC158" i="1"/>
  <c r="BF158" i="1" s="1"/>
  <c r="BI98" i="1"/>
  <c r="BB85" i="1" s="1"/>
  <c r="BI118" i="1"/>
  <c r="BB105" i="1" s="1"/>
  <c r="BI158" i="1"/>
  <c r="BB145" i="1" s="1"/>
  <c r="AO158" i="6"/>
  <c r="AO198" i="6"/>
  <c r="AO218" i="6"/>
  <c r="B32" i="4"/>
  <c r="V19" i="4"/>
  <c r="Q24" i="4" s="1"/>
  <c r="U19" i="4"/>
  <c r="P24" i="4" s="1"/>
  <c r="AP118" i="8"/>
  <c r="AP78" i="8"/>
  <c r="AP138" i="8"/>
  <c r="AP218" i="8"/>
  <c r="BR138" i="1"/>
  <c r="BK125" i="1" s="1"/>
  <c r="BR222" i="1"/>
  <c r="BG118" i="1"/>
  <c r="BI211" i="8"/>
  <c r="W25" i="8"/>
  <c r="AZ221" i="8"/>
  <c r="AJ65" i="8"/>
  <c r="AB28" i="1"/>
  <c r="BK118" i="1"/>
  <c r="BP218" i="1"/>
  <c r="CA118" i="1"/>
  <c r="BT105" i="1" s="1"/>
  <c r="BR220" i="7"/>
  <c r="BR211" i="7"/>
  <c r="BQ118" i="1"/>
  <c r="BT118" i="1"/>
  <c r="BB78" i="1"/>
  <c r="U26" i="8"/>
  <c r="S27" i="8"/>
  <c r="S29" i="8"/>
  <c r="Y51" i="8"/>
  <c r="Z52" i="8"/>
  <c r="Z53" i="8"/>
  <c r="Y47" i="8"/>
  <c r="S25" i="8"/>
  <c r="U27" i="8"/>
  <c r="S28" i="8"/>
  <c r="U29" i="8"/>
  <c r="Y48" i="8"/>
  <c r="Y50" i="8"/>
  <c r="U24" i="8"/>
  <c r="S26" i="8"/>
  <c r="Z49" i="8"/>
  <c r="T23" i="8"/>
  <c r="T26" i="8"/>
  <c r="Y52" i="8"/>
  <c r="Y53" i="8"/>
  <c r="BP78" i="1"/>
  <c r="BP138" i="1"/>
  <c r="BR198" i="1"/>
  <c r="BK185" i="1" s="1"/>
  <c r="BY78" i="1"/>
  <c r="BY138" i="1"/>
  <c r="CA178" i="1"/>
  <c r="BT165" i="1" s="1"/>
  <c r="BG78" i="1"/>
  <c r="U28" i="4"/>
  <c r="S24" i="4"/>
  <c r="S23" i="4"/>
  <c r="AB27" i="4"/>
  <c r="G46" i="4"/>
  <c r="J48" i="4" s="1"/>
  <c r="L48" i="4" s="1"/>
  <c r="AQ220" i="6"/>
  <c r="E44" i="6"/>
  <c r="J68" i="6"/>
  <c r="T26" i="6"/>
  <c r="L23" i="6"/>
  <c r="Z53" i="7"/>
  <c r="Y52" i="7"/>
  <c r="D42" i="7"/>
  <c r="T29" i="7"/>
  <c r="AO178" i="7"/>
  <c r="AO218" i="7"/>
  <c r="AO198" i="7"/>
  <c r="AO118" i="7"/>
  <c r="AO158" i="7"/>
  <c r="Z50" i="8"/>
  <c r="AP198" i="8"/>
  <c r="U28" i="8"/>
  <c r="S24" i="8"/>
  <c r="E41" i="6"/>
  <c r="J65" i="6"/>
  <c r="AQ218" i="8"/>
  <c r="AJ205" i="8" s="1"/>
  <c r="AQ158" i="8"/>
  <c r="AQ178" i="8"/>
  <c r="AJ165" i="8" s="1"/>
  <c r="Y26" i="1"/>
  <c r="M26" i="1" s="1"/>
  <c r="W26" i="1"/>
  <c r="V26" i="1"/>
  <c r="BL158" i="1"/>
  <c r="BO158" i="1" s="1"/>
  <c r="BU138" i="1"/>
  <c r="BX138" i="1" s="1"/>
  <c r="BU218" i="1"/>
  <c r="BX218" i="1" s="1"/>
  <c r="BI138" i="1"/>
  <c r="BB125" i="1" s="1"/>
  <c r="T17" i="4"/>
  <c r="BK98" i="1"/>
  <c r="BP198" i="1"/>
  <c r="CA78" i="1"/>
  <c r="BT65" i="1" s="1"/>
  <c r="BC218" i="1"/>
  <c r="BF218" i="1" s="1"/>
  <c r="AZ220" i="4"/>
  <c r="AO118" i="6"/>
  <c r="M32" i="1"/>
  <c r="BK78" i="1"/>
  <c r="BP178" i="1"/>
  <c r="BT78" i="1"/>
  <c r="CA221" i="1"/>
  <c r="BB98" i="1"/>
  <c r="U23" i="7"/>
  <c r="AK138" i="7" s="1"/>
  <c r="S24" i="7"/>
  <c r="S27" i="7"/>
  <c r="S29" i="7"/>
  <c r="Z49" i="7"/>
  <c r="U24" i="7"/>
  <c r="S26" i="7"/>
  <c r="U27" i="7"/>
  <c r="U29" i="7"/>
  <c r="Z47" i="7"/>
  <c r="Y51" i="7"/>
  <c r="Z52" i="7"/>
  <c r="Y53" i="7"/>
  <c r="S23" i="7"/>
  <c r="U28" i="7"/>
  <c r="T23" i="7"/>
  <c r="Y49" i="7"/>
  <c r="AB26" i="1"/>
  <c r="BP98" i="1"/>
  <c r="BY98" i="1"/>
  <c r="BY118" i="1"/>
  <c r="BH158" i="1"/>
  <c r="BL98" i="1"/>
  <c r="BO98" i="1" s="1"/>
  <c r="BL118" i="1"/>
  <c r="BO118" i="1" s="1"/>
  <c r="BL198" i="1"/>
  <c r="BO198" i="1" s="1"/>
  <c r="BR218" i="1"/>
  <c r="BK205" i="1" s="1"/>
  <c r="BU98" i="1"/>
  <c r="BX98" i="1" s="1"/>
  <c r="BU178" i="1"/>
  <c r="BX178" i="1" s="1"/>
  <c r="BY218" i="1"/>
  <c r="BH98" i="1"/>
  <c r="BC178" i="1"/>
  <c r="BF178" i="1" s="1"/>
  <c r="BH218" i="1"/>
  <c r="BH138" i="1"/>
  <c r="Z51" i="4"/>
  <c r="S28" i="4"/>
  <c r="Z49" i="4"/>
  <c r="V24" i="4"/>
  <c r="AP78" i="4"/>
  <c r="AP138" i="4"/>
  <c r="AP198" i="4"/>
  <c r="T27" i="6"/>
  <c r="S26" i="6"/>
  <c r="N25" i="6"/>
  <c r="W25" i="6"/>
  <c r="BI220" i="6"/>
  <c r="U26" i="7"/>
  <c r="T24" i="7"/>
  <c r="T28" i="8"/>
  <c r="L24" i="8"/>
  <c r="D34" i="6"/>
  <c r="O48" i="6" s="1"/>
  <c r="F19" i="5" s="1"/>
  <c r="D42" i="6"/>
  <c r="J66" i="6" s="1"/>
  <c r="D36" i="6"/>
  <c r="AF57" i="6"/>
  <c r="AF56" i="6" s="1"/>
  <c r="W26" i="8"/>
  <c r="L26" i="8"/>
  <c r="U23" i="8"/>
  <c r="AK138" i="8" s="1"/>
  <c r="AF57" i="4"/>
  <c r="AF56" i="4" s="1"/>
  <c r="BT125" i="1"/>
  <c r="M33" i="6"/>
  <c r="O42" i="6"/>
  <c r="O40" i="6"/>
  <c r="O43" i="6"/>
  <c r="O38" i="6"/>
  <c r="O41" i="6"/>
  <c r="T17" i="7"/>
  <c r="V17" i="7"/>
  <c r="U19" i="7"/>
  <c r="P24" i="7" s="1"/>
  <c r="AB24" i="7"/>
  <c r="V19" i="7"/>
  <c r="Q24" i="7" s="1"/>
  <c r="U17" i="7"/>
  <c r="T19" i="7"/>
  <c r="O24" i="7" s="1"/>
  <c r="G32" i="7"/>
  <c r="Q26" i="1"/>
  <c r="G47" i="4"/>
  <c r="J57" i="4"/>
  <c r="J50" i="4"/>
  <c r="J54" i="4"/>
  <c r="AB29" i="4"/>
  <c r="B29" i="4"/>
  <c r="AX78" i="4" s="1"/>
  <c r="J50" i="6"/>
  <c r="J54" i="6"/>
  <c r="J57" i="6"/>
  <c r="G47" i="6"/>
  <c r="J55" i="6"/>
  <c r="J58" i="6"/>
  <c r="J56" i="6"/>
  <c r="D54" i="1"/>
  <c r="J48" i="1"/>
  <c r="J56" i="4"/>
  <c r="AB28" i="4"/>
  <c r="B28" i="4"/>
  <c r="AZ98" i="4" s="1"/>
  <c r="AS85" i="4" s="1"/>
  <c r="J48" i="6"/>
  <c r="E40" i="6"/>
  <c r="P54" i="6"/>
  <c r="F40" i="6"/>
  <c r="Q54" i="6"/>
  <c r="J64" i="6"/>
  <c r="W29" i="6"/>
  <c r="AB25" i="6"/>
  <c r="L52" i="6"/>
  <c r="N63" i="6"/>
  <c r="E43" i="6"/>
  <c r="P57" i="6"/>
  <c r="F43" i="6"/>
  <c r="Q57" i="6"/>
  <c r="AB27" i="7"/>
  <c r="G46" i="7"/>
  <c r="D55" i="1"/>
  <c r="D48" i="1"/>
  <c r="D50" i="1"/>
  <c r="D52" i="1"/>
  <c r="AB26" i="4"/>
  <c r="V17" i="4"/>
  <c r="B46" i="4"/>
  <c r="J67" i="6"/>
  <c r="J58" i="4"/>
  <c r="J55" i="4"/>
  <c r="J52" i="4"/>
  <c r="Q27" i="4"/>
  <c r="P27" i="4"/>
  <c r="K52" i="6"/>
  <c r="K44" i="6"/>
  <c r="K68" i="6"/>
  <c r="O36" i="6"/>
  <c r="P25" i="6"/>
  <c r="Q25" i="6"/>
  <c r="Y29" i="6"/>
  <c r="M29" i="6" s="1"/>
  <c r="L29" i="6"/>
  <c r="CA222" i="6"/>
  <c r="V29" i="6"/>
  <c r="BI224" i="6"/>
  <c r="AZ225" i="6"/>
  <c r="K29" i="6"/>
  <c r="B28" i="6"/>
  <c r="BK118" i="6" s="1"/>
  <c r="AB28" i="6"/>
  <c r="AT98" i="4"/>
  <c r="AW98" i="4" s="1"/>
  <c r="Y25" i="4"/>
  <c r="M25" i="4" s="1"/>
  <c r="L25" i="4"/>
  <c r="O25" i="4"/>
  <c r="W25" i="4"/>
  <c r="BB78" i="4"/>
  <c r="BH78" i="4"/>
  <c r="BI78" i="4"/>
  <c r="BB65" i="4" s="1"/>
  <c r="AB25" i="4"/>
  <c r="M32" i="4"/>
  <c r="B46" i="6"/>
  <c r="P27" i="6"/>
  <c r="Q27" i="6"/>
  <c r="Y26" i="6"/>
  <c r="M26" i="6" s="1"/>
  <c r="N26" i="6"/>
  <c r="W26" i="6"/>
  <c r="BP98" i="6"/>
  <c r="BK98" i="6"/>
  <c r="BR178" i="6"/>
  <c r="BK165" i="6" s="1"/>
  <c r="BL178" i="6"/>
  <c r="BP218" i="6"/>
  <c r="K26" i="6"/>
  <c r="O26" i="6"/>
  <c r="BQ118" i="6"/>
  <c r="BQ138" i="6"/>
  <c r="BR158" i="6"/>
  <c r="BK145" i="6" s="1"/>
  <c r="BL158" i="6"/>
  <c r="AZ222" i="6"/>
  <c r="T19" i="6"/>
  <c r="O24" i="6" s="1"/>
  <c r="G32" i="6"/>
  <c r="T17" i="6"/>
  <c r="V17" i="6"/>
  <c r="U19" i="6"/>
  <c r="P24" i="6" s="1"/>
  <c r="AB24" i="6"/>
  <c r="Y26" i="7"/>
  <c r="M26" i="7" s="1"/>
  <c r="K26" i="7"/>
  <c r="O26" i="7"/>
  <c r="BI98" i="7"/>
  <c r="BB85" i="7" s="1"/>
  <c r="BC118" i="7"/>
  <c r="BF118" i="7" s="1"/>
  <c r="L26" i="7"/>
  <c r="BG138" i="7"/>
  <c r="BQ158" i="7"/>
  <c r="BC178" i="7"/>
  <c r="N26" i="7"/>
  <c r="V26" i="7"/>
  <c r="BG98" i="7"/>
  <c r="BQ178" i="7"/>
  <c r="BC198" i="7"/>
  <c r="W26" i="7"/>
  <c r="AZ222" i="7"/>
  <c r="B29" i="7"/>
  <c r="AY118" i="7" s="1"/>
  <c r="AB29" i="7"/>
  <c r="Y24" i="4"/>
  <c r="M24" i="4" s="1"/>
  <c r="M19" i="4"/>
  <c r="K24" i="4"/>
  <c r="L24" i="4"/>
  <c r="U17" i="4"/>
  <c r="AB24" i="4"/>
  <c r="G32" i="4"/>
  <c r="T19" i="4"/>
  <c r="O24" i="4" s="1"/>
  <c r="Y25" i="6"/>
  <c r="M25" i="6" s="1"/>
  <c r="L25" i="6"/>
  <c r="BG78" i="6"/>
  <c r="BB78" i="6"/>
  <c r="AZ98" i="6"/>
  <c r="AS85" i="6" s="1"/>
  <c r="AT98" i="6"/>
  <c r="AW98" i="6" s="1"/>
  <c r="AX138" i="6"/>
  <c r="BG138" i="6"/>
  <c r="AY158" i="6"/>
  <c r="BH158" i="6"/>
  <c r="AX218" i="6"/>
  <c r="BG218" i="6"/>
  <c r="V25" i="6"/>
  <c r="AZ78" i="6"/>
  <c r="AS65" i="6" s="1"/>
  <c r="BI118" i="6"/>
  <c r="BB105" i="6" s="1"/>
  <c r="BC118" i="6"/>
  <c r="BF118" i="6" s="1"/>
  <c r="AY138" i="6"/>
  <c r="BH138" i="6"/>
  <c r="AX198" i="6"/>
  <c r="BG198" i="6"/>
  <c r="AY218" i="6"/>
  <c r="BH218" i="6"/>
  <c r="BI211" i="6"/>
  <c r="AZ221" i="6"/>
  <c r="V27" i="6"/>
  <c r="P27" i="8"/>
  <c r="Q27" i="8"/>
  <c r="K44" i="7"/>
  <c r="K68" i="7"/>
  <c r="L44" i="7"/>
  <c r="Q27" i="7"/>
  <c r="P27" i="7"/>
  <c r="Q25" i="7"/>
  <c r="P25" i="7"/>
  <c r="M32" i="7"/>
  <c r="AB29" i="8"/>
  <c r="G46" i="8"/>
  <c r="B29" i="8"/>
  <c r="M32" i="8"/>
  <c r="B46" i="8"/>
  <c r="G32" i="8"/>
  <c r="T19" i="8"/>
  <c r="O24" i="8" s="1"/>
  <c r="AB24" i="8"/>
  <c r="V19" i="8"/>
  <c r="Q24" i="8" s="1"/>
  <c r="AB26" i="7"/>
  <c r="B46" i="7"/>
  <c r="AP98" i="7"/>
  <c r="AP118" i="7"/>
  <c r="Y27" i="7"/>
  <c r="M27" i="7" s="1"/>
  <c r="V27" i="7"/>
  <c r="BY98" i="7"/>
  <c r="BT118" i="7"/>
  <c r="N27" i="7"/>
  <c r="W27" i="7"/>
  <c r="B28" i="7"/>
  <c r="BR98" i="7" s="1"/>
  <c r="BK85" i="7" s="1"/>
  <c r="AB28" i="7"/>
  <c r="L24" i="7"/>
  <c r="L44" i="8"/>
  <c r="K68" i="8"/>
  <c r="Q26" i="8"/>
  <c r="P26" i="8"/>
  <c r="Q55" i="6"/>
  <c r="Q19" i="5" s="1"/>
  <c r="P55" i="6"/>
  <c r="P19" i="5" s="1"/>
  <c r="AJ125" i="8"/>
  <c r="Y25" i="8"/>
  <c r="M25" i="8" s="1"/>
  <c r="L25" i="8"/>
  <c r="N25" i="8"/>
  <c r="O25" i="8"/>
  <c r="Q48" i="6"/>
  <c r="H19" i="5" s="1"/>
  <c r="D36" i="4"/>
  <c r="D41" i="4"/>
  <c r="D38" i="4"/>
  <c r="D34" i="4"/>
  <c r="Q52" i="6"/>
  <c r="N19" i="5" s="1"/>
  <c r="P52" i="6"/>
  <c r="M19" i="5" s="1"/>
  <c r="N28" i="8"/>
  <c r="W28" i="8"/>
  <c r="Y24" i="8"/>
  <c r="M24" i="8" s="1"/>
  <c r="M19" i="8"/>
  <c r="N24" i="8"/>
  <c r="W24" i="8"/>
  <c r="V17" i="1"/>
  <c r="B23" i="1"/>
  <c r="D36" i="7"/>
  <c r="D41" i="7"/>
  <c r="D34" i="7"/>
  <c r="Y27" i="8"/>
  <c r="M27" i="8" s="1"/>
  <c r="L27" i="8"/>
  <c r="B32" i="8"/>
  <c r="U17" i="8"/>
  <c r="T17" i="8"/>
  <c r="V17" i="8"/>
  <c r="U19" i="8"/>
  <c r="P24" i="8" s="1"/>
  <c r="AJ145" i="8"/>
  <c r="U17" i="1" l="1"/>
  <c r="G32" i="1"/>
  <c r="G33" i="1" s="1"/>
  <c r="T17" i="1"/>
  <c r="B24" i="1"/>
  <c r="T19" i="1"/>
  <c r="P29" i="1"/>
  <c r="J58" i="1"/>
  <c r="L58" i="1" s="1"/>
  <c r="AB24" i="1"/>
  <c r="J56" i="1"/>
  <c r="N66" i="1" s="1"/>
  <c r="J50" i="1"/>
  <c r="J52" i="1"/>
  <c r="K52" i="1" s="1"/>
  <c r="J54" i="1"/>
  <c r="N64" i="1" s="1"/>
  <c r="J55" i="1"/>
  <c r="O55" i="6"/>
  <c r="O19" i="5" s="1"/>
  <c r="O52" i="6"/>
  <c r="L19" i="5" s="1"/>
  <c r="BT128" i="1"/>
  <c r="BT131" i="1" s="1"/>
  <c r="BU122" i="1" s="1"/>
  <c r="AK98" i="8"/>
  <c r="Q56" i="6"/>
  <c r="F42" i="6"/>
  <c r="F57" i="1"/>
  <c r="BT208" i="1"/>
  <c r="BT211" i="1" s="1"/>
  <c r="BU202" i="1" s="1"/>
  <c r="BB88" i="1"/>
  <c r="BB91" i="1" s="1"/>
  <c r="BC82" i="1" s="1"/>
  <c r="P52" i="7"/>
  <c r="M23" i="5" s="1"/>
  <c r="M67" i="1"/>
  <c r="BK108" i="1"/>
  <c r="BK111" i="1" s="1"/>
  <c r="BL102" i="1" s="1"/>
  <c r="BB148" i="1"/>
  <c r="BB151" i="1" s="1"/>
  <c r="BC142" i="1" s="1"/>
  <c r="BK68" i="1"/>
  <c r="BK71" i="1" s="1"/>
  <c r="BL62" i="1" s="1"/>
  <c r="BK188" i="1"/>
  <c r="BK191" i="1" s="1"/>
  <c r="BL182" i="1" s="1"/>
  <c r="BK168" i="1"/>
  <c r="BK171" i="1" s="1"/>
  <c r="BL162" i="1" s="1"/>
  <c r="BB68" i="1"/>
  <c r="BB71" i="1" s="1"/>
  <c r="BC62" i="1" s="1"/>
  <c r="BB168" i="1"/>
  <c r="BB171" i="1" s="1"/>
  <c r="BC162" i="1" s="1"/>
  <c r="F43" i="7"/>
  <c r="BT108" i="1"/>
  <c r="BT102" i="1" s="1"/>
  <c r="BZ102" i="1" s="1"/>
  <c r="BB108" i="1"/>
  <c r="BB111" i="1" s="1"/>
  <c r="BC102" i="1" s="1"/>
  <c r="AK178" i="7"/>
  <c r="Q28" i="1"/>
  <c r="BT88" i="1"/>
  <c r="BT91" i="1" s="1"/>
  <c r="BU82" i="1" s="1"/>
  <c r="M66" i="1"/>
  <c r="AK218" i="7"/>
  <c r="BT188" i="1"/>
  <c r="BT182" i="1" s="1"/>
  <c r="BZ182" i="1" s="1"/>
  <c r="J68" i="7"/>
  <c r="N61" i="4"/>
  <c r="F44" i="7"/>
  <c r="BB128" i="1"/>
  <c r="BB131" i="1" s="1"/>
  <c r="BC122" i="1" s="1"/>
  <c r="BK148" i="1"/>
  <c r="BK151" i="1" s="1"/>
  <c r="BL142" i="1" s="1"/>
  <c r="BB188" i="1"/>
  <c r="BB191" i="1" s="1"/>
  <c r="BC182" i="1" s="1"/>
  <c r="K48" i="4"/>
  <c r="BK128" i="1"/>
  <c r="BK131" i="1" s="1"/>
  <c r="BL122" i="1" s="1"/>
  <c r="BT202" i="1"/>
  <c r="CA202" i="1" s="1"/>
  <c r="CA205" i="1" s="1"/>
  <c r="F56" i="1"/>
  <c r="BT148" i="1"/>
  <c r="BT151" i="1" s="1"/>
  <c r="BU142" i="1" s="1"/>
  <c r="AK98" i="7"/>
  <c r="AP138" i="6"/>
  <c r="AP218" i="6"/>
  <c r="AP98" i="6"/>
  <c r="AP78" i="6"/>
  <c r="AP158" i="6"/>
  <c r="AP118" i="6"/>
  <c r="AP178" i="6"/>
  <c r="AP198" i="6"/>
  <c r="AK118" i="8"/>
  <c r="AT78" i="7"/>
  <c r="AW78" i="7" s="1"/>
  <c r="BT68" i="1"/>
  <c r="BT71" i="1" s="1"/>
  <c r="BU62" i="1" s="1"/>
  <c r="AK198" i="7"/>
  <c r="O50" i="6"/>
  <c r="I19" i="5" s="1"/>
  <c r="AK158" i="8"/>
  <c r="AK118" i="7"/>
  <c r="AZ158" i="6"/>
  <c r="AS145" i="6" s="1"/>
  <c r="AT78" i="6"/>
  <c r="AW78" i="6" s="1"/>
  <c r="AZ178" i="6"/>
  <c r="AS165" i="6" s="1"/>
  <c r="BH98" i="6"/>
  <c r="BC78" i="7"/>
  <c r="BF78" i="7" s="1"/>
  <c r="BP198" i="6"/>
  <c r="BP118" i="6"/>
  <c r="BC78" i="4"/>
  <c r="BF78" i="4" s="1"/>
  <c r="O44" i="1"/>
  <c r="Q44" i="1" s="1"/>
  <c r="P29" i="6"/>
  <c r="AK158" i="7"/>
  <c r="AK78" i="7"/>
  <c r="K28" i="8"/>
  <c r="BI223" i="8"/>
  <c r="L28" i="8"/>
  <c r="AZ224" i="8"/>
  <c r="V28" i="8"/>
  <c r="BR222" i="8"/>
  <c r="Y28" i="8"/>
  <c r="M28" i="8" s="1"/>
  <c r="O28" i="8"/>
  <c r="CA221" i="8"/>
  <c r="O40" i="1"/>
  <c r="M33" i="1"/>
  <c r="O43" i="1"/>
  <c r="O42" i="1"/>
  <c r="AQ98" i="4"/>
  <c r="AJ85" i="4" s="1"/>
  <c r="AQ118" i="4"/>
  <c r="AJ105" i="4" s="1"/>
  <c r="AQ178" i="4"/>
  <c r="AJ165" i="4" s="1"/>
  <c r="AQ138" i="4"/>
  <c r="AJ125" i="4" s="1"/>
  <c r="AQ218" i="4"/>
  <c r="AJ205" i="4" s="1"/>
  <c r="AQ198" i="4"/>
  <c r="AJ185" i="4" s="1"/>
  <c r="AQ78" i="4"/>
  <c r="AJ65" i="4" s="1"/>
  <c r="AQ158" i="4"/>
  <c r="AJ145" i="4" s="1"/>
  <c r="AK218" i="4"/>
  <c r="AK138" i="4"/>
  <c r="AK198" i="4"/>
  <c r="AK178" i="4"/>
  <c r="AK78" i="4"/>
  <c r="AK98" i="4"/>
  <c r="AK158" i="4"/>
  <c r="AK118" i="4"/>
  <c r="P25" i="1"/>
  <c r="Q25" i="1"/>
  <c r="L44" i="4"/>
  <c r="K68" i="4"/>
  <c r="K44" i="4"/>
  <c r="AK98" i="6"/>
  <c r="AK218" i="6"/>
  <c r="AK78" i="6"/>
  <c r="AK158" i="6"/>
  <c r="AK118" i="6"/>
  <c r="AK138" i="6"/>
  <c r="AK198" i="6"/>
  <c r="AK178" i="6"/>
  <c r="BC158" i="6"/>
  <c r="BF158" i="6" s="1"/>
  <c r="BC98" i="6"/>
  <c r="BF98" i="6" s="1"/>
  <c r="BC178" i="6"/>
  <c r="BF178" i="6" s="1"/>
  <c r="BH118" i="6"/>
  <c r="AY78" i="6"/>
  <c r="BR158" i="7"/>
  <c r="BK145" i="7" s="1"/>
  <c r="BL78" i="7"/>
  <c r="BO78" i="7" s="1"/>
  <c r="BQ98" i="6"/>
  <c r="BQ158" i="6"/>
  <c r="O34" i="1"/>
  <c r="L61" i="1" s="1"/>
  <c r="J64" i="7"/>
  <c r="J66" i="7"/>
  <c r="F42" i="7"/>
  <c r="Q56" i="7"/>
  <c r="E42" i="7"/>
  <c r="P56" i="7"/>
  <c r="Q34" i="6"/>
  <c r="L61" i="6"/>
  <c r="BK208" i="1"/>
  <c r="P50" i="6"/>
  <c r="J19" i="5" s="1"/>
  <c r="F36" i="6"/>
  <c r="P51" i="6"/>
  <c r="Q50" i="6"/>
  <c r="K19" i="5" s="1"/>
  <c r="E36" i="6"/>
  <c r="J62" i="6"/>
  <c r="AK78" i="8"/>
  <c r="AK198" i="8"/>
  <c r="AK178" i="8"/>
  <c r="AQ218" i="6"/>
  <c r="AJ205" i="6" s="1"/>
  <c r="AQ118" i="6"/>
  <c r="AJ105" i="6" s="1"/>
  <c r="AQ98" i="6"/>
  <c r="AJ85" i="6" s="1"/>
  <c r="AQ198" i="6"/>
  <c r="AJ185" i="6" s="1"/>
  <c r="AQ138" i="6"/>
  <c r="AJ125" i="6" s="1"/>
  <c r="O41" i="1"/>
  <c r="L65" i="1" s="1"/>
  <c r="P54" i="7"/>
  <c r="BK88" i="1"/>
  <c r="E58" i="1"/>
  <c r="F58" i="1"/>
  <c r="BZ98" i="7"/>
  <c r="BI158" i="6"/>
  <c r="BB145" i="6" s="1"/>
  <c r="BI98" i="6"/>
  <c r="BB85" i="6" s="1"/>
  <c r="BI178" i="6"/>
  <c r="BB165" i="6" s="1"/>
  <c r="AT118" i="6"/>
  <c r="AW118" i="6" s="1"/>
  <c r="BH218" i="7"/>
  <c r="AZ158" i="7"/>
  <c r="AS145" i="7" s="1"/>
  <c r="BR118" i="7"/>
  <c r="BK105" i="7" s="1"/>
  <c r="BK78" i="6"/>
  <c r="BP138" i="6"/>
  <c r="AQ158" i="6"/>
  <c r="AJ145" i="6" s="1"/>
  <c r="O38" i="1"/>
  <c r="P38" i="1" s="1"/>
  <c r="Q54" i="7"/>
  <c r="BT168" i="1"/>
  <c r="BB208" i="1"/>
  <c r="BB211" i="1" s="1"/>
  <c r="BC202" i="1" s="1"/>
  <c r="D43" i="4"/>
  <c r="B33" i="4"/>
  <c r="D44" i="4"/>
  <c r="D40" i="4"/>
  <c r="D42" i="4"/>
  <c r="E43" i="7"/>
  <c r="P57" i="7"/>
  <c r="J67" i="7"/>
  <c r="L56" i="1"/>
  <c r="E40" i="7"/>
  <c r="E42" i="6"/>
  <c r="P56" i="6"/>
  <c r="P48" i="6"/>
  <c r="G19" i="5" s="1"/>
  <c r="O54" i="6"/>
  <c r="O56" i="6"/>
  <c r="E34" i="6"/>
  <c r="O57" i="6"/>
  <c r="F34" i="6"/>
  <c r="P49" i="6"/>
  <c r="J61" i="6"/>
  <c r="K57" i="1"/>
  <c r="L57" i="1"/>
  <c r="N67" i="1"/>
  <c r="BT78" i="7"/>
  <c r="AT158" i="6"/>
  <c r="AW158" i="6" s="1"/>
  <c r="BH78" i="6"/>
  <c r="AT178" i="6"/>
  <c r="AW178" i="6" s="1"/>
  <c r="AZ118" i="6"/>
  <c r="AS105" i="6" s="1"/>
  <c r="AX178" i="7"/>
  <c r="BB118" i="7"/>
  <c r="BQ218" i="6"/>
  <c r="BP78" i="6"/>
  <c r="AQ178" i="6"/>
  <c r="AJ165" i="6" s="1"/>
  <c r="O36" i="1"/>
  <c r="P36" i="1" s="1"/>
  <c r="AK218" i="8"/>
  <c r="AO78" i="4"/>
  <c r="AO158" i="4"/>
  <c r="AO98" i="4"/>
  <c r="AO198" i="4"/>
  <c r="AO138" i="4"/>
  <c r="AO118" i="4"/>
  <c r="AO218" i="4"/>
  <c r="AO178" i="4"/>
  <c r="F38" i="7"/>
  <c r="J63" i="7"/>
  <c r="E38" i="7"/>
  <c r="P53" i="7"/>
  <c r="P55" i="4"/>
  <c r="P15" i="5" s="1"/>
  <c r="Q55" i="4"/>
  <c r="Q15" i="5" s="1"/>
  <c r="E41" i="4"/>
  <c r="J65" i="4"/>
  <c r="F41" i="4"/>
  <c r="D50" i="7"/>
  <c r="D54" i="7"/>
  <c r="D57" i="7"/>
  <c r="D55" i="7"/>
  <c r="D58" i="7"/>
  <c r="D48" i="7"/>
  <c r="D52" i="7"/>
  <c r="B47" i="7"/>
  <c r="D56" i="7"/>
  <c r="B47" i="8"/>
  <c r="D52" i="8"/>
  <c r="D55" i="8"/>
  <c r="D57" i="8"/>
  <c r="D50" i="8"/>
  <c r="D48" i="8"/>
  <c r="D56" i="8"/>
  <c r="D58" i="8"/>
  <c r="D54" i="8"/>
  <c r="J34" i="4"/>
  <c r="J38" i="4"/>
  <c r="J40" i="4"/>
  <c r="J41" i="4"/>
  <c r="O44" i="4"/>
  <c r="J36" i="4"/>
  <c r="J43" i="4"/>
  <c r="J42" i="4"/>
  <c r="G33" i="4"/>
  <c r="BF178" i="7"/>
  <c r="BO158" i="6"/>
  <c r="F52" i="1"/>
  <c r="M63" i="1"/>
  <c r="E52" i="1"/>
  <c r="N65" i="6"/>
  <c r="L55" i="6"/>
  <c r="K55" i="6"/>
  <c r="K50" i="6"/>
  <c r="N62" i="6"/>
  <c r="L50" i="6"/>
  <c r="K57" i="4"/>
  <c r="N67" i="4"/>
  <c r="L57" i="4"/>
  <c r="L67" i="6"/>
  <c r="P43" i="6"/>
  <c r="Q43" i="6"/>
  <c r="P25" i="8"/>
  <c r="Q25" i="8"/>
  <c r="Y29" i="7"/>
  <c r="M29" i="7" s="1"/>
  <c r="V29" i="7"/>
  <c r="N29" i="7"/>
  <c r="W29" i="7"/>
  <c r="L29" i="7"/>
  <c r="O29" i="7"/>
  <c r="CA222" i="7"/>
  <c r="BI224" i="7"/>
  <c r="BR223" i="7"/>
  <c r="K29" i="7"/>
  <c r="AZ225" i="7"/>
  <c r="BP158" i="7"/>
  <c r="BI198" i="7"/>
  <c r="BB185" i="7" s="1"/>
  <c r="BG178" i="7"/>
  <c r="BG198" i="7"/>
  <c r="BQ138" i="7"/>
  <c r="M19" i="7"/>
  <c r="BH158" i="7"/>
  <c r="BK98" i="7"/>
  <c r="AS118" i="7"/>
  <c r="BI118" i="7"/>
  <c r="BB105" i="7" s="1"/>
  <c r="Q36" i="6"/>
  <c r="P36" i="6"/>
  <c r="L62" i="6"/>
  <c r="E50" i="1"/>
  <c r="F50" i="1"/>
  <c r="M62" i="1"/>
  <c r="K48" i="1"/>
  <c r="L48" i="1"/>
  <c r="N61" i="1"/>
  <c r="M64" i="1"/>
  <c r="F54" i="1"/>
  <c r="E54" i="1"/>
  <c r="L64" i="6"/>
  <c r="P40" i="6"/>
  <c r="Q40" i="6"/>
  <c r="D41" i="8"/>
  <c r="D34" i="8"/>
  <c r="D38" i="8"/>
  <c r="D36" i="8"/>
  <c r="B33" i="8"/>
  <c r="D43" i="8"/>
  <c r="D44" i="8"/>
  <c r="D42" i="8"/>
  <c r="D40" i="8"/>
  <c r="P55" i="7"/>
  <c r="P23" i="5" s="1"/>
  <c r="E41" i="7"/>
  <c r="J65" i="7"/>
  <c r="F41" i="7"/>
  <c r="Q55" i="7"/>
  <c r="Q23" i="5" s="1"/>
  <c r="K23" i="1"/>
  <c r="V23" i="1"/>
  <c r="W23" i="1"/>
  <c r="Y23" i="1"/>
  <c r="M23" i="1" s="1"/>
  <c r="L23" i="1"/>
  <c r="AF57" i="1"/>
  <c r="AF56" i="1" s="1"/>
  <c r="N23" i="1"/>
  <c r="AQ220" i="1"/>
  <c r="M19" i="1"/>
  <c r="Q48" i="4"/>
  <c r="H15" i="5" s="1"/>
  <c r="O48" i="4"/>
  <c r="F15" i="5" s="1"/>
  <c r="O50" i="4"/>
  <c r="I15" i="5" s="1"/>
  <c r="O52" i="4"/>
  <c r="L15" i="5" s="1"/>
  <c r="O55" i="4"/>
  <c r="O15" i="5" s="1"/>
  <c r="P48" i="4"/>
  <c r="G15" i="5" s="1"/>
  <c r="E34" i="4"/>
  <c r="F34" i="4"/>
  <c r="O57" i="4"/>
  <c r="J61" i="4"/>
  <c r="O54" i="4"/>
  <c r="O56" i="4"/>
  <c r="P49" i="4"/>
  <c r="Y28" i="7"/>
  <c r="M28" i="7" s="1"/>
  <c r="K28" i="7"/>
  <c r="O28" i="7"/>
  <c r="L28" i="7"/>
  <c r="V28" i="7"/>
  <c r="BU98" i="7"/>
  <c r="BX98" i="7" s="1"/>
  <c r="BU118" i="7"/>
  <c r="BX118" i="7" s="1"/>
  <c r="BY138" i="7"/>
  <c r="BZ158" i="7"/>
  <c r="CA178" i="7"/>
  <c r="BT165" i="7" s="1"/>
  <c r="BU178" i="7"/>
  <c r="W28" i="7"/>
  <c r="CA78" i="7"/>
  <c r="BT65" i="7" s="1"/>
  <c r="BU78" i="7"/>
  <c r="BX78" i="7" s="1"/>
  <c r="CA98" i="7"/>
  <c r="BT85" i="7" s="1"/>
  <c r="CA118" i="7"/>
  <c r="BT105" i="7" s="1"/>
  <c r="BZ138" i="7"/>
  <c r="CA158" i="7"/>
  <c r="BT145" i="7" s="1"/>
  <c r="BU158" i="7"/>
  <c r="BU138" i="7"/>
  <c r="BY218" i="7"/>
  <c r="CA221" i="7"/>
  <c r="AZ224" i="7"/>
  <c r="CA138" i="7"/>
  <c r="BT125" i="7" s="1"/>
  <c r="BY198" i="7"/>
  <c r="BZ218" i="7"/>
  <c r="N28" i="7"/>
  <c r="BG78" i="7"/>
  <c r="BZ78" i="7"/>
  <c r="BG158" i="7"/>
  <c r="BY158" i="7"/>
  <c r="BH198" i="7"/>
  <c r="BQ198" i="7"/>
  <c r="BZ198" i="7"/>
  <c r="AT218" i="7"/>
  <c r="AW218" i="7" s="1"/>
  <c r="BI218" i="7"/>
  <c r="BB205" i="7" s="1"/>
  <c r="BP98" i="7"/>
  <c r="AT118" i="7"/>
  <c r="AW118" i="7" s="1"/>
  <c r="BC138" i="7"/>
  <c r="BR138" i="7"/>
  <c r="BK125" i="7" s="1"/>
  <c r="AY178" i="7"/>
  <c r="BY178" i="7"/>
  <c r="AZ218" i="7"/>
  <c r="AS205" i="7" s="1"/>
  <c r="BU218" i="7"/>
  <c r="BX218" i="7" s="1"/>
  <c r="BR222" i="7"/>
  <c r="BG118" i="7"/>
  <c r="AT138" i="7"/>
  <c r="BI138" i="7"/>
  <c r="BB125" i="7" s="1"/>
  <c r="BL198" i="7"/>
  <c r="BU198" i="7"/>
  <c r="BI223" i="7"/>
  <c r="AZ118" i="7"/>
  <c r="AS105" i="7" s="1"/>
  <c r="BP178" i="7"/>
  <c r="BZ178" i="7"/>
  <c r="AY198" i="7"/>
  <c r="BL218" i="7"/>
  <c r="BO218" i="7" s="1"/>
  <c r="CA218" i="7"/>
  <c r="BT205" i="7" s="1"/>
  <c r="BR198" i="7"/>
  <c r="BK185" i="7" s="1"/>
  <c r="CA198" i="7"/>
  <c r="BT185" i="7" s="1"/>
  <c r="BC218" i="7"/>
  <c r="BF218" i="7" s="1"/>
  <c r="BR218" i="7"/>
  <c r="BK205" i="7" s="1"/>
  <c r="BY78" i="7"/>
  <c r="BY118" i="7"/>
  <c r="Y29" i="8"/>
  <c r="M29" i="8" s="1"/>
  <c r="L29" i="8"/>
  <c r="K29" i="8"/>
  <c r="V29" i="8"/>
  <c r="W29" i="8"/>
  <c r="O29" i="8"/>
  <c r="AY78" i="8"/>
  <c r="BG78" i="8"/>
  <c r="BB78" i="8"/>
  <c r="CA78" i="8"/>
  <c r="BT65" i="8" s="1"/>
  <c r="BU78" i="8"/>
  <c r="BX78" i="8" s="1"/>
  <c r="AZ98" i="8"/>
  <c r="AS85" i="8" s="1"/>
  <c r="AT98" i="8"/>
  <c r="AW98" i="8" s="1"/>
  <c r="BH98" i="8"/>
  <c r="BP98" i="8"/>
  <c r="BK98" i="8"/>
  <c r="AY118" i="8"/>
  <c r="BG118" i="8"/>
  <c r="BB118" i="8"/>
  <c r="CA118" i="8"/>
  <c r="BT105" i="8" s="1"/>
  <c r="BU118" i="8"/>
  <c r="BX118" i="8" s="1"/>
  <c r="AZ78" i="8"/>
  <c r="AS65" i="8" s="1"/>
  <c r="AT78" i="8"/>
  <c r="AW78" i="8" s="1"/>
  <c r="BH78" i="8"/>
  <c r="BP78" i="8"/>
  <c r="BK78" i="8"/>
  <c r="BI98" i="8"/>
  <c r="BB85" i="8" s="1"/>
  <c r="BC98" i="8"/>
  <c r="BF98" i="8" s="1"/>
  <c r="BQ98" i="8"/>
  <c r="BY98" i="8"/>
  <c r="BT98" i="8"/>
  <c r="AZ118" i="8"/>
  <c r="AS105" i="8" s="1"/>
  <c r="AT118" i="8"/>
  <c r="AW118" i="8" s="1"/>
  <c r="BH118" i="8"/>
  <c r="BP118" i="8"/>
  <c r="BK118" i="8"/>
  <c r="AZ138" i="8"/>
  <c r="AS125" i="8" s="1"/>
  <c r="AT138" i="8"/>
  <c r="BI138" i="8"/>
  <c r="BB125" i="8" s="1"/>
  <c r="BI78" i="8"/>
  <c r="BB65" i="8" s="1"/>
  <c r="BR78" i="8"/>
  <c r="BK65" i="8" s="1"/>
  <c r="BL78" i="8"/>
  <c r="BO78" i="8" s="1"/>
  <c r="BY78" i="8"/>
  <c r="AX98" i="8"/>
  <c r="BT118" i="8"/>
  <c r="AX138" i="8"/>
  <c r="BG138" i="8"/>
  <c r="BP138" i="8"/>
  <c r="BY138" i="8"/>
  <c r="AZ178" i="8"/>
  <c r="AS165" i="8" s="1"/>
  <c r="AT178" i="8"/>
  <c r="BI178" i="8"/>
  <c r="BB165" i="8" s="1"/>
  <c r="BC178" i="8"/>
  <c r="BR178" i="8"/>
  <c r="BK165" i="8" s="1"/>
  <c r="BL178" i="8"/>
  <c r="CA178" i="8"/>
  <c r="BT165" i="8" s="1"/>
  <c r="BU178" i="8"/>
  <c r="AX78" i="8"/>
  <c r="BQ78" i="8"/>
  <c r="BZ78" i="8"/>
  <c r="AY98" i="8"/>
  <c r="BB98" i="8"/>
  <c r="BL98" i="8"/>
  <c r="BO98" i="8" s="1"/>
  <c r="AS118" i="8"/>
  <c r="BC118" i="8"/>
  <c r="BF118" i="8" s="1"/>
  <c r="AY138" i="8"/>
  <c r="BH138" i="8"/>
  <c r="BQ138" i="8"/>
  <c r="BZ138" i="8"/>
  <c r="AX158" i="8"/>
  <c r="BG158" i="8"/>
  <c r="BP158" i="8"/>
  <c r="BY158" i="8"/>
  <c r="N29" i="8"/>
  <c r="BC78" i="8"/>
  <c r="BF78" i="8" s="1"/>
  <c r="BG98" i="8"/>
  <c r="AX118" i="8"/>
  <c r="BY118" i="8"/>
  <c r="BL138" i="8"/>
  <c r="CA138" i="8"/>
  <c r="BT125" i="8" s="1"/>
  <c r="AZ158" i="8"/>
  <c r="AS145" i="8" s="1"/>
  <c r="AT158" i="8"/>
  <c r="BI158" i="8"/>
  <c r="BB145" i="8" s="1"/>
  <c r="BC158" i="8"/>
  <c r="BR158" i="8"/>
  <c r="BK145" i="8" s="1"/>
  <c r="BL158" i="8"/>
  <c r="CA158" i="8"/>
  <c r="BT145" i="8" s="1"/>
  <c r="BU158" i="8"/>
  <c r="AX178" i="8"/>
  <c r="BH178" i="8"/>
  <c r="AZ218" i="8"/>
  <c r="AS205" i="8" s="1"/>
  <c r="AT218" i="8"/>
  <c r="AW218" i="8" s="1"/>
  <c r="BI218" i="8"/>
  <c r="BB205" i="8" s="1"/>
  <c r="BC218" i="8"/>
  <c r="BF218" i="8" s="1"/>
  <c r="BR218" i="8"/>
  <c r="BK205" i="8" s="1"/>
  <c r="BL218" i="8"/>
  <c r="BO218" i="8" s="1"/>
  <c r="CA218" i="8"/>
  <c r="BT205" i="8" s="1"/>
  <c r="BU218" i="8"/>
  <c r="BX218" i="8" s="1"/>
  <c r="BI224" i="8"/>
  <c r="AS98" i="8"/>
  <c r="BU98" i="8"/>
  <c r="BX98" i="8" s="1"/>
  <c r="BL118" i="8"/>
  <c r="BO118" i="8" s="1"/>
  <c r="BZ118" i="8"/>
  <c r="BC138" i="8"/>
  <c r="BR138" i="8"/>
  <c r="BK125" i="8" s="1"/>
  <c r="AY158" i="8"/>
  <c r="BH158" i="8"/>
  <c r="BQ158" i="8"/>
  <c r="BZ158" i="8"/>
  <c r="AY178" i="8"/>
  <c r="BY178" i="8"/>
  <c r="AX198" i="8"/>
  <c r="BG198" i="8"/>
  <c r="BP198" i="8"/>
  <c r="BY198" i="8"/>
  <c r="AZ225" i="8"/>
  <c r="BT78" i="8"/>
  <c r="BR118" i="8"/>
  <c r="BK105" i="8" s="1"/>
  <c r="BP178" i="8"/>
  <c r="BG218" i="8"/>
  <c r="BQ218" i="8"/>
  <c r="BQ178" i="8"/>
  <c r="AZ198" i="8"/>
  <c r="AS185" i="8" s="1"/>
  <c r="AT198" i="8"/>
  <c r="BI198" i="8"/>
  <c r="BB185" i="8" s="1"/>
  <c r="BC198" i="8"/>
  <c r="BR198" i="8"/>
  <c r="BK185" i="8" s="1"/>
  <c r="BL198" i="8"/>
  <c r="CA198" i="8"/>
  <c r="BT185" i="8" s="1"/>
  <c r="BU198" i="8"/>
  <c r="AX218" i="8"/>
  <c r="BH218" i="8"/>
  <c r="BR98" i="8"/>
  <c r="BK85" i="8" s="1"/>
  <c r="CA98" i="8"/>
  <c r="BT85" i="8" s="1"/>
  <c r="AY198" i="8"/>
  <c r="BQ198" i="8"/>
  <c r="BZ218" i="8"/>
  <c r="CA222" i="8"/>
  <c r="AS78" i="8"/>
  <c r="BP218" i="8"/>
  <c r="BZ98" i="8"/>
  <c r="BI118" i="8"/>
  <c r="BB105" i="8" s="1"/>
  <c r="AY218" i="8"/>
  <c r="BY218" i="8"/>
  <c r="BU138" i="8"/>
  <c r="BZ178" i="8"/>
  <c r="BH198" i="8"/>
  <c r="BZ198" i="8"/>
  <c r="BG178" i="8"/>
  <c r="BR223" i="8"/>
  <c r="BQ118" i="8"/>
  <c r="BP198" i="7"/>
  <c r="AX158" i="7"/>
  <c r="BG218" i="7"/>
  <c r="AT198" i="7"/>
  <c r="AZ138" i="7"/>
  <c r="AS125" i="7" s="1"/>
  <c r="AZ98" i="7"/>
  <c r="AS85" i="7" s="1"/>
  <c r="AX198" i="7"/>
  <c r="BI158" i="7"/>
  <c r="BB145" i="7" s="1"/>
  <c r="BH138" i="7"/>
  <c r="BR78" i="7"/>
  <c r="BK65" i="7" s="1"/>
  <c r="BL178" i="7"/>
  <c r="AT178" i="7"/>
  <c r="AY158" i="7"/>
  <c r="BK118" i="7"/>
  <c r="BH98" i="7"/>
  <c r="AY78" i="7"/>
  <c r="AX118" i="7"/>
  <c r="AX98" i="7"/>
  <c r="BQ98" i="7"/>
  <c r="BP78" i="7"/>
  <c r="P26" i="7"/>
  <c r="Q26" i="7"/>
  <c r="BO178" i="6"/>
  <c r="B47" i="6"/>
  <c r="D48" i="6"/>
  <c r="D56" i="6"/>
  <c r="D50" i="6"/>
  <c r="D54" i="6"/>
  <c r="D57" i="6"/>
  <c r="D55" i="6"/>
  <c r="D58" i="6"/>
  <c r="D52" i="6"/>
  <c r="P25" i="4"/>
  <c r="Q25" i="4"/>
  <c r="Y28" i="6"/>
  <c r="M28" i="6" s="1"/>
  <c r="N28" i="6"/>
  <c r="W28" i="6"/>
  <c r="CA78" i="6"/>
  <c r="BT65" i="6" s="1"/>
  <c r="BU78" i="6"/>
  <c r="BX78" i="6" s="1"/>
  <c r="BY138" i="6"/>
  <c r="BZ158" i="6"/>
  <c r="CA178" i="6"/>
  <c r="BT165" i="6" s="1"/>
  <c r="BU178" i="6"/>
  <c r="BY218" i="6"/>
  <c r="CA221" i="6"/>
  <c r="AZ224" i="6"/>
  <c r="K28" i="6"/>
  <c r="O28" i="6"/>
  <c r="BY98" i="6"/>
  <c r="BT98" i="6"/>
  <c r="BY118" i="6"/>
  <c r="BT118" i="6"/>
  <c r="BZ138" i="6"/>
  <c r="CA158" i="6"/>
  <c r="BT145" i="6" s="1"/>
  <c r="BU158" i="6"/>
  <c r="BY198" i="6"/>
  <c r="BZ218" i="6"/>
  <c r="M19" i="6"/>
  <c r="L28" i="6"/>
  <c r="AX78" i="6"/>
  <c r="BQ78" i="6"/>
  <c r="BZ78" i="6"/>
  <c r="AY98" i="6"/>
  <c r="BB98" i="6"/>
  <c r="BL98" i="6"/>
  <c r="BO98" i="6" s="1"/>
  <c r="AY118" i="6"/>
  <c r="BB118" i="6"/>
  <c r="BL118" i="6"/>
  <c r="BO118" i="6" s="1"/>
  <c r="BC138" i="6"/>
  <c r="BR138" i="6"/>
  <c r="BK125" i="6" s="1"/>
  <c r="AY178" i="6"/>
  <c r="BY178" i="6"/>
  <c r="AZ198" i="6"/>
  <c r="AS185" i="6" s="1"/>
  <c r="AT198" i="6"/>
  <c r="BI198" i="6"/>
  <c r="BB185" i="6" s="1"/>
  <c r="BC198" i="6"/>
  <c r="BR198" i="6"/>
  <c r="BK185" i="6" s="1"/>
  <c r="BL198" i="6"/>
  <c r="CA198" i="6"/>
  <c r="BT185" i="6" s="1"/>
  <c r="BU198" i="6"/>
  <c r="BC218" i="6"/>
  <c r="BF218" i="6" s="1"/>
  <c r="BB208" i="6" s="1"/>
  <c r="BB211" i="6" s="1"/>
  <c r="BC202" i="6" s="1"/>
  <c r="BR218" i="6"/>
  <c r="BK205" i="6" s="1"/>
  <c r="BR222" i="6"/>
  <c r="BT78" i="6"/>
  <c r="AS98" i="6"/>
  <c r="BR98" i="6"/>
  <c r="BK85" i="6" s="1"/>
  <c r="CA98" i="6"/>
  <c r="BT85" i="6" s="1"/>
  <c r="BU98" i="6"/>
  <c r="BX98" i="6" s="1"/>
  <c r="AS118" i="6"/>
  <c r="BR118" i="6"/>
  <c r="BK105" i="6" s="1"/>
  <c r="CA118" i="6"/>
  <c r="BT105" i="6" s="1"/>
  <c r="BU118" i="6"/>
  <c r="BX118" i="6" s="1"/>
  <c r="AT138" i="6"/>
  <c r="BI138" i="6"/>
  <c r="BB125" i="6" s="1"/>
  <c r="BG158" i="6"/>
  <c r="BY158" i="6"/>
  <c r="BP178" i="6"/>
  <c r="BZ178" i="6"/>
  <c r="AY198" i="6"/>
  <c r="BH198" i="6"/>
  <c r="BQ198" i="6"/>
  <c r="BZ198" i="6"/>
  <c r="AT218" i="6"/>
  <c r="AW218" i="6" s="1"/>
  <c r="AS208" i="6" s="1"/>
  <c r="AS211" i="6" s="1"/>
  <c r="AT202" i="6" s="1"/>
  <c r="BI218" i="6"/>
  <c r="BB205" i="6" s="1"/>
  <c r="BI78" i="6"/>
  <c r="BB65" i="6" s="1"/>
  <c r="BR78" i="6"/>
  <c r="BK65" i="6" s="1"/>
  <c r="BL78" i="6"/>
  <c r="BO78" i="6" s="1"/>
  <c r="BY78" i="6"/>
  <c r="BG98" i="6"/>
  <c r="BZ98" i="6"/>
  <c r="BU138" i="6"/>
  <c r="BG178" i="6"/>
  <c r="AZ218" i="6"/>
  <c r="AS205" i="6" s="1"/>
  <c r="BQ178" i="6"/>
  <c r="BU218" i="6"/>
  <c r="BX218" i="6" s="1"/>
  <c r="BI223" i="6"/>
  <c r="BC78" i="6"/>
  <c r="BF78" i="6" s="1"/>
  <c r="AX118" i="6"/>
  <c r="BP158" i="6"/>
  <c r="BL218" i="6"/>
  <c r="BO218" i="6" s="1"/>
  <c r="AS78" i="6"/>
  <c r="BG118" i="6"/>
  <c r="BZ118" i="6"/>
  <c r="BL138" i="6"/>
  <c r="CA138" i="6"/>
  <c r="BT125" i="6" s="1"/>
  <c r="BH178" i="6"/>
  <c r="V28" i="6"/>
  <c r="AX98" i="6"/>
  <c r="AZ138" i="6"/>
  <c r="AS125" i="6" s="1"/>
  <c r="AX178" i="6"/>
  <c r="AX158" i="6"/>
  <c r="CA218" i="6"/>
  <c r="BT205" i="6" s="1"/>
  <c r="E48" i="1"/>
  <c r="F48" i="1"/>
  <c r="M61" i="1"/>
  <c r="K48" i="6"/>
  <c r="N61" i="6"/>
  <c r="L48" i="6"/>
  <c r="Y28" i="4"/>
  <c r="M28" i="4" s="1"/>
  <c r="L28" i="4"/>
  <c r="W28" i="4"/>
  <c r="K28" i="4"/>
  <c r="N28" i="4"/>
  <c r="AY78" i="4"/>
  <c r="AS98" i="4"/>
  <c r="AY98" i="4"/>
  <c r="BB118" i="4"/>
  <c r="BH118" i="4"/>
  <c r="AZ138" i="4"/>
  <c r="AS125" i="4" s="1"/>
  <c r="BC138" i="4"/>
  <c r="AZ158" i="4"/>
  <c r="AS145" i="4" s="1"/>
  <c r="BC158" i="4"/>
  <c r="AX178" i="4"/>
  <c r="BI178" i="4"/>
  <c r="BB165" i="4" s="1"/>
  <c r="AY198" i="4"/>
  <c r="BG198" i="4"/>
  <c r="AT218" i="4"/>
  <c r="AW218" i="4" s="1"/>
  <c r="CA78" i="4"/>
  <c r="BT65" i="4" s="1"/>
  <c r="BU78" i="4"/>
  <c r="BX78" i="4" s="1"/>
  <c r="CA98" i="4"/>
  <c r="BT85" i="4" s="1"/>
  <c r="BU98" i="4"/>
  <c r="BX98" i="4" s="1"/>
  <c r="BP118" i="4"/>
  <c r="BK118" i="4"/>
  <c r="BR138" i="4"/>
  <c r="BK125" i="4" s="1"/>
  <c r="BL138" i="4"/>
  <c r="CA138" i="4"/>
  <c r="BT125" i="4" s="1"/>
  <c r="BU138" i="4"/>
  <c r="BQ158" i="4"/>
  <c r="BZ158" i="4"/>
  <c r="BP178" i="4"/>
  <c r="BY178" i="4"/>
  <c r="BG78" i="4"/>
  <c r="BG98" i="4"/>
  <c r="AX118" i="4"/>
  <c r="BI118" i="4"/>
  <c r="BB105" i="4" s="1"/>
  <c r="BC118" i="4"/>
  <c r="BF118" i="4" s="1"/>
  <c r="AX138" i="4"/>
  <c r="BI138" i="4"/>
  <c r="BB125" i="4" s="1"/>
  <c r="AX158" i="4"/>
  <c r="BI158" i="4"/>
  <c r="BB145" i="4" s="1"/>
  <c r="AY178" i="4"/>
  <c r="BG178" i="4"/>
  <c r="AT198" i="4"/>
  <c r="BH198" i="4"/>
  <c r="AZ218" i="4"/>
  <c r="AS205" i="4" s="1"/>
  <c r="BP78" i="4"/>
  <c r="BK78" i="4"/>
  <c r="BP98" i="4"/>
  <c r="BK98" i="4"/>
  <c r="BQ118" i="4"/>
  <c r="BY118" i="4"/>
  <c r="BT118" i="4"/>
  <c r="BR158" i="4"/>
  <c r="BK145" i="4" s="1"/>
  <c r="BL158" i="4"/>
  <c r="CA158" i="4"/>
  <c r="BT145" i="4" s="1"/>
  <c r="BU158" i="4"/>
  <c r="BQ178" i="4"/>
  <c r="BZ178" i="4"/>
  <c r="BP198" i="4"/>
  <c r="BY198" i="4"/>
  <c r="AS78" i="4"/>
  <c r="BI98" i="4"/>
  <c r="BB85" i="4" s="1"/>
  <c r="BC98" i="4"/>
  <c r="BF98" i="4" s="1"/>
  <c r="AS118" i="4"/>
  <c r="AT158" i="4"/>
  <c r="AY158" i="4"/>
  <c r="BG158" i="4"/>
  <c r="BC178" i="4"/>
  <c r="BH178" i="4"/>
  <c r="BI198" i="4"/>
  <c r="BB185" i="4" s="1"/>
  <c r="AX218" i="4"/>
  <c r="BR118" i="4"/>
  <c r="BK105" i="4" s="1"/>
  <c r="CA118" i="4"/>
  <c r="BT105" i="4" s="1"/>
  <c r="BU118" i="4"/>
  <c r="BX118" i="4" s="1"/>
  <c r="BR198" i="4"/>
  <c r="BK185" i="4" s="1"/>
  <c r="BL198" i="4"/>
  <c r="CA198" i="4"/>
  <c r="BT185" i="4" s="1"/>
  <c r="BU198" i="4"/>
  <c r="BR222" i="4"/>
  <c r="AX98" i="4"/>
  <c r="AY118" i="4"/>
  <c r="AZ198" i="4"/>
  <c r="AS185" i="4" s="1"/>
  <c r="BQ78" i="4"/>
  <c r="BQ98" i="4"/>
  <c r="BZ138" i="4"/>
  <c r="CA178" i="4"/>
  <c r="BT165" i="4" s="1"/>
  <c r="BH218" i="4"/>
  <c r="BZ218" i="4"/>
  <c r="O28" i="4"/>
  <c r="BT98" i="4"/>
  <c r="BP158" i="4"/>
  <c r="BR178" i="4"/>
  <c r="BK165" i="4" s="1"/>
  <c r="BI218" i="4"/>
  <c r="BB205" i="4" s="1"/>
  <c r="BR218" i="4"/>
  <c r="BK205" i="4" s="1"/>
  <c r="CA218" i="4"/>
  <c r="BT205" i="4" s="1"/>
  <c r="AZ78" i="4"/>
  <c r="AS65" i="4" s="1"/>
  <c r="AT78" i="4"/>
  <c r="AW78" i="4" s="1"/>
  <c r="BH98" i="4"/>
  <c r="AZ118" i="4"/>
  <c r="AS105" i="4" s="1"/>
  <c r="AT118" i="4"/>
  <c r="AW118" i="4" s="1"/>
  <c r="AT138" i="4"/>
  <c r="AY138" i="4"/>
  <c r="BG138" i="4"/>
  <c r="BH158" i="4"/>
  <c r="AT178" i="4"/>
  <c r="AY218" i="4"/>
  <c r="BR78" i="4"/>
  <c r="BK65" i="4" s="1"/>
  <c r="BL78" i="4"/>
  <c r="BO78" i="4" s="1"/>
  <c r="BY78" i="4"/>
  <c r="BR98" i="4"/>
  <c r="BK85" i="4" s="1"/>
  <c r="BL98" i="4"/>
  <c r="BO98" i="4" s="1"/>
  <c r="BY98" i="4"/>
  <c r="BZ118" i="4"/>
  <c r="BY138" i="4"/>
  <c r="BY158" i="4"/>
  <c r="BU178" i="4"/>
  <c r="BQ198" i="4"/>
  <c r="BZ198" i="4"/>
  <c r="BG218" i="4"/>
  <c r="BP218" i="4"/>
  <c r="BY218" i="4"/>
  <c r="CA221" i="4"/>
  <c r="AZ224" i="4"/>
  <c r="V28" i="4"/>
  <c r="BH138" i="4"/>
  <c r="AZ178" i="4"/>
  <c r="AS165" i="4" s="1"/>
  <c r="AX198" i="4"/>
  <c r="BZ78" i="4"/>
  <c r="BZ98" i="4"/>
  <c r="BP138" i="4"/>
  <c r="BL178" i="4"/>
  <c r="BQ218" i="4"/>
  <c r="BB98" i="4"/>
  <c r="BG118" i="4"/>
  <c r="BC198" i="4"/>
  <c r="BT78" i="4"/>
  <c r="BL118" i="4"/>
  <c r="BO118" i="4" s="1"/>
  <c r="BQ138" i="4"/>
  <c r="BC218" i="4"/>
  <c r="BF218" i="4" s="1"/>
  <c r="BL218" i="4"/>
  <c r="BO218" i="4" s="1"/>
  <c r="BU218" i="4"/>
  <c r="BX218" i="4" s="1"/>
  <c r="BI223" i="4"/>
  <c r="K56" i="6"/>
  <c r="N66" i="6"/>
  <c r="L56" i="6"/>
  <c r="K57" i="6"/>
  <c r="N67" i="6"/>
  <c r="L57" i="6"/>
  <c r="Y29" i="4"/>
  <c r="M29" i="4" s="1"/>
  <c r="L29" i="4"/>
  <c r="V29" i="4"/>
  <c r="K29" i="4"/>
  <c r="N29" i="4"/>
  <c r="BR223" i="4"/>
  <c r="AZ225" i="4"/>
  <c r="O29" i="4"/>
  <c r="W29" i="4"/>
  <c r="CA222" i="4"/>
  <c r="BI224" i="4"/>
  <c r="N64" i="4"/>
  <c r="L54" i="4"/>
  <c r="K54" i="4"/>
  <c r="P41" i="6"/>
  <c r="L65" i="6"/>
  <c r="Q41" i="6"/>
  <c r="P42" i="6"/>
  <c r="L66" i="6"/>
  <c r="Q42" i="6"/>
  <c r="BK162" i="1"/>
  <c r="BF198" i="7"/>
  <c r="K55" i="4"/>
  <c r="L55" i="4"/>
  <c r="N65" i="4"/>
  <c r="N62" i="1"/>
  <c r="K50" i="1"/>
  <c r="L50" i="1"/>
  <c r="O55" i="7"/>
  <c r="O23" i="5" s="1"/>
  <c r="O50" i="7"/>
  <c r="I23" i="5" s="1"/>
  <c r="P48" i="7"/>
  <c r="G23" i="5" s="1"/>
  <c r="O48" i="7"/>
  <c r="F23" i="5" s="1"/>
  <c r="Q48" i="7"/>
  <c r="H23" i="5" s="1"/>
  <c r="O52" i="7"/>
  <c r="L23" i="5" s="1"/>
  <c r="E34" i="7"/>
  <c r="F34" i="7"/>
  <c r="O56" i="7"/>
  <c r="P49" i="7"/>
  <c r="O57" i="7"/>
  <c r="J61" i="7"/>
  <c r="O54" i="7"/>
  <c r="Q50" i="4"/>
  <c r="K15" i="5" s="1"/>
  <c r="P50" i="4"/>
  <c r="J15" i="5" s="1"/>
  <c r="J62" i="4"/>
  <c r="E36" i="4"/>
  <c r="F36" i="4"/>
  <c r="P51" i="4"/>
  <c r="M33" i="8"/>
  <c r="O34" i="8"/>
  <c r="O38" i="8"/>
  <c r="O42" i="8"/>
  <c r="O36" i="8"/>
  <c r="O40" i="8"/>
  <c r="O41" i="8"/>
  <c r="O43" i="8"/>
  <c r="AY218" i="7"/>
  <c r="BP218" i="7"/>
  <c r="AT98" i="7"/>
  <c r="AW98" i="7" s="1"/>
  <c r="BC158" i="7"/>
  <c r="BB98" i="7"/>
  <c r="BI178" i="7"/>
  <c r="BB165" i="7" s="1"/>
  <c r="AX138" i="7"/>
  <c r="BB78" i="7"/>
  <c r="AS98" i="7"/>
  <c r="BI78" i="7"/>
  <c r="BB65" i="7" s="1"/>
  <c r="BK78" i="7"/>
  <c r="AZ78" i="7"/>
  <c r="AS65" i="7" s="1"/>
  <c r="L58" i="4"/>
  <c r="N68" i="4"/>
  <c r="K58" i="4"/>
  <c r="L56" i="4"/>
  <c r="N66" i="4"/>
  <c r="K56" i="4"/>
  <c r="Q50" i="7"/>
  <c r="K23" i="5" s="1"/>
  <c r="P50" i="7"/>
  <c r="J23" i="5" s="1"/>
  <c r="E36" i="7"/>
  <c r="J62" i="7"/>
  <c r="F36" i="7"/>
  <c r="P51" i="7"/>
  <c r="P52" i="4"/>
  <c r="M15" i="5" s="1"/>
  <c r="Q52" i="4"/>
  <c r="N15" i="5" s="1"/>
  <c r="E38" i="4"/>
  <c r="F38" i="4"/>
  <c r="J63" i="4"/>
  <c r="P53" i="4"/>
  <c r="BZ118" i="7"/>
  <c r="BT98" i="7"/>
  <c r="J43" i="8"/>
  <c r="O44" i="8"/>
  <c r="G33" i="8"/>
  <c r="J42" i="8"/>
  <c r="J41" i="8"/>
  <c r="J36" i="8"/>
  <c r="J40" i="8"/>
  <c r="J34" i="8"/>
  <c r="J38" i="8"/>
  <c r="J48" i="8"/>
  <c r="J52" i="8"/>
  <c r="J54" i="8"/>
  <c r="J55" i="8"/>
  <c r="J56" i="8"/>
  <c r="J57" i="8"/>
  <c r="G47" i="8"/>
  <c r="J58" i="8"/>
  <c r="J50" i="8"/>
  <c r="O40" i="7"/>
  <c r="O43" i="7"/>
  <c r="O34" i="7"/>
  <c r="O36" i="7"/>
  <c r="O42" i="7"/>
  <c r="O38" i="7"/>
  <c r="O41" i="7"/>
  <c r="M33" i="7"/>
  <c r="BQ218" i="7"/>
  <c r="BH178" i="7"/>
  <c r="BL138" i="7"/>
  <c r="AX218" i="7"/>
  <c r="AZ198" i="7"/>
  <c r="AS185" i="7" s="1"/>
  <c r="BP118" i="7"/>
  <c r="AX78" i="7"/>
  <c r="BL158" i="7"/>
  <c r="AT158" i="7"/>
  <c r="AY138" i="7"/>
  <c r="AS78" i="7"/>
  <c r="BR178" i="7"/>
  <c r="BK165" i="7" s="1"/>
  <c r="AZ178" i="7"/>
  <c r="AS165" i="7" s="1"/>
  <c r="BP138" i="7"/>
  <c r="BH118" i="7"/>
  <c r="AY98" i="7"/>
  <c r="BL118" i="7"/>
  <c r="BO118" i="7" s="1"/>
  <c r="BL98" i="7"/>
  <c r="BO98" i="7" s="1"/>
  <c r="BQ78" i="7"/>
  <c r="BQ118" i="7"/>
  <c r="BC98" i="7"/>
  <c r="BF98" i="7" s="1"/>
  <c r="BH78" i="7"/>
  <c r="J38" i="6"/>
  <c r="J41" i="6"/>
  <c r="J42" i="6"/>
  <c r="J40" i="6"/>
  <c r="J43" i="6"/>
  <c r="O44" i="6"/>
  <c r="J34" i="6"/>
  <c r="G33" i="6"/>
  <c r="J36" i="6"/>
  <c r="Q26" i="6"/>
  <c r="P26" i="6"/>
  <c r="M33" i="4"/>
  <c r="O36" i="4"/>
  <c r="O42" i="4"/>
  <c r="O40" i="4"/>
  <c r="O41" i="4"/>
  <c r="O43" i="4"/>
  <c r="O38" i="4"/>
  <c r="O34" i="4"/>
  <c r="L52" i="4"/>
  <c r="N63" i="4"/>
  <c r="K52" i="4"/>
  <c r="D55" i="4"/>
  <c r="D57" i="4"/>
  <c r="D56" i="4"/>
  <c r="D48" i="4"/>
  <c r="D54" i="4"/>
  <c r="D58" i="4"/>
  <c r="B47" i="4"/>
  <c r="D50" i="4"/>
  <c r="D52" i="4"/>
  <c r="F55" i="1"/>
  <c r="E55" i="1"/>
  <c r="M65" i="1"/>
  <c r="G47" i="7"/>
  <c r="J55" i="7"/>
  <c r="J58" i="7"/>
  <c r="J52" i="7"/>
  <c r="J56" i="7"/>
  <c r="J48" i="7"/>
  <c r="J54" i="7"/>
  <c r="J57" i="7"/>
  <c r="J50" i="7"/>
  <c r="N65" i="1"/>
  <c r="K55" i="1"/>
  <c r="L55" i="1"/>
  <c r="N68" i="6"/>
  <c r="K58" i="6"/>
  <c r="L58" i="6"/>
  <c r="K54" i="6"/>
  <c r="N64" i="6"/>
  <c r="L54" i="6"/>
  <c r="N62" i="4"/>
  <c r="K50" i="4"/>
  <c r="L50" i="4"/>
  <c r="J42" i="7"/>
  <c r="J40" i="7"/>
  <c r="J43" i="7"/>
  <c r="G33" i="7"/>
  <c r="J34" i="7"/>
  <c r="O44" i="7"/>
  <c r="J38" i="7"/>
  <c r="J36" i="7"/>
  <c r="J41" i="7"/>
  <c r="P38" i="6"/>
  <c r="Q38" i="6"/>
  <c r="L63" i="6"/>
  <c r="K58" i="1" l="1"/>
  <c r="N63" i="1"/>
  <c r="V24" i="1"/>
  <c r="AX78" i="1" s="1"/>
  <c r="L52" i="1"/>
  <c r="K24" i="1"/>
  <c r="S53" i="1" s="1"/>
  <c r="N24" i="1"/>
  <c r="L24" i="1"/>
  <c r="AZ220" i="1"/>
  <c r="AZ211" i="1" s="1"/>
  <c r="J44" i="1" s="1"/>
  <c r="Y24" i="1"/>
  <c r="M24" i="1" s="1"/>
  <c r="AT178" i="1" s="1"/>
  <c r="AW178" i="1" s="1"/>
  <c r="W24" i="1"/>
  <c r="AZ218" i="1" s="1"/>
  <c r="AS205" i="1" s="1"/>
  <c r="AZ178" i="1"/>
  <c r="AS165" i="1" s="1"/>
  <c r="AY218" i="1"/>
  <c r="AY98" i="1"/>
  <c r="N68" i="1"/>
  <c r="AY138" i="1"/>
  <c r="AT158" i="1"/>
  <c r="AW158" i="1" s="1"/>
  <c r="AY178" i="1"/>
  <c r="AY158" i="1"/>
  <c r="AY118" i="1"/>
  <c r="K54" i="1"/>
  <c r="L54" i="1"/>
  <c r="K56" i="1"/>
  <c r="BT122" i="1"/>
  <c r="CA122" i="1" s="1"/>
  <c r="CA125" i="1" s="1"/>
  <c r="BB102" i="1"/>
  <c r="BH102" i="1" s="1"/>
  <c r="BH105" i="1" s="1"/>
  <c r="BK122" i="1"/>
  <c r="BQ122" i="1" s="1"/>
  <c r="BQ125" i="1" s="1"/>
  <c r="BB82" i="1"/>
  <c r="BH82" i="1" s="1"/>
  <c r="BH85" i="1" s="1"/>
  <c r="BB62" i="1"/>
  <c r="BB162" i="1"/>
  <c r="BI162" i="1" s="1"/>
  <c r="BI165" i="1" s="1"/>
  <c r="BK182" i="1"/>
  <c r="BQ182" i="1" s="1"/>
  <c r="BQ185" i="1" s="1"/>
  <c r="BB142" i="1"/>
  <c r="P34" i="1"/>
  <c r="BK62" i="1"/>
  <c r="BR62" i="1" s="1"/>
  <c r="BR65" i="1" s="1"/>
  <c r="BT82" i="1"/>
  <c r="CA82" i="1" s="1"/>
  <c r="CA85" i="1" s="1"/>
  <c r="Q34" i="1"/>
  <c r="BK102" i="1"/>
  <c r="BQ102" i="1" s="1"/>
  <c r="BQ105" i="1" s="1"/>
  <c r="BT111" i="1"/>
  <c r="BU102" i="1" s="1"/>
  <c r="BZ105" i="1" s="1"/>
  <c r="AS68" i="7"/>
  <c r="AS71" i="7" s="1"/>
  <c r="AT62" i="7" s="1"/>
  <c r="BB88" i="6"/>
  <c r="BB82" i="6" s="1"/>
  <c r="BB88" i="7"/>
  <c r="BB91" i="7" s="1"/>
  <c r="BC82" i="7" s="1"/>
  <c r="BK208" i="4"/>
  <c r="BK211" i="4" s="1"/>
  <c r="BL202" i="4" s="1"/>
  <c r="BB68" i="8"/>
  <c r="BB71" i="8" s="1"/>
  <c r="BC62" i="8" s="1"/>
  <c r="BB68" i="4"/>
  <c r="BB71" i="4" s="1"/>
  <c r="BC62" i="4" s="1"/>
  <c r="BB208" i="4"/>
  <c r="BB211" i="4" s="1"/>
  <c r="BC202" i="4" s="1"/>
  <c r="BB108" i="6"/>
  <c r="BB102" i="6" s="1"/>
  <c r="BB182" i="1"/>
  <c r="BH182" i="1" s="1"/>
  <c r="BH185" i="1" s="1"/>
  <c r="BB122" i="1"/>
  <c r="BH122" i="1" s="1"/>
  <c r="BH125" i="1" s="1"/>
  <c r="BB68" i="7"/>
  <c r="BB71" i="7" s="1"/>
  <c r="BC62" i="7" s="1"/>
  <c r="BZ202" i="1"/>
  <c r="BZ205" i="1" s="1"/>
  <c r="BV202" i="1" s="1"/>
  <c r="BT191" i="1"/>
  <c r="BU182" i="1" s="1"/>
  <c r="BZ185" i="1" s="1"/>
  <c r="BK142" i="1"/>
  <c r="BR142" i="1" s="1"/>
  <c r="BR145" i="1" s="1"/>
  <c r="BB188" i="7"/>
  <c r="BB191" i="7" s="1"/>
  <c r="BC182" i="7" s="1"/>
  <c r="BT208" i="4"/>
  <c r="BT211" i="4" s="1"/>
  <c r="BU202" i="4" s="1"/>
  <c r="BB202" i="4"/>
  <c r="BH202" i="4" s="1"/>
  <c r="BH205" i="4" s="1"/>
  <c r="P41" i="1"/>
  <c r="L63" i="1"/>
  <c r="BK68" i="6"/>
  <c r="BK71" i="6" s="1"/>
  <c r="BL62" i="6" s="1"/>
  <c r="CA102" i="1"/>
  <c r="P44" i="1"/>
  <c r="BT142" i="1"/>
  <c r="Q38" i="1"/>
  <c r="L68" i="1"/>
  <c r="BK88" i="6"/>
  <c r="BK91" i="6" s="1"/>
  <c r="BL82" i="6" s="1"/>
  <c r="BT208" i="8"/>
  <c r="BT211" i="8" s="1"/>
  <c r="BU202" i="8" s="1"/>
  <c r="Q41" i="1"/>
  <c r="BT208" i="6"/>
  <c r="BT211" i="6" s="1"/>
  <c r="BU202" i="6" s="1"/>
  <c r="BK208" i="6"/>
  <c r="BK211" i="6" s="1"/>
  <c r="BL202" i="6" s="1"/>
  <c r="F43" i="4"/>
  <c r="P57" i="4"/>
  <c r="Q57" i="4"/>
  <c r="J67" i="4"/>
  <c r="E43" i="4"/>
  <c r="Q28" i="8"/>
  <c r="P28" i="8"/>
  <c r="BK88" i="4"/>
  <c r="BK82" i="4" s="1"/>
  <c r="BR82" i="4" s="1"/>
  <c r="BK108" i="6"/>
  <c r="BK111" i="6" s="1"/>
  <c r="BL102" i="6" s="1"/>
  <c r="AS68" i="6"/>
  <c r="AS62" i="6" s="1"/>
  <c r="AY62" i="6" s="1"/>
  <c r="BK68" i="7"/>
  <c r="BK71" i="7" s="1"/>
  <c r="BL62" i="7" s="1"/>
  <c r="BK108" i="8"/>
  <c r="BK111" i="8" s="1"/>
  <c r="BL102" i="8" s="1"/>
  <c r="BB208" i="8"/>
  <c r="BB211" i="8" s="1"/>
  <c r="BC202" i="8" s="1"/>
  <c r="BB108" i="7"/>
  <c r="BB111" i="7" s="1"/>
  <c r="BC102" i="7" s="1"/>
  <c r="BT88" i="7"/>
  <c r="BT82" i="7" s="1"/>
  <c r="Q36" i="1"/>
  <c r="J64" i="4"/>
  <c r="F40" i="4"/>
  <c r="P54" i="4"/>
  <c r="E40" i="4"/>
  <c r="Q54" i="4"/>
  <c r="BK211" i="1"/>
  <c r="BL202" i="1" s="1"/>
  <c r="BK202" i="1"/>
  <c r="AN138" i="4"/>
  <c r="AJ128" i="4" s="1"/>
  <c r="AJ131" i="4" s="1"/>
  <c r="AK122" i="4" s="1"/>
  <c r="AN118" i="4"/>
  <c r="AJ108" i="4" s="1"/>
  <c r="AJ111" i="4" s="1"/>
  <c r="AK102" i="4" s="1"/>
  <c r="AN178" i="4"/>
  <c r="AJ168" i="4" s="1"/>
  <c r="AJ171" i="4" s="1"/>
  <c r="AK162" i="4" s="1"/>
  <c r="AN78" i="4"/>
  <c r="AJ68" i="4" s="1"/>
  <c r="AJ71" i="4" s="1"/>
  <c r="AK62" i="4" s="1"/>
  <c r="AN98" i="4"/>
  <c r="AJ88" i="4" s="1"/>
  <c r="AN158" i="4"/>
  <c r="AJ148" i="4" s="1"/>
  <c r="AJ151" i="4" s="1"/>
  <c r="AK142" i="4" s="1"/>
  <c r="AN198" i="4"/>
  <c r="AJ188" i="4" s="1"/>
  <c r="AN218" i="4"/>
  <c r="AJ208" i="4" s="1"/>
  <c r="AJ211" i="4" s="1"/>
  <c r="AK202" i="4" s="1"/>
  <c r="Q40" i="1"/>
  <c r="L64" i="1"/>
  <c r="P40" i="1"/>
  <c r="BK68" i="8"/>
  <c r="BK71" i="8" s="1"/>
  <c r="BL62" i="8" s="1"/>
  <c r="CA182" i="1"/>
  <c r="BT108" i="4"/>
  <c r="BT111" i="4" s="1"/>
  <c r="BU102" i="4" s="1"/>
  <c r="BT68" i="6"/>
  <c r="BT71" i="6" s="1"/>
  <c r="BU62" i="6" s="1"/>
  <c r="BT171" i="1"/>
  <c r="BU162" i="1" s="1"/>
  <c r="BT162" i="1"/>
  <c r="BK91" i="1"/>
  <c r="BL82" i="1" s="1"/>
  <c r="BK82" i="1"/>
  <c r="AN138" i="7"/>
  <c r="AJ128" i="7" s="1"/>
  <c r="AN98" i="7"/>
  <c r="AJ88" i="7" s="1"/>
  <c r="AN218" i="7"/>
  <c r="AJ208" i="7" s="1"/>
  <c r="AN198" i="7"/>
  <c r="AJ188" i="7" s="1"/>
  <c r="AN178" i="7"/>
  <c r="AJ168" i="7" s="1"/>
  <c r="AN78" i="7"/>
  <c r="AJ68" i="7" s="1"/>
  <c r="AN158" i="7"/>
  <c r="AJ148" i="7" s="1"/>
  <c r="AN118" i="7"/>
  <c r="AJ108" i="7" s="1"/>
  <c r="BB202" i="6"/>
  <c r="BH202" i="6" s="1"/>
  <c r="BH205" i="6" s="1"/>
  <c r="AN78" i="6"/>
  <c r="AJ68" i="6" s="1"/>
  <c r="AN118" i="6"/>
  <c r="AJ108" i="6" s="1"/>
  <c r="AJ111" i="6" s="1"/>
  <c r="AK102" i="6" s="1"/>
  <c r="AN178" i="6"/>
  <c r="AJ168" i="6" s="1"/>
  <c r="AJ171" i="6" s="1"/>
  <c r="AK162" i="6" s="1"/>
  <c r="AN158" i="6"/>
  <c r="AJ148" i="6" s="1"/>
  <c r="AJ151" i="6" s="1"/>
  <c r="AK142" i="6" s="1"/>
  <c r="AN198" i="6"/>
  <c r="AJ188" i="6" s="1"/>
  <c r="AJ191" i="6" s="1"/>
  <c r="AK182" i="6" s="1"/>
  <c r="AN218" i="6"/>
  <c r="AJ208" i="6" s="1"/>
  <c r="AJ211" i="6" s="1"/>
  <c r="AK202" i="6" s="1"/>
  <c r="AN98" i="6"/>
  <c r="AJ88" i="6" s="1"/>
  <c r="AJ91" i="6" s="1"/>
  <c r="AK82" i="6" s="1"/>
  <c r="AN138" i="6"/>
  <c r="AJ128" i="6" s="1"/>
  <c r="AS168" i="6"/>
  <c r="AS171" i="6" s="1"/>
  <c r="AT162" i="6" s="1"/>
  <c r="AS68" i="4"/>
  <c r="AS71" i="4" s="1"/>
  <c r="AT62" i="4" s="1"/>
  <c r="AS108" i="6"/>
  <c r="AS111" i="6" s="1"/>
  <c r="AT102" i="6" s="1"/>
  <c r="L62" i="1"/>
  <c r="L66" i="1"/>
  <c r="P42" i="1"/>
  <c r="Q42" i="1"/>
  <c r="BT62" i="1"/>
  <c r="F44" i="4"/>
  <c r="J68" i="4"/>
  <c r="E44" i="4"/>
  <c r="AS88" i="7"/>
  <c r="AS91" i="7" s="1"/>
  <c r="AT82" i="7" s="1"/>
  <c r="BB202" i="1"/>
  <c r="BK88" i="7"/>
  <c r="BK91" i="7" s="1"/>
  <c r="BL82" i="7" s="1"/>
  <c r="BB68" i="6"/>
  <c r="BB71" i="6" s="1"/>
  <c r="BC62" i="6" s="1"/>
  <c r="BB91" i="6"/>
  <c r="BC82" i="6" s="1"/>
  <c r="Q56" i="4"/>
  <c r="P56" i="4"/>
  <c r="E42" i="4"/>
  <c r="F42" i="4"/>
  <c r="J66" i="4"/>
  <c r="AN178" i="8"/>
  <c r="AJ168" i="8" s="1"/>
  <c r="AN218" i="8"/>
  <c r="AJ208" i="8" s="1"/>
  <c r="AN138" i="8"/>
  <c r="AJ128" i="8" s="1"/>
  <c r="AN158" i="8"/>
  <c r="AJ148" i="8" s="1"/>
  <c r="AN198" i="8"/>
  <c r="AJ188" i="8" s="1"/>
  <c r="AN78" i="8"/>
  <c r="AJ68" i="8" s="1"/>
  <c r="AN98" i="8"/>
  <c r="AJ88" i="8" s="1"/>
  <c r="AN118" i="8"/>
  <c r="AJ108" i="8" s="1"/>
  <c r="Q43" i="1"/>
  <c r="L67" i="1"/>
  <c r="P43" i="1"/>
  <c r="L56" i="7"/>
  <c r="K56" i="7"/>
  <c r="N66" i="7"/>
  <c r="E52" i="4"/>
  <c r="M63" i="4"/>
  <c r="F52" i="4"/>
  <c r="E55" i="4"/>
  <c r="M65" i="4"/>
  <c r="F55" i="4"/>
  <c r="P34" i="4"/>
  <c r="Q34" i="4"/>
  <c r="L61" i="4"/>
  <c r="Q40" i="4"/>
  <c r="P40" i="4"/>
  <c r="L64" i="4"/>
  <c r="K36" i="6"/>
  <c r="L36" i="6"/>
  <c r="K62" i="6"/>
  <c r="K38" i="6"/>
  <c r="L38" i="6"/>
  <c r="K63" i="6"/>
  <c r="BO138" i="7"/>
  <c r="BK128" i="7" s="1"/>
  <c r="BK131" i="7" s="1"/>
  <c r="BL122" i="7" s="1"/>
  <c r="P36" i="7"/>
  <c r="Q36" i="7"/>
  <c r="L62" i="7"/>
  <c r="L34" i="8"/>
  <c r="K61" i="8"/>
  <c r="K34" i="8"/>
  <c r="L42" i="8"/>
  <c r="K66" i="8"/>
  <c r="K42" i="8"/>
  <c r="P43" i="8"/>
  <c r="Q43" i="8"/>
  <c r="L67" i="8"/>
  <c r="P42" i="8"/>
  <c r="Q42" i="8"/>
  <c r="L66" i="8"/>
  <c r="BX198" i="4"/>
  <c r="BT188" i="4" s="1"/>
  <c r="BT191" i="4" s="1"/>
  <c r="BU182" i="4" s="1"/>
  <c r="BF138" i="4"/>
  <c r="BB128" i="4" s="1"/>
  <c r="BB131" i="4" s="1"/>
  <c r="BC122" i="4" s="1"/>
  <c r="BX138" i="6"/>
  <c r="BT128" i="6" s="1"/>
  <c r="BT131" i="6" s="1"/>
  <c r="BU122" i="6" s="1"/>
  <c r="F58" i="6"/>
  <c r="E58" i="6"/>
  <c r="M68" i="6"/>
  <c r="BX198" i="8"/>
  <c r="BT188" i="8" s="1"/>
  <c r="BT191" i="8" s="1"/>
  <c r="BU182" i="8" s="1"/>
  <c r="BO158" i="8"/>
  <c r="BK148" i="8" s="1"/>
  <c r="BK151" i="8" s="1"/>
  <c r="BL142" i="8" s="1"/>
  <c r="AW138" i="8"/>
  <c r="AS128" i="8" s="1"/>
  <c r="AS131" i="8" s="1"/>
  <c r="AT122" i="8" s="1"/>
  <c r="P29" i="8"/>
  <c r="Q29" i="8"/>
  <c r="AS108" i="7"/>
  <c r="AS111" i="7" s="1"/>
  <c r="AT102" i="7" s="1"/>
  <c r="BT68" i="7"/>
  <c r="BT71" i="7" s="1"/>
  <c r="BU62" i="7" s="1"/>
  <c r="AO138" i="1"/>
  <c r="AO98" i="1"/>
  <c r="AO118" i="1"/>
  <c r="AO78" i="1"/>
  <c r="AO158" i="1"/>
  <c r="AO218" i="1"/>
  <c r="AO178" i="1"/>
  <c r="AO198" i="1"/>
  <c r="P57" i="8"/>
  <c r="E43" i="8"/>
  <c r="Q57" i="8"/>
  <c r="F43" i="8"/>
  <c r="J67" i="8"/>
  <c r="O52" i="8"/>
  <c r="L27" i="5" s="1"/>
  <c r="O50" i="8"/>
  <c r="I27" i="5" s="1"/>
  <c r="F34" i="8"/>
  <c r="P48" i="8"/>
  <c r="G27" i="5" s="1"/>
  <c r="Q48" i="8"/>
  <c r="H27" i="5" s="1"/>
  <c r="J61" i="8"/>
  <c r="O48" i="8"/>
  <c r="F27" i="5" s="1"/>
  <c r="O55" i="8"/>
  <c r="O27" i="5" s="1"/>
  <c r="E34" i="8"/>
  <c r="P49" i="8"/>
  <c r="O56" i="8"/>
  <c r="O57" i="8"/>
  <c r="O54" i="8"/>
  <c r="K36" i="4"/>
  <c r="L36" i="4"/>
  <c r="K62" i="4"/>
  <c r="F58" i="8"/>
  <c r="E58" i="8"/>
  <c r="M68" i="8"/>
  <c r="E56" i="7"/>
  <c r="F56" i="7"/>
  <c r="M66" i="7"/>
  <c r="E58" i="7"/>
  <c r="M68" i="7"/>
  <c r="F58" i="7"/>
  <c r="E50" i="7"/>
  <c r="F50" i="7"/>
  <c r="M62" i="7"/>
  <c r="K43" i="7"/>
  <c r="L43" i="7"/>
  <c r="K67" i="7"/>
  <c r="K57" i="7"/>
  <c r="L57" i="7"/>
  <c r="N67" i="7"/>
  <c r="N63" i="7"/>
  <c r="K52" i="7"/>
  <c r="L52" i="7"/>
  <c r="F50" i="4"/>
  <c r="E50" i="4"/>
  <c r="M62" i="4"/>
  <c r="E48" i="4"/>
  <c r="M61" i="4"/>
  <c r="F48" i="4"/>
  <c r="P38" i="4"/>
  <c r="Q38" i="4"/>
  <c r="L63" i="4"/>
  <c r="P42" i="4"/>
  <c r="L66" i="4"/>
  <c r="Q42" i="4"/>
  <c r="L40" i="6"/>
  <c r="K40" i="6"/>
  <c r="K64" i="6"/>
  <c r="K52" i="8"/>
  <c r="N63" i="8"/>
  <c r="L52" i="8"/>
  <c r="P29" i="4"/>
  <c r="Q29" i="4"/>
  <c r="BK108" i="4"/>
  <c r="BK111" i="4" s="1"/>
  <c r="BL102" i="4" s="1"/>
  <c r="Q28" i="4"/>
  <c r="P28" i="4"/>
  <c r="BT88" i="4"/>
  <c r="BT91" i="4" s="1"/>
  <c r="BU82" i="4" s="1"/>
  <c r="F55" i="6"/>
  <c r="M65" i="6"/>
  <c r="E55" i="6"/>
  <c r="E56" i="6"/>
  <c r="F56" i="6"/>
  <c r="M66" i="6"/>
  <c r="BT88" i="8"/>
  <c r="BT91" i="8" s="1"/>
  <c r="BU82" i="8" s="1"/>
  <c r="BF178" i="8"/>
  <c r="BB168" i="8" s="1"/>
  <c r="BB171" i="8" s="1"/>
  <c r="BC162" i="8" s="1"/>
  <c r="BT108" i="8"/>
  <c r="BT111" i="8" s="1"/>
  <c r="BU102" i="8" s="1"/>
  <c r="BO198" i="7"/>
  <c r="BK188" i="7" s="1"/>
  <c r="BK191" i="7" s="1"/>
  <c r="BL182" i="7" s="1"/>
  <c r="E40" i="8"/>
  <c r="F40" i="8"/>
  <c r="J64" i="8"/>
  <c r="P54" i="8"/>
  <c r="Q54" i="8"/>
  <c r="Q55" i="8"/>
  <c r="Q27" i="5" s="1"/>
  <c r="E41" i="8"/>
  <c r="F41" i="8"/>
  <c r="J65" i="8"/>
  <c r="P55" i="8"/>
  <c r="P27" i="5" s="1"/>
  <c r="Q44" i="4"/>
  <c r="L68" i="4"/>
  <c r="P44" i="4"/>
  <c r="K34" i="4"/>
  <c r="L34" i="4"/>
  <c r="K61" i="4"/>
  <c r="F56" i="8"/>
  <c r="E56" i="8"/>
  <c r="M66" i="8"/>
  <c r="F55" i="8"/>
  <c r="E55" i="8"/>
  <c r="M65" i="8"/>
  <c r="M65" i="7"/>
  <c r="E55" i="7"/>
  <c r="F55" i="7"/>
  <c r="Q44" i="7"/>
  <c r="L68" i="7"/>
  <c r="P44" i="7"/>
  <c r="K64" i="7"/>
  <c r="K40" i="7"/>
  <c r="L40" i="7"/>
  <c r="K54" i="7"/>
  <c r="N64" i="7"/>
  <c r="L54" i="7"/>
  <c r="K58" i="7"/>
  <c r="N68" i="7"/>
  <c r="L58" i="7"/>
  <c r="E56" i="4"/>
  <c r="M66" i="4"/>
  <c r="F56" i="4"/>
  <c r="P43" i="4"/>
  <c r="L67" i="4"/>
  <c r="Q43" i="4"/>
  <c r="Q36" i="4"/>
  <c r="P36" i="4"/>
  <c r="L62" i="4"/>
  <c r="K34" i="6"/>
  <c r="L34" i="6"/>
  <c r="K61" i="6"/>
  <c r="K66" i="6"/>
  <c r="K42" i="6"/>
  <c r="L42" i="6"/>
  <c r="BK108" i="7"/>
  <c r="AW158" i="7"/>
  <c r="AS148" i="7" s="1"/>
  <c r="Q38" i="7"/>
  <c r="P38" i="7"/>
  <c r="L63" i="7"/>
  <c r="L67" i="7"/>
  <c r="P43" i="7"/>
  <c r="Q43" i="7"/>
  <c r="K50" i="8"/>
  <c r="L50" i="8"/>
  <c r="N62" i="8"/>
  <c r="N66" i="8"/>
  <c r="K56" i="8"/>
  <c r="L56" i="8"/>
  <c r="K48" i="8"/>
  <c r="N61" i="8"/>
  <c r="L48" i="8"/>
  <c r="K36" i="8"/>
  <c r="L36" i="8"/>
  <c r="K62" i="8"/>
  <c r="P44" i="8"/>
  <c r="L68" i="8"/>
  <c r="Q44" i="8"/>
  <c r="P40" i="8"/>
  <c r="Q40" i="8"/>
  <c r="L64" i="8"/>
  <c r="P34" i="8"/>
  <c r="Q34" i="8"/>
  <c r="L61" i="8"/>
  <c r="AS148" i="6"/>
  <c r="BQ162" i="1"/>
  <c r="BQ165" i="1" s="1"/>
  <c r="BR162" i="1"/>
  <c r="BR165" i="1" s="1"/>
  <c r="BX178" i="4"/>
  <c r="BT168" i="4" s="1"/>
  <c r="BT171" i="4" s="1"/>
  <c r="BU162" i="4" s="1"/>
  <c r="BK68" i="4"/>
  <c r="BK71" i="4" s="1"/>
  <c r="BL62" i="4" s="1"/>
  <c r="AS108" i="4"/>
  <c r="AS111" i="4" s="1"/>
  <c r="AT102" i="4" s="1"/>
  <c r="AS88" i="4"/>
  <c r="BO198" i="4"/>
  <c r="BK188" i="4" s="1"/>
  <c r="BK191" i="4" s="1"/>
  <c r="BL182" i="4" s="1"/>
  <c r="BF178" i="4"/>
  <c r="BB168" i="4" s="1"/>
  <c r="BB171" i="4" s="1"/>
  <c r="BC162" i="4" s="1"/>
  <c r="BX158" i="4"/>
  <c r="BT148" i="4" s="1"/>
  <c r="BT151" i="4" s="1"/>
  <c r="BU142" i="4" s="1"/>
  <c r="BB108" i="4"/>
  <c r="BB111" i="4" s="1"/>
  <c r="BC102" i="4" s="1"/>
  <c r="BF158" i="4"/>
  <c r="BB148" i="4" s="1"/>
  <c r="BB151" i="4" s="1"/>
  <c r="BC142" i="4" s="1"/>
  <c r="AS202" i="6"/>
  <c r="AW138" i="6"/>
  <c r="AS128" i="6" s="1"/>
  <c r="AS131" i="6" s="1"/>
  <c r="AT122" i="6" s="1"/>
  <c r="BF138" i="6"/>
  <c r="BB128" i="6" s="1"/>
  <c r="BB131" i="6" s="1"/>
  <c r="BC122" i="6" s="1"/>
  <c r="E57" i="6"/>
  <c r="M67" i="6"/>
  <c r="F57" i="6"/>
  <c r="E48" i="6"/>
  <c r="F48" i="6"/>
  <c r="M61" i="6"/>
  <c r="BO178" i="7"/>
  <c r="BK168" i="7" s="1"/>
  <c r="BK171" i="7" s="1"/>
  <c r="BL162" i="7" s="1"/>
  <c r="BB168" i="6"/>
  <c r="BO198" i="8"/>
  <c r="BK188" i="8" s="1"/>
  <c r="BK191" i="8" s="1"/>
  <c r="BL182" i="8" s="1"/>
  <c r="AW198" i="8"/>
  <c r="AS188" i="8" s="1"/>
  <c r="AS191" i="8" s="1"/>
  <c r="AT182" i="8" s="1"/>
  <c r="BF138" i="8"/>
  <c r="BB128" i="8" s="1"/>
  <c r="BB131" i="8" s="1"/>
  <c r="BC122" i="8" s="1"/>
  <c r="BK208" i="8"/>
  <c r="BK211" i="8" s="1"/>
  <c r="BL202" i="8" s="1"/>
  <c r="AS208" i="8"/>
  <c r="AS211" i="8" s="1"/>
  <c r="AT202" i="8" s="1"/>
  <c r="BX158" i="8"/>
  <c r="BT148" i="8" s="1"/>
  <c r="BT151" i="8" s="1"/>
  <c r="BU142" i="8" s="1"/>
  <c r="BF158" i="8"/>
  <c r="BB148" i="8" s="1"/>
  <c r="BB151" i="8" s="1"/>
  <c r="BC142" i="8" s="1"/>
  <c r="BB88" i="8"/>
  <c r="BB91" i="8" s="1"/>
  <c r="BC82" i="8" s="1"/>
  <c r="BB208" i="7"/>
  <c r="BB211" i="7" s="1"/>
  <c r="BC202" i="7" s="1"/>
  <c r="BK208" i="7"/>
  <c r="BK211" i="7" s="1"/>
  <c r="BL202" i="7" s="1"/>
  <c r="BT208" i="7"/>
  <c r="BT211" i="7" s="1"/>
  <c r="BU202" i="7" s="1"/>
  <c r="BX138" i="7"/>
  <c r="BT128" i="7" s="1"/>
  <c r="BT131" i="7" s="1"/>
  <c r="BU122" i="7" s="1"/>
  <c r="AK138" i="1"/>
  <c r="AK158" i="1"/>
  <c r="AK98" i="1"/>
  <c r="AK118" i="1"/>
  <c r="AK78" i="1"/>
  <c r="AK218" i="1"/>
  <c r="AK198" i="1"/>
  <c r="AK178" i="1"/>
  <c r="V18" i="1"/>
  <c r="Q23" i="1" s="1"/>
  <c r="AJ98" i="1" s="1"/>
  <c r="T18" i="1"/>
  <c r="O23" i="1" s="1"/>
  <c r="AJ78" i="1" s="1"/>
  <c r="S14" i="1"/>
  <c r="U18" i="1"/>
  <c r="P23" i="1" s="1"/>
  <c r="AJ118" i="1" s="1"/>
  <c r="F42" i="8"/>
  <c r="J66" i="8"/>
  <c r="P56" i="8"/>
  <c r="Q56" i="8"/>
  <c r="E42" i="8"/>
  <c r="F36" i="8"/>
  <c r="E36" i="8"/>
  <c r="P50" i="8"/>
  <c r="J27" i="5" s="1"/>
  <c r="Q50" i="8"/>
  <c r="K27" i="5" s="1"/>
  <c r="J62" i="8"/>
  <c r="P51" i="8"/>
  <c r="Q29" i="7"/>
  <c r="P29" i="7"/>
  <c r="BI82" i="1"/>
  <c r="BI85" i="1" s="1"/>
  <c r="K42" i="4"/>
  <c r="L42" i="4"/>
  <c r="K66" i="4"/>
  <c r="K41" i="4"/>
  <c r="K65" i="4"/>
  <c r="L41" i="4"/>
  <c r="F48" i="8"/>
  <c r="E48" i="8"/>
  <c r="M61" i="8"/>
  <c r="M63" i="8"/>
  <c r="E52" i="8"/>
  <c r="F52" i="8"/>
  <c r="F52" i="7"/>
  <c r="M63" i="7"/>
  <c r="E52" i="7"/>
  <c r="E57" i="7"/>
  <c r="M67" i="7"/>
  <c r="F57" i="7"/>
  <c r="L36" i="7"/>
  <c r="K62" i="7"/>
  <c r="K36" i="7"/>
  <c r="K50" i="7"/>
  <c r="N62" i="7"/>
  <c r="L50" i="7"/>
  <c r="F54" i="4"/>
  <c r="E54" i="4"/>
  <c r="M64" i="4"/>
  <c r="L43" i="6"/>
  <c r="K67" i="6"/>
  <c r="K43" i="6"/>
  <c r="K54" i="8"/>
  <c r="L54" i="8"/>
  <c r="N64" i="8"/>
  <c r="BO158" i="4"/>
  <c r="BK148" i="4" s="1"/>
  <c r="BK151" i="4" s="1"/>
  <c r="BL142" i="4" s="1"/>
  <c r="BX158" i="6"/>
  <c r="BT148" i="6" s="1"/>
  <c r="BT151" i="6" s="1"/>
  <c r="BU142" i="6" s="1"/>
  <c r="BX178" i="6"/>
  <c r="BT168" i="6" s="1"/>
  <c r="BT171" i="6" s="1"/>
  <c r="BU162" i="6" s="1"/>
  <c r="M62" i="6"/>
  <c r="E50" i="6"/>
  <c r="F50" i="6"/>
  <c r="BF198" i="8"/>
  <c r="BB188" i="8" s="1"/>
  <c r="BB191" i="8" s="1"/>
  <c r="BC182" i="8" s="1"/>
  <c r="AW158" i="8"/>
  <c r="AS148" i="8" s="1"/>
  <c r="AS151" i="8" s="1"/>
  <c r="AT142" i="8" s="1"/>
  <c r="BX198" i="7"/>
  <c r="BT188" i="7" s="1"/>
  <c r="BT191" i="7" s="1"/>
  <c r="BU182" i="7" s="1"/>
  <c r="AP98" i="1"/>
  <c r="AP118" i="1"/>
  <c r="AP138" i="1"/>
  <c r="AP78" i="1"/>
  <c r="AP158" i="1"/>
  <c r="AP198" i="1"/>
  <c r="AP218" i="1"/>
  <c r="AP178" i="1"/>
  <c r="K63" i="4"/>
  <c r="L38" i="4"/>
  <c r="K38" i="4"/>
  <c r="M67" i="8"/>
  <c r="E57" i="8"/>
  <c r="F57" i="8"/>
  <c r="K38" i="7"/>
  <c r="L38" i="7"/>
  <c r="K63" i="7"/>
  <c r="Q41" i="7"/>
  <c r="P41" i="7"/>
  <c r="L65" i="7"/>
  <c r="L61" i="7"/>
  <c r="P34" i="7"/>
  <c r="Q34" i="7"/>
  <c r="K57" i="8"/>
  <c r="L57" i="8"/>
  <c r="N67" i="8"/>
  <c r="L40" i="8"/>
  <c r="K64" i="8"/>
  <c r="K40" i="8"/>
  <c r="L65" i="8"/>
  <c r="P41" i="8"/>
  <c r="Q41" i="8"/>
  <c r="P38" i="8"/>
  <c r="Q38" i="8"/>
  <c r="L63" i="8"/>
  <c r="AW178" i="4"/>
  <c r="AS168" i="4" s="1"/>
  <c r="AS171" i="4" s="1"/>
  <c r="AT162" i="4" s="1"/>
  <c r="AW138" i="4"/>
  <c r="AS128" i="4" s="1"/>
  <c r="AS131" i="4" s="1"/>
  <c r="AT122" i="4" s="1"/>
  <c r="AW158" i="4"/>
  <c r="AS148" i="4" s="1"/>
  <c r="AS151" i="4" s="1"/>
  <c r="AT142" i="4" s="1"/>
  <c r="BO138" i="4"/>
  <c r="BK128" i="4" s="1"/>
  <c r="BK131" i="4" s="1"/>
  <c r="BL122" i="4" s="1"/>
  <c r="AS208" i="4"/>
  <c r="AS211" i="4" s="1"/>
  <c r="AT202" i="4" s="1"/>
  <c r="BO198" i="6"/>
  <c r="BK188" i="6" s="1"/>
  <c r="BK191" i="6" s="1"/>
  <c r="BL182" i="6" s="1"/>
  <c r="AW198" i="6"/>
  <c r="AS188" i="6" s="1"/>
  <c r="AS191" i="6" s="1"/>
  <c r="AT182" i="6" s="1"/>
  <c r="BK168" i="6"/>
  <c r="AW178" i="7"/>
  <c r="AS168" i="7" s="1"/>
  <c r="AS171" i="7" s="1"/>
  <c r="AT162" i="7" s="1"/>
  <c r="AW198" i="7"/>
  <c r="AS188" i="7" s="1"/>
  <c r="AS191" i="7" s="1"/>
  <c r="AT182" i="7" s="1"/>
  <c r="BX138" i="8"/>
  <c r="BT128" i="8" s="1"/>
  <c r="BT131" i="8" s="1"/>
  <c r="BU122" i="8" s="1"/>
  <c r="BB108" i="8"/>
  <c r="BB111" i="8" s="1"/>
  <c r="BC102" i="8" s="1"/>
  <c r="BX178" i="8"/>
  <c r="BT168" i="8" s="1"/>
  <c r="BT171" i="8" s="1"/>
  <c r="BU162" i="8" s="1"/>
  <c r="AS108" i="8"/>
  <c r="AS111" i="8" s="1"/>
  <c r="AT102" i="8" s="1"/>
  <c r="AS88" i="8"/>
  <c r="AS91" i="8" s="1"/>
  <c r="AT82" i="8" s="1"/>
  <c r="K41" i="7"/>
  <c r="L41" i="7"/>
  <c r="K65" i="7"/>
  <c r="L34" i="7"/>
  <c r="K61" i="7"/>
  <c r="K34" i="7"/>
  <c r="K66" i="7"/>
  <c r="K42" i="7"/>
  <c r="L42" i="7"/>
  <c r="L48" i="7"/>
  <c r="N61" i="7"/>
  <c r="K48" i="7"/>
  <c r="K55" i="7"/>
  <c r="N65" i="7"/>
  <c r="L55" i="7"/>
  <c r="E58" i="4"/>
  <c r="M68" i="4"/>
  <c r="F58" i="4"/>
  <c r="F57" i="4"/>
  <c r="E57" i="4"/>
  <c r="M67" i="4"/>
  <c r="Q41" i="4"/>
  <c r="L65" i="4"/>
  <c r="P41" i="4"/>
  <c r="P44" i="6"/>
  <c r="Q44" i="6"/>
  <c r="L68" i="6"/>
  <c r="K41" i="6"/>
  <c r="L41" i="6"/>
  <c r="K65" i="6"/>
  <c r="BO158" i="7"/>
  <c r="BK148" i="7" s="1"/>
  <c r="P42" i="7"/>
  <c r="Q42" i="7"/>
  <c r="L66" i="7"/>
  <c r="P40" i="7"/>
  <c r="Q40" i="7"/>
  <c r="L64" i="7"/>
  <c r="N68" i="8"/>
  <c r="L58" i="8"/>
  <c r="K58" i="8"/>
  <c r="K55" i="8"/>
  <c r="L55" i="8"/>
  <c r="N65" i="8"/>
  <c r="K38" i="8"/>
  <c r="L38" i="8"/>
  <c r="K63" i="8"/>
  <c r="L41" i="8"/>
  <c r="K65" i="8"/>
  <c r="K41" i="8"/>
  <c r="K43" i="8"/>
  <c r="L43" i="8"/>
  <c r="K67" i="8"/>
  <c r="BF158" i="7"/>
  <c r="BB148" i="7" s="1"/>
  <c r="BB151" i="7" s="1"/>
  <c r="BC142" i="7" s="1"/>
  <c r="Q36" i="8"/>
  <c r="L62" i="8"/>
  <c r="P36" i="8"/>
  <c r="BF198" i="4"/>
  <c r="BB188" i="4" s="1"/>
  <c r="BB191" i="4" s="1"/>
  <c r="BC182" i="4" s="1"/>
  <c r="BO178" i="4"/>
  <c r="BK168" i="4" s="1"/>
  <c r="BK171" i="4" s="1"/>
  <c r="BL162" i="4" s="1"/>
  <c r="BB88" i="4"/>
  <c r="BB91" i="4" s="1"/>
  <c r="BC82" i="4" s="1"/>
  <c r="AW198" i="4"/>
  <c r="AS188" i="4" s="1"/>
  <c r="AS191" i="4" s="1"/>
  <c r="AT182" i="4" s="1"/>
  <c r="BX138" i="4"/>
  <c r="BT128" i="4" s="1"/>
  <c r="BT131" i="4" s="1"/>
  <c r="BU122" i="4" s="1"/>
  <c r="BT68" i="4"/>
  <c r="BT71" i="4" s="1"/>
  <c r="BU62" i="4" s="1"/>
  <c r="AS88" i="6"/>
  <c r="BO138" i="6"/>
  <c r="BK128" i="6" s="1"/>
  <c r="BK131" i="6" s="1"/>
  <c r="BL122" i="6" s="1"/>
  <c r="BT108" i="6"/>
  <c r="BT111" i="6" s="1"/>
  <c r="BU102" i="6" s="1"/>
  <c r="BT88" i="6"/>
  <c r="BT91" i="6" s="1"/>
  <c r="BU82" i="6" s="1"/>
  <c r="BX198" i="6"/>
  <c r="BT188" i="6" s="1"/>
  <c r="BT191" i="6" s="1"/>
  <c r="BU182" i="6" s="1"/>
  <c r="BF198" i="6"/>
  <c r="BB188" i="6" s="1"/>
  <c r="BB191" i="6" s="1"/>
  <c r="BC182" i="6" s="1"/>
  <c r="AS71" i="6"/>
  <c r="AT62" i="6" s="1"/>
  <c r="P28" i="6"/>
  <c r="Q28" i="6"/>
  <c r="E52" i="6"/>
  <c r="M63" i="6"/>
  <c r="F52" i="6"/>
  <c r="M64" i="6"/>
  <c r="E54" i="6"/>
  <c r="F54" i="6"/>
  <c r="BB148" i="6"/>
  <c r="BO138" i="8"/>
  <c r="BK128" i="8" s="1"/>
  <c r="BK131" i="8" s="1"/>
  <c r="BL122" i="8" s="1"/>
  <c r="BK88" i="8"/>
  <c r="BK91" i="8" s="1"/>
  <c r="BL82" i="8" s="1"/>
  <c r="BO178" i="8"/>
  <c r="BK168" i="8" s="1"/>
  <c r="BK171" i="8" s="1"/>
  <c r="BL162" i="8" s="1"/>
  <c r="AW178" i="8"/>
  <c r="AS168" i="8" s="1"/>
  <c r="AS171" i="8" s="1"/>
  <c r="AT162" i="8" s="1"/>
  <c r="AS68" i="8"/>
  <c r="AS71" i="8" s="1"/>
  <c r="AT62" i="8" s="1"/>
  <c r="BT68" i="8"/>
  <c r="BT71" i="8" s="1"/>
  <c r="BU62" i="8" s="1"/>
  <c r="AW138" i="7"/>
  <c r="AS128" i="7" s="1"/>
  <c r="AS131" i="7" s="1"/>
  <c r="AT122" i="7" s="1"/>
  <c r="BF138" i="7"/>
  <c r="BB128" i="7" s="1"/>
  <c r="BB131" i="7" s="1"/>
  <c r="BC122" i="7" s="1"/>
  <c r="AS208" i="7"/>
  <c r="AS211" i="7" s="1"/>
  <c r="AT202" i="7" s="1"/>
  <c r="BX158" i="7"/>
  <c r="BT148" i="7" s="1"/>
  <c r="BT151" i="7" s="1"/>
  <c r="BU142" i="7" s="1"/>
  <c r="BX178" i="7"/>
  <c r="BT168" i="7" s="1"/>
  <c r="BT171" i="7" s="1"/>
  <c r="BU162" i="7" s="1"/>
  <c r="BT108" i="7"/>
  <c r="BT111" i="7" s="1"/>
  <c r="BU102" i="7" s="1"/>
  <c r="P28" i="7"/>
  <c r="Q28" i="7"/>
  <c r="AQ158" i="1"/>
  <c r="AJ145" i="1" s="1"/>
  <c r="AQ78" i="1"/>
  <c r="AJ65" i="1" s="1"/>
  <c r="AQ98" i="1"/>
  <c r="AJ85" i="1" s="1"/>
  <c r="AQ118" i="1"/>
  <c r="AJ105" i="1" s="1"/>
  <c r="AQ218" i="1"/>
  <c r="AJ205" i="1" s="1"/>
  <c r="AQ178" i="1"/>
  <c r="AJ165" i="1" s="1"/>
  <c r="AQ198" i="1"/>
  <c r="AJ185" i="1" s="1"/>
  <c r="AQ138" i="1"/>
  <c r="AJ125" i="1" s="1"/>
  <c r="J68" i="8"/>
  <c r="E44" i="8"/>
  <c r="F44" i="8"/>
  <c r="F38" i="8"/>
  <c r="E38" i="8"/>
  <c r="Q52" i="8"/>
  <c r="N27" i="5" s="1"/>
  <c r="J63" i="8"/>
  <c r="P52" i="8"/>
  <c r="M27" i="5" s="1"/>
  <c r="P53" i="8"/>
  <c r="BK148" i="6"/>
  <c r="BB168" i="7"/>
  <c r="BB171" i="7" s="1"/>
  <c r="BC162" i="7" s="1"/>
  <c r="K43" i="4"/>
  <c r="K67" i="4"/>
  <c r="L43" i="4"/>
  <c r="K64" i="4"/>
  <c r="L40" i="4"/>
  <c r="K40" i="4"/>
  <c r="F54" i="8"/>
  <c r="E54" i="8"/>
  <c r="M64" i="8"/>
  <c r="F50" i="8"/>
  <c r="E50" i="8"/>
  <c r="M62" i="8"/>
  <c r="E48" i="7"/>
  <c r="F48" i="7"/>
  <c r="M61" i="7"/>
  <c r="E54" i="7"/>
  <c r="F54" i="7"/>
  <c r="M64" i="7"/>
  <c r="AX218" i="1" l="1"/>
  <c r="AX158" i="1"/>
  <c r="K68" i="1"/>
  <c r="L44" i="1"/>
  <c r="K44" i="1"/>
  <c r="AT98" i="1"/>
  <c r="AW98" i="1" s="1"/>
  <c r="V20" i="1"/>
  <c r="Q24" i="1" s="1"/>
  <c r="AS98" i="1" s="1"/>
  <c r="T20" i="1"/>
  <c r="O24" i="1" s="1"/>
  <c r="AS78" i="1" s="1"/>
  <c r="U20" i="1"/>
  <c r="P24" i="1" s="1"/>
  <c r="AS118" i="1" s="1"/>
  <c r="AX138" i="1"/>
  <c r="AZ118" i="1"/>
  <c r="AS105" i="1" s="1"/>
  <c r="AZ158" i="1"/>
  <c r="AS145" i="1" s="1"/>
  <c r="AS148" i="1"/>
  <c r="AS151" i="1" s="1"/>
  <c r="AT142" i="1" s="1"/>
  <c r="AX118" i="1"/>
  <c r="BZ122" i="1"/>
  <c r="BZ125" i="1" s="1"/>
  <c r="BV122" i="1" s="1"/>
  <c r="BW122" i="1" s="1"/>
  <c r="S66" i="1"/>
  <c r="AX98" i="1"/>
  <c r="AT218" i="1"/>
  <c r="AW218" i="1" s="1"/>
  <c r="AT138" i="1"/>
  <c r="AW138" i="1" s="1"/>
  <c r="AT118" i="1"/>
  <c r="AW118" i="1" s="1"/>
  <c r="AS108" i="1" s="1"/>
  <c r="S40" i="1"/>
  <c r="AX198" i="1"/>
  <c r="AT198" i="1"/>
  <c r="AW198" i="1" s="1"/>
  <c r="AT78" i="1"/>
  <c r="AW78" i="1" s="1"/>
  <c r="AZ198" i="1"/>
  <c r="AS185" i="1" s="1"/>
  <c r="AZ98" i="1"/>
  <c r="AS85" i="1" s="1"/>
  <c r="AZ138" i="1"/>
  <c r="AS125" i="1" s="1"/>
  <c r="AX178" i="1"/>
  <c r="AS168" i="1" s="1"/>
  <c r="AS162" i="1" s="1"/>
  <c r="AY78" i="1"/>
  <c r="AY198" i="1"/>
  <c r="AZ78" i="1"/>
  <c r="AS65" i="1" s="1"/>
  <c r="BI182" i="1"/>
  <c r="BI185" i="1" s="1"/>
  <c r="BI102" i="1"/>
  <c r="BI105" i="1" s="1"/>
  <c r="BD102" i="1" s="1"/>
  <c r="BR122" i="1"/>
  <c r="BR125" i="1" s="1"/>
  <c r="BM122" i="1" s="1"/>
  <c r="BN122" i="1" s="1"/>
  <c r="BT202" i="8"/>
  <c r="AS142" i="4"/>
  <c r="AZ142" i="4" s="1"/>
  <c r="AZ145" i="4" s="1"/>
  <c r="BR182" i="1"/>
  <c r="BR185" i="1" s="1"/>
  <c r="BM182" i="1" s="1"/>
  <c r="BH162" i="1"/>
  <c r="BH165" i="1" s="1"/>
  <c r="BD162" i="1" s="1"/>
  <c r="BB62" i="4"/>
  <c r="BH62" i="4" s="1"/>
  <c r="BH65" i="4" s="1"/>
  <c r="BB62" i="7"/>
  <c r="AS62" i="7"/>
  <c r="CA105" i="1"/>
  <c r="BV102" i="1" s="1"/>
  <c r="BX102" i="1" s="1"/>
  <c r="BI62" i="1"/>
  <c r="BI65" i="1" s="1"/>
  <c r="BH62" i="1"/>
  <c r="BH65" i="1" s="1"/>
  <c r="BD62" i="1" s="1"/>
  <c r="BE62" i="1" s="1"/>
  <c r="BB111" i="6"/>
  <c r="BC102" i="6" s="1"/>
  <c r="BZ82" i="1"/>
  <c r="BZ85" i="1" s="1"/>
  <c r="BV82" i="1" s="1"/>
  <c r="BX82" i="1" s="1"/>
  <c r="BR102" i="1"/>
  <c r="BR105" i="1" s="1"/>
  <c r="BM102" i="1" s="1"/>
  <c r="BK62" i="6"/>
  <c r="BT62" i="6"/>
  <c r="CA62" i="6" s="1"/>
  <c r="CA65" i="6" s="1"/>
  <c r="BH142" i="1"/>
  <c r="BH145" i="1" s="1"/>
  <c r="BI142" i="1"/>
  <c r="BI145" i="1" s="1"/>
  <c r="BK62" i="8"/>
  <c r="BQ62" i="8" s="1"/>
  <c r="BQ65" i="8" s="1"/>
  <c r="BB82" i="7"/>
  <c r="BI82" i="7" s="1"/>
  <c r="BI85" i="7" s="1"/>
  <c r="BQ62" i="1"/>
  <c r="BQ65" i="1" s="1"/>
  <c r="BM62" i="1" s="1"/>
  <c r="BO62" i="1" s="1"/>
  <c r="BH82" i="6"/>
  <c r="BH85" i="6" s="1"/>
  <c r="BI82" i="6"/>
  <c r="BI85" i="6" s="1"/>
  <c r="BB62" i="8"/>
  <c r="BI62" i="8" s="1"/>
  <c r="BI65" i="8" s="1"/>
  <c r="BQ142" i="1"/>
  <c r="BQ145" i="1" s="1"/>
  <c r="BM142" i="1" s="1"/>
  <c r="BK202" i="4"/>
  <c r="BT82" i="4"/>
  <c r="BZ82" i="4" s="1"/>
  <c r="BZ85" i="4" s="1"/>
  <c r="AJ142" i="4"/>
  <c r="AP142" i="4" s="1"/>
  <c r="AP145" i="4" s="1"/>
  <c r="BI122" i="1"/>
  <c r="BI125" i="1" s="1"/>
  <c r="BD122" i="1" s="1"/>
  <c r="BB182" i="4"/>
  <c r="BH182" i="4" s="1"/>
  <c r="BH185" i="4" s="1"/>
  <c r="AS182" i="8"/>
  <c r="AZ182" i="8" s="1"/>
  <c r="AZ185" i="8" s="1"/>
  <c r="BI202" i="6"/>
  <c r="BI205" i="6" s="1"/>
  <c r="BD202" i="6" s="1"/>
  <c r="BF202" i="6" s="1"/>
  <c r="BT142" i="4"/>
  <c r="CA142" i="4" s="1"/>
  <c r="CA145" i="4" s="1"/>
  <c r="BK82" i="7"/>
  <c r="BQ82" i="7" s="1"/>
  <c r="BQ85" i="7" s="1"/>
  <c r="BB122" i="4"/>
  <c r="BI122" i="4" s="1"/>
  <c r="BI125" i="4" s="1"/>
  <c r="BB182" i="7"/>
  <c r="BH182" i="7" s="1"/>
  <c r="BH185" i="7" s="1"/>
  <c r="BB62" i="6"/>
  <c r="BH62" i="6" s="1"/>
  <c r="BH65" i="6" s="1"/>
  <c r="BB202" i="8"/>
  <c r="BH202" i="8" s="1"/>
  <c r="BH205" i="8" s="1"/>
  <c r="BK82" i="6"/>
  <c r="BB82" i="4"/>
  <c r="BH82" i="4" s="1"/>
  <c r="BH85" i="4" s="1"/>
  <c r="BT162" i="7"/>
  <c r="CA162" i="7" s="1"/>
  <c r="CA165" i="7" s="1"/>
  <c r="AJ102" i="4"/>
  <c r="AP102" i="4" s="1"/>
  <c r="AP105" i="4" s="1"/>
  <c r="AJ202" i="4"/>
  <c r="AQ202" i="4" s="1"/>
  <c r="AQ205" i="4" s="1"/>
  <c r="BM162" i="1"/>
  <c r="BN162" i="1" s="1"/>
  <c r="CA185" i="1"/>
  <c r="BV182" i="1" s="1"/>
  <c r="BX182" i="1" s="1"/>
  <c r="BT91" i="7"/>
  <c r="BU82" i="7" s="1"/>
  <c r="BX202" i="1"/>
  <c r="BW202" i="1"/>
  <c r="BB102" i="4"/>
  <c r="BH102" i="4" s="1"/>
  <c r="BH105" i="4" s="1"/>
  <c r="BB142" i="8"/>
  <c r="BI142" i="8" s="1"/>
  <c r="BI145" i="8" s="1"/>
  <c r="BT162" i="6"/>
  <c r="BZ162" i="6" s="1"/>
  <c r="BZ165" i="6" s="1"/>
  <c r="BK91" i="4"/>
  <c r="BL82" i="4" s="1"/>
  <c r="BR85" i="4" s="1"/>
  <c r="BB202" i="7"/>
  <c r="BI202" i="7" s="1"/>
  <c r="BI205" i="7" s="1"/>
  <c r="AJ82" i="6"/>
  <c r="AP82" i="6" s="1"/>
  <c r="AP85" i="6" s="1"/>
  <c r="AJ122" i="4"/>
  <c r="AQ122" i="4" s="1"/>
  <c r="AQ125" i="4" s="1"/>
  <c r="BK202" i="6"/>
  <c r="CA142" i="1"/>
  <c r="CA145" i="1" s="1"/>
  <c r="BZ142" i="1"/>
  <c r="BZ145" i="1" s="1"/>
  <c r="BK142" i="8"/>
  <c r="BQ142" i="8" s="1"/>
  <c r="BQ145" i="8" s="1"/>
  <c r="BI202" i="4"/>
  <c r="BI205" i="4" s="1"/>
  <c r="BD202" i="4" s="1"/>
  <c r="BT162" i="4"/>
  <c r="CA162" i="4" s="1"/>
  <c r="CA165" i="4" s="1"/>
  <c r="BT102" i="7"/>
  <c r="CA102" i="7" s="1"/>
  <c r="CA105" i="7" s="1"/>
  <c r="BB142" i="4"/>
  <c r="BH142" i="4" s="1"/>
  <c r="BH145" i="4" s="1"/>
  <c r="AS102" i="6"/>
  <c r="AZ102" i="6" s="1"/>
  <c r="AZ105" i="6" s="1"/>
  <c r="BK102" i="8"/>
  <c r="BK102" i="6"/>
  <c r="AS82" i="8"/>
  <c r="AY82" i="8" s="1"/>
  <c r="AY85" i="8" s="1"/>
  <c r="BB102" i="7"/>
  <c r="BI102" i="7" s="1"/>
  <c r="BI105" i="7" s="1"/>
  <c r="BT202" i="6"/>
  <c r="CA202" i="6" s="1"/>
  <c r="CA205" i="6" s="1"/>
  <c r="BT202" i="4"/>
  <c r="CA202" i="4" s="1"/>
  <c r="CA205" i="4" s="1"/>
  <c r="AS162" i="6"/>
  <c r="AZ162" i="6" s="1"/>
  <c r="AZ165" i="6" s="1"/>
  <c r="BB162" i="8"/>
  <c r="BH162" i="8" s="1"/>
  <c r="BH165" i="8" s="1"/>
  <c r="AJ102" i="6"/>
  <c r="AQ102" i="6" s="1"/>
  <c r="AQ105" i="6" s="1"/>
  <c r="AJ191" i="8"/>
  <c r="AK182" i="8" s="1"/>
  <c r="AJ182" i="8"/>
  <c r="CA62" i="1"/>
  <c r="CA65" i="1" s="1"/>
  <c r="BZ62" i="1"/>
  <c r="BZ65" i="1" s="1"/>
  <c r="BR82" i="1"/>
  <c r="BR85" i="1" s="1"/>
  <c r="BQ82" i="1"/>
  <c r="BQ85" i="1" s="1"/>
  <c r="BK62" i="7"/>
  <c r="BR62" i="7" s="1"/>
  <c r="BR65" i="7" s="1"/>
  <c r="BK62" i="4"/>
  <c r="BQ62" i="4" s="1"/>
  <c r="BQ65" i="4" s="1"/>
  <c r="BT82" i="6"/>
  <c r="BZ82" i="6" s="1"/>
  <c r="BZ85" i="6" s="1"/>
  <c r="AS62" i="4"/>
  <c r="AZ62" i="4" s="1"/>
  <c r="AZ65" i="4" s="1"/>
  <c r="AZ62" i="6"/>
  <c r="AZ65" i="6" s="1"/>
  <c r="AJ91" i="8"/>
  <c r="AK82" i="8" s="1"/>
  <c r="AJ82" i="8"/>
  <c r="AJ211" i="7"/>
  <c r="AK202" i="7" s="1"/>
  <c r="AJ202" i="7"/>
  <c r="AS122" i="4"/>
  <c r="AY122" i="4" s="1"/>
  <c r="AY125" i="4" s="1"/>
  <c r="AS122" i="7"/>
  <c r="AY122" i="7" s="1"/>
  <c r="AY125" i="7" s="1"/>
  <c r="AJ131" i="7"/>
  <c r="AK122" i="7" s="1"/>
  <c r="AJ122" i="7"/>
  <c r="AJ142" i="6"/>
  <c r="BD82" i="1"/>
  <c r="BE82" i="1" s="1"/>
  <c r="AS182" i="4"/>
  <c r="AZ182" i="4" s="1"/>
  <c r="AZ185" i="4" s="1"/>
  <c r="AJ131" i="8"/>
  <c r="AK122" i="8" s="1"/>
  <c r="AJ122" i="8"/>
  <c r="AJ151" i="7"/>
  <c r="AK142" i="7" s="1"/>
  <c r="AJ142" i="7"/>
  <c r="BB122" i="8"/>
  <c r="BI122" i="8" s="1"/>
  <c r="BI125" i="8" s="1"/>
  <c r="AS202" i="4"/>
  <c r="AZ202" i="4" s="1"/>
  <c r="AZ205" i="4" s="1"/>
  <c r="BQ82" i="4"/>
  <c r="AS122" i="6"/>
  <c r="AZ122" i="6" s="1"/>
  <c r="AZ125" i="6" s="1"/>
  <c r="AJ211" i="8"/>
  <c r="AK202" i="8" s="1"/>
  <c r="AJ202" i="8"/>
  <c r="AJ71" i="6"/>
  <c r="AK62" i="6" s="1"/>
  <c r="AJ62" i="6"/>
  <c r="AJ71" i="7"/>
  <c r="AK62" i="7" s="1"/>
  <c r="AJ62" i="7"/>
  <c r="CA162" i="1"/>
  <c r="CA165" i="1" s="1"/>
  <c r="BZ162" i="1"/>
  <c r="BZ165" i="1" s="1"/>
  <c r="AJ162" i="6"/>
  <c r="AJ91" i="7"/>
  <c r="AK82" i="7" s="1"/>
  <c r="AJ82" i="7"/>
  <c r="AJ142" i="8"/>
  <c r="AJ151" i="8"/>
  <c r="AK142" i="8" s="1"/>
  <c r="AJ102" i="7"/>
  <c r="AJ111" i="7"/>
  <c r="AK102" i="7" s="1"/>
  <c r="BT142" i="8"/>
  <c r="BZ142" i="8" s="1"/>
  <c r="BZ145" i="8" s="1"/>
  <c r="BT62" i="7"/>
  <c r="BZ62" i="7" s="1"/>
  <c r="BZ65" i="7" s="1"/>
  <c r="BT182" i="8"/>
  <c r="CA182" i="8" s="1"/>
  <c r="CA185" i="8" s="1"/>
  <c r="BK182" i="7"/>
  <c r="BQ182" i="7" s="1"/>
  <c r="BQ185" i="7" s="1"/>
  <c r="AS102" i="7"/>
  <c r="AY102" i="7" s="1"/>
  <c r="AY105" i="7" s="1"/>
  <c r="BB182" i="6"/>
  <c r="BI182" i="6" s="1"/>
  <c r="BI185" i="6" s="1"/>
  <c r="AJ62" i="4"/>
  <c r="AJ171" i="8"/>
  <c r="AK162" i="8" s="1"/>
  <c r="AJ162" i="8"/>
  <c r="AJ182" i="6"/>
  <c r="AJ131" i="6"/>
  <c r="AK122" i="6" s="1"/>
  <c r="AJ122" i="6"/>
  <c r="AJ171" i="7"/>
  <c r="AK162" i="7" s="1"/>
  <c r="AJ162" i="7"/>
  <c r="BR202" i="1"/>
  <c r="BR205" i="1" s="1"/>
  <c r="BQ202" i="1"/>
  <c r="BQ205" i="1" s="1"/>
  <c r="AJ202" i="6"/>
  <c r="AJ71" i="8"/>
  <c r="AK62" i="8" s="1"/>
  <c r="AJ62" i="8"/>
  <c r="BH202" i="1"/>
  <c r="BH205" i="1" s="1"/>
  <c r="BI202" i="1"/>
  <c r="BI205" i="1" s="1"/>
  <c r="AJ91" i="4"/>
  <c r="AK82" i="4" s="1"/>
  <c r="AJ82" i="4"/>
  <c r="BT102" i="4"/>
  <c r="BZ102" i="4" s="1"/>
  <c r="BZ105" i="4" s="1"/>
  <c r="AS82" i="7"/>
  <c r="AZ82" i="7" s="1"/>
  <c r="AZ85" i="7" s="1"/>
  <c r="AS102" i="4"/>
  <c r="AY102" i="4" s="1"/>
  <c r="AY105" i="4" s="1"/>
  <c r="O58" i="6"/>
  <c r="Q58" i="6" s="1"/>
  <c r="BT182" i="4"/>
  <c r="BZ182" i="4" s="1"/>
  <c r="BZ185" i="4" s="1"/>
  <c r="BT162" i="8"/>
  <c r="BZ162" i="8" s="1"/>
  <c r="BZ165" i="8" s="1"/>
  <c r="AS162" i="4"/>
  <c r="AY162" i="4" s="1"/>
  <c r="AY165" i="4" s="1"/>
  <c r="AJ111" i="8"/>
  <c r="AK102" i="8" s="1"/>
  <c r="AJ102" i="8"/>
  <c r="BD182" i="1"/>
  <c r="AJ191" i="7"/>
  <c r="AK182" i="7" s="1"/>
  <c r="AJ182" i="7"/>
  <c r="AJ182" i="4"/>
  <c r="AJ191" i="4"/>
  <c r="AK182" i="4" s="1"/>
  <c r="AJ162" i="4"/>
  <c r="CA82" i="7"/>
  <c r="BZ82" i="7"/>
  <c r="AY62" i="7"/>
  <c r="AY65" i="7" s="1"/>
  <c r="AZ62" i="7"/>
  <c r="AZ65" i="7" s="1"/>
  <c r="BB162" i="7"/>
  <c r="BI102" i="6"/>
  <c r="BH102" i="6"/>
  <c r="BT182" i="7"/>
  <c r="BB82" i="8"/>
  <c r="AS91" i="6"/>
  <c r="AT82" i="6" s="1"/>
  <c r="AS82" i="6"/>
  <c r="BK162" i="7"/>
  <c r="BK122" i="7"/>
  <c r="AZ202" i="6"/>
  <c r="AZ205" i="6" s="1"/>
  <c r="AY202" i="6"/>
  <c r="AY205" i="6" s="1"/>
  <c r="CA82" i="4"/>
  <c r="CA85" i="4" s="1"/>
  <c r="AS151" i="7"/>
  <c r="AT142" i="7" s="1"/>
  <c r="AS142" i="7"/>
  <c r="BB182" i="8"/>
  <c r="AY65" i="6"/>
  <c r="O58" i="8"/>
  <c r="AS202" i="7"/>
  <c r="AS202" i="8"/>
  <c r="BK202" i="7"/>
  <c r="BZ202" i="8"/>
  <c r="BZ205" i="8" s="1"/>
  <c r="CA202" i="8"/>
  <c r="CA205" i="8" s="1"/>
  <c r="BT142" i="6"/>
  <c r="BT142" i="7"/>
  <c r="AS62" i="8"/>
  <c r="BT82" i="8"/>
  <c r="BT122" i="4"/>
  <c r="AS182" i="6"/>
  <c r="BK122" i="4"/>
  <c r="AS91" i="4"/>
  <c r="AT82" i="4" s="1"/>
  <c r="AS82" i="4"/>
  <c r="AS162" i="7"/>
  <c r="O58" i="7"/>
  <c r="AS122" i="8"/>
  <c r="AS142" i="8"/>
  <c r="BK82" i="8"/>
  <c r="BT62" i="8"/>
  <c r="AS162" i="8"/>
  <c r="BT102" i="6"/>
  <c r="AY82" i="7"/>
  <c r="AY85" i="7" s="1"/>
  <c r="BK171" i="6"/>
  <c r="BL162" i="6" s="1"/>
  <c r="BK162" i="6"/>
  <c r="BK122" i="6"/>
  <c r="BB102" i="8"/>
  <c r="BK151" i="6"/>
  <c r="BL142" i="6" s="1"/>
  <c r="BK142" i="6"/>
  <c r="BK182" i="8"/>
  <c r="BT62" i="4"/>
  <c r="AS102" i="8"/>
  <c r="AS151" i="6"/>
  <c r="AT142" i="6" s="1"/>
  <c r="AS142" i="6"/>
  <c r="O58" i="4"/>
  <c r="BI62" i="7"/>
  <c r="BI65" i="7" s="1"/>
  <c r="BH62" i="7"/>
  <c r="BH65" i="7" s="1"/>
  <c r="BK202" i="8"/>
  <c r="BB151" i="6"/>
  <c r="BC142" i="6" s="1"/>
  <c r="BB142" i="6"/>
  <c r="BK182" i="4"/>
  <c r="BK151" i="7"/>
  <c r="BL142" i="7" s="1"/>
  <c r="BK142" i="7"/>
  <c r="BK122" i="8"/>
  <c r="BQ62" i="6"/>
  <c r="BQ65" i="6" s="1"/>
  <c r="BR62" i="6"/>
  <c r="BR65" i="6" s="1"/>
  <c r="BT182" i="6"/>
  <c r="AN98" i="1"/>
  <c r="AJ88" i="1" s="1"/>
  <c r="AJ91" i="1" s="1"/>
  <c r="AK82" i="1" s="1"/>
  <c r="AN138" i="1"/>
  <c r="AJ128" i="1" s="1"/>
  <c r="AJ131" i="1" s="1"/>
  <c r="AK122" i="1" s="1"/>
  <c r="AN158" i="1"/>
  <c r="AJ148" i="1" s="1"/>
  <c r="AJ151" i="1" s="1"/>
  <c r="AK142" i="1" s="1"/>
  <c r="AN78" i="1"/>
  <c r="AJ68" i="1" s="1"/>
  <c r="AJ71" i="1" s="1"/>
  <c r="AK62" i="1" s="1"/>
  <c r="AN118" i="1"/>
  <c r="AJ108" i="1" s="1"/>
  <c r="AJ111" i="1" s="1"/>
  <c r="AK102" i="1" s="1"/>
  <c r="AN218" i="1"/>
  <c r="AJ208" i="1" s="1"/>
  <c r="AJ211" i="1" s="1"/>
  <c r="AK202" i="1" s="1"/>
  <c r="AN178" i="1"/>
  <c r="AJ168" i="1" s="1"/>
  <c r="AJ171" i="1" s="1"/>
  <c r="AK162" i="1" s="1"/>
  <c r="AN198" i="1"/>
  <c r="AJ188" i="1" s="1"/>
  <c r="AJ191" i="1" s="1"/>
  <c r="AK182" i="1" s="1"/>
  <c r="BT122" i="7"/>
  <c r="BB122" i="7"/>
  <c r="BT102" i="8"/>
  <c r="BT122" i="8"/>
  <c r="BB171" i="6"/>
  <c r="BC162" i="6" s="1"/>
  <c r="BB162" i="6"/>
  <c r="BK182" i="6"/>
  <c r="BT122" i="6"/>
  <c r="BK102" i="4"/>
  <c r="BK162" i="4"/>
  <c r="AS182" i="7"/>
  <c r="BK111" i="7"/>
  <c r="BL102" i="7" s="1"/>
  <c r="BK102" i="7"/>
  <c r="BT202" i="7"/>
  <c r="BB142" i="7"/>
  <c r="BB122" i="6"/>
  <c r="BK142" i="4"/>
  <c r="BK162" i="8"/>
  <c r="BB162" i="4"/>
  <c r="AS111" i="1" l="1"/>
  <c r="AT102" i="1" s="1"/>
  <c r="AS142" i="1"/>
  <c r="AS208" i="1"/>
  <c r="AS211" i="1" s="1"/>
  <c r="AT202" i="1" s="1"/>
  <c r="AY142" i="4"/>
  <c r="AY145" i="4" s="1"/>
  <c r="BI142" i="4"/>
  <c r="BI145" i="4" s="1"/>
  <c r="AS88" i="1"/>
  <c r="AS171" i="1"/>
  <c r="AT162" i="1" s="1"/>
  <c r="AS68" i="1"/>
  <c r="AS71" i="1" s="1"/>
  <c r="AT62" i="1" s="1"/>
  <c r="AZ162" i="1"/>
  <c r="AY162" i="1"/>
  <c r="AY142" i="1"/>
  <c r="AY145" i="1" s="1"/>
  <c r="AZ142" i="1"/>
  <c r="AZ145" i="1" s="1"/>
  <c r="AS188" i="1"/>
  <c r="AS191" i="1" s="1"/>
  <c r="AT182" i="1" s="1"/>
  <c r="BX122" i="1"/>
  <c r="BY122" i="1" s="1"/>
  <c r="BV123" i="1" s="1"/>
  <c r="BW123" i="1" s="1"/>
  <c r="AS102" i="1"/>
  <c r="AS128" i="1"/>
  <c r="BO122" i="1"/>
  <c r="BH82" i="7"/>
  <c r="BH85" i="7" s="1"/>
  <c r="BF82" i="1"/>
  <c r="BG82" i="1" s="1"/>
  <c r="BD83" i="1" s="1"/>
  <c r="BE83" i="1" s="1"/>
  <c r="BV162" i="1"/>
  <c r="BX162" i="1" s="1"/>
  <c r="BH102" i="7"/>
  <c r="BH105" i="7" s="1"/>
  <c r="BD102" i="7" s="1"/>
  <c r="BF102" i="7" s="1"/>
  <c r="BZ162" i="7"/>
  <c r="BZ165" i="7" s="1"/>
  <c r="AQ102" i="4"/>
  <c r="AQ105" i="4" s="1"/>
  <c r="AL102" i="4" s="1"/>
  <c r="BI82" i="4"/>
  <c r="BI85" i="4" s="1"/>
  <c r="BD82" i="4" s="1"/>
  <c r="BF62" i="1"/>
  <c r="BG62" i="1" s="1"/>
  <c r="BD63" i="1" s="1"/>
  <c r="BE63" i="1" s="1"/>
  <c r="AZ82" i="8"/>
  <c r="AZ85" i="8" s="1"/>
  <c r="AU82" i="8" s="1"/>
  <c r="BI62" i="4"/>
  <c r="BI65" i="4" s="1"/>
  <c r="BD62" i="4" s="1"/>
  <c r="BF62" i="4" s="1"/>
  <c r="BZ85" i="7"/>
  <c r="BR82" i="7"/>
  <c r="BR85" i="7" s="1"/>
  <c r="BM82" i="7" s="1"/>
  <c r="BN82" i="7" s="1"/>
  <c r="BZ142" i="4"/>
  <c r="BZ145" i="4" s="1"/>
  <c r="BV142" i="4" s="1"/>
  <c r="AQ142" i="4"/>
  <c r="AQ145" i="4" s="1"/>
  <c r="AL142" i="4" s="1"/>
  <c r="BN62" i="1"/>
  <c r="BP62" i="1" s="1"/>
  <c r="BM63" i="1" s="1"/>
  <c r="BN63" i="1" s="1"/>
  <c r="BI102" i="4"/>
  <c r="BI105" i="4" s="1"/>
  <c r="BH105" i="6"/>
  <c r="BI105" i="6"/>
  <c r="BW82" i="1"/>
  <c r="BY82" i="1" s="1"/>
  <c r="BV83" i="1" s="1"/>
  <c r="BW83" i="1" s="1"/>
  <c r="BH122" i="4"/>
  <c r="BH125" i="4" s="1"/>
  <c r="BD122" i="4" s="1"/>
  <c r="BW102" i="1"/>
  <c r="BY102" i="1" s="1"/>
  <c r="BV103" i="1" s="1"/>
  <c r="BX103" i="1" s="1"/>
  <c r="BR62" i="8"/>
  <c r="BR65" i="8" s="1"/>
  <c r="BW182" i="1"/>
  <c r="BY182" i="1" s="1"/>
  <c r="BV183" i="1" s="1"/>
  <c r="BW183" i="1" s="1"/>
  <c r="AY162" i="6"/>
  <c r="AY165" i="6" s="1"/>
  <c r="AU162" i="6" s="1"/>
  <c r="BR62" i="4"/>
  <c r="BR65" i="4" s="1"/>
  <c r="BM62" i="4" s="1"/>
  <c r="BI182" i="4"/>
  <c r="BI185" i="4" s="1"/>
  <c r="BD182" i="4" s="1"/>
  <c r="BH62" i="8"/>
  <c r="BH65" i="8" s="1"/>
  <c r="BD62" i="8" s="1"/>
  <c r="BI202" i="8"/>
  <c r="BI205" i="8" s="1"/>
  <c r="BD202" i="8" s="1"/>
  <c r="BF202" i="8" s="1"/>
  <c r="BM82" i="1"/>
  <c r="BN82" i="1" s="1"/>
  <c r="BP122" i="1"/>
  <c r="BM123" i="1" s="1"/>
  <c r="BN123" i="1" s="1"/>
  <c r="CA142" i="8"/>
  <c r="CA145" i="8" s="1"/>
  <c r="BV142" i="8" s="1"/>
  <c r="BZ62" i="6"/>
  <c r="BZ65" i="6" s="1"/>
  <c r="BV62" i="6" s="1"/>
  <c r="BW62" i="6" s="1"/>
  <c r="BZ162" i="4"/>
  <c r="BZ165" i="4" s="1"/>
  <c r="BV162" i="4" s="1"/>
  <c r="CA85" i="7"/>
  <c r="BV82" i="7" s="1"/>
  <c r="BW82" i="7" s="1"/>
  <c r="BD142" i="1"/>
  <c r="AY182" i="4"/>
  <c r="AY185" i="4" s="1"/>
  <c r="AU182" i="4" s="1"/>
  <c r="BV62" i="1"/>
  <c r="BW62" i="1" s="1"/>
  <c r="BD82" i="6"/>
  <c r="BE82" i="6" s="1"/>
  <c r="BQ202" i="4"/>
  <c r="BQ205" i="4" s="1"/>
  <c r="BR202" i="4"/>
  <c r="BR205" i="4" s="1"/>
  <c r="AY182" i="8"/>
  <c r="AY185" i="8" s="1"/>
  <c r="AU182" i="8" s="1"/>
  <c r="BY202" i="1"/>
  <c r="BV203" i="1" s="1"/>
  <c r="BX203" i="1" s="1"/>
  <c r="BI182" i="7"/>
  <c r="BI185" i="7" s="1"/>
  <c r="BD182" i="7" s="1"/>
  <c r="BE182" i="7" s="1"/>
  <c r="AY122" i="6"/>
  <c r="AY125" i="6" s="1"/>
  <c r="AU122" i="6" s="1"/>
  <c r="CA182" i="4"/>
  <c r="CA185" i="4" s="1"/>
  <c r="BV182" i="4" s="1"/>
  <c r="BH202" i="7"/>
  <c r="BH205" i="7" s="1"/>
  <c r="BD202" i="7" s="1"/>
  <c r="BE202" i="7" s="1"/>
  <c r="BI62" i="6"/>
  <c r="BI65" i="6" s="1"/>
  <c r="BD62" i="6" s="1"/>
  <c r="BE122" i="1"/>
  <c r="BF122" i="1"/>
  <c r="BE202" i="6"/>
  <c r="BG202" i="6" s="1"/>
  <c r="BD203" i="6" s="1"/>
  <c r="BF203" i="6" s="1"/>
  <c r="BR142" i="8"/>
  <c r="BR145" i="8" s="1"/>
  <c r="BM142" i="8" s="1"/>
  <c r="BO142" i="8" s="1"/>
  <c r="BD142" i="4"/>
  <c r="BE142" i="4" s="1"/>
  <c r="BM202" i="1"/>
  <c r="BO202" i="1" s="1"/>
  <c r="AP102" i="6"/>
  <c r="AP105" i="6" s="1"/>
  <c r="AL102" i="6" s="1"/>
  <c r="BQ82" i="6"/>
  <c r="BQ85" i="6" s="1"/>
  <c r="BR82" i="6"/>
  <c r="BR85" i="6" s="1"/>
  <c r="AY202" i="4"/>
  <c r="AY205" i="4" s="1"/>
  <c r="AU202" i="4" s="1"/>
  <c r="BV202" i="8"/>
  <c r="BW202" i="8" s="1"/>
  <c r="CA82" i="6"/>
  <c r="CA85" i="6" s="1"/>
  <c r="BV82" i="6" s="1"/>
  <c r="P58" i="6"/>
  <c r="BI162" i="8"/>
  <c r="BI165" i="8" s="1"/>
  <c r="BD162" i="8" s="1"/>
  <c r="BH142" i="8"/>
  <c r="BH145" i="8" s="1"/>
  <c r="BD142" i="8" s="1"/>
  <c r="AJ142" i="1"/>
  <c r="AP142" i="1" s="1"/>
  <c r="AP145" i="1" s="1"/>
  <c r="BO162" i="1"/>
  <c r="BP162" i="1" s="1"/>
  <c r="BM163" i="1" s="1"/>
  <c r="BN163" i="1" s="1"/>
  <c r="AQ82" i="6"/>
  <c r="AQ85" i="6" s="1"/>
  <c r="AL82" i="6" s="1"/>
  <c r="CA62" i="7"/>
  <c r="CA65" i="7" s="1"/>
  <c r="BV62" i="7" s="1"/>
  <c r="BH182" i="6"/>
  <c r="BH185" i="6" s="1"/>
  <c r="BD182" i="6" s="1"/>
  <c r="BE182" i="6" s="1"/>
  <c r="AZ102" i="4"/>
  <c r="AZ105" i="4" s="1"/>
  <c r="AU102" i="4" s="1"/>
  <c r="BQ62" i="7"/>
  <c r="BQ65" i="7" s="1"/>
  <c r="BM62" i="7" s="1"/>
  <c r="BN62" i="7" s="1"/>
  <c r="AY62" i="4"/>
  <c r="AY65" i="4" s="1"/>
  <c r="AU62" i="4" s="1"/>
  <c r="AP202" i="4"/>
  <c r="AP205" i="4" s="1"/>
  <c r="AL202" i="4" s="1"/>
  <c r="AM202" i="4" s="1"/>
  <c r="AZ102" i="7"/>
  <c r="AZ105" i="7" s="1"/>
  <c r="AU102" i="7" s="1"/>
  <c r="AY102" i="6"/>
  <c r="AY105" i="6" s="1"/>
  <c r="AU102" i="6" s="1"/>
  <c r="BR102" i="8"/>
  <c r="BR105" i="8" s="1"/>
  <c r="BQ102" i="8"/>
  <c r="BQ105" i="8" s="1"/>
  <c r="BV142" i="1"/>
  <c r="AU62" i="7"/>
  <c r="AW62" i="7" s="1"/>
  <c r="BZ102" i="7"/>
  <c r="BZ105" i="7" s="1"/>
  <c r="BV102" i="7" s="1"/>
  <c r="BD62" i="7"/>
  <c r="BF62" i="7" s="1"/>
  <c r="BZ202" i="6"/>
  <c r="BZ205" i="6" s="1"/>
  <c r="BV202" i="6" s="1"/>
  <c r="CA162" i="6"/>
  <c r="CA165" i="6" s="1"/>
  <c r="BV162" i="6" s="1"/>
  <c r="BZ202" i="4"/>
  <c r="BZ205" i="4" s="1"/>
  <c r="BV202" i="4" s="1"/>
  <c r="BX202" i="4" s="1"/>
  <c r="AP122" i="4"/>
  <c r="AP125" i="4" s="1"/>
  <c r="AL122" i="4" s="1"/>
  <c r="BQ85" i="4"/>
  <c r="BM82" i="4" s="1"/>
  <c r="BN82" i="4" s="1"/>
  <c r="BQ202" i="6"/>
  <c r="BQ205" i="6" s="1"/>
  <c r="BR202" i="6"/>
  <c r="BR205" i="6" s="1"/>
  <c r="BV162" i="7"/>
  <c r="BW162" i="7" s="1"/>
  <c r="AZ162" i="4"/>
  <c r="AZ165" i="4" s="1"/>
  <c r="AU162" i="4" s="1"/>
  <c r="BQ102" i="6"/>
  <c r="BQ105" i="6" s="1"/>
  <c r="BR102" i="6"/>
  <c r="BR105" i="6" s="1"/>
  <c r="BE162" i="1"/>
  <c r="BF162" i="1"/>
  <c r="BR182" i="7"/>
  <c r="BR185" i="7" s="1"/>
  <c r="BM182" i="7" s="1"/>
  <c r="AJ62" i="1"/>
  <c r="AQ62" i="1" s="1"/>
  <c r="AQ65" i="1" s="1"/>
  <c r="BE182" i="1"/>
  <c r="BF182" i="1"/>
  <c r="AP62" i="8"/>
  <c r="AP65" i="8" s="1"/>
  <c r="AQ62" i="8"/>
  <c r="AQ65" i="8" s="1"/>
  <c r="AP62" i="6"/>
  <c r="AP65" i="6" s="1"/>
  <c r="AQ62" i="6"/>
  <c r="AQ65" i="6" s="1"/>
  <c r="AQ82" i="8"/>
  <c r="AQ85" i="8" s="1"/>
  <c r="AP82" i="8"/>
  <c r="AP85" i="8" s="1"/>
  <c r="AQ102" i="8"/>
  <c r="AQ105" i="8" s="1"/>
  <c r="AP102" i="8"/>
  <c r="AP105" i="8" s="1"/>
  <c r="AP142" i="6"/>
  <c r="AP145" i="6" s="1"/>
  <c r="AQ142" i="6"/>
  <c r="AQ145" i="6" s="1"/>
  <c r="AQ202" i="6"/>
  <c r="AQ205" i="6" s="1"/>
  <c r="AP202" i="6"/>
  <c r="AP205" i="6" s="1"/>
  <c r="AQ102" i="7"/>
  <c r="AQ105" i="7" s="1"/>
  <c r="AP102" i="7"/>
  <c r="AP105" i="7" s="1"/>
  <c r="AQ202" i="8"/>
  <c r="AQ205" i="8" s="1"/>
  <c r="AP202" i="8"/>
  <c r="AP205" i="8" s="1"/>
  <c r="AP142" i="7"/>
  <c r="AP145" i="7" s="1"/>
  <c r="AQ142" i="7"/>
  <c r="AQ145" i="7" s="1"/>
  <c r="AU142" i="4"/>
  <c r="AV142" i="4" s="1"/>
  <c r="AP182" i="7"/>
  <c r="AP185" i="7" s="1"/>
  <c r="AQ182" i="7"/>
  <c r="AQ185" i="7" s="1"/>
  <c r="AP82" i="4"/>
  <c r="AP85" i="4" s="1"/>
  <c r="AQ82" i="4"/>
  <c r="AQ85" i="4" s="1"/>
  <c r="AP162" i="8"/>
  <c r="AP165" i="8" s="1"/>
  <c r="AQ162" i="8"/>
  <c r="AQ165" i="8" s="1"/>
  <c r="AP142" i="8"/>
  <c r="AP145" i="8" s="1"/>
  <c r="AQ142" i="8"/>
  <c r="AQ145" i="8" s="1"/>
  <c r="BH122" i="8"/>
  <c r="BH125" i="8" s="1"/>
  <c r="BD122" i="8" s="1"/>
  <c r="AZ122" i="7"/>
  <c r="AZ125" i="7" s="1"/>
  <c r="AU122" i="7" s="1"/>
  <c r="AP162" i="7"/>
  <c r="AP165" i="7" s="1"/>
  <c r="AQ162" i="7"/>
  <c r="AQ165" i="7" s="1"/>
  <c r="BN142" i="1"/>
  <c r="BO142" i="1"/>
  <c r="AP122" i="8"/>
  <c r="AP125" i="8" s="1"/>
  <c r="AQ122" i="8"/>
  <c r="AQ125" i="8" s="1"/>
  <c r="AP122" i="7"/>
  <c r="AP125" i="7" s="1"/>
  <c r="AQ122" i="7"/>
  <c r="AQ125" i="7" s="1"/>
  <c r="AQ182" i="8"/>
  <c r="AQ185" i="8" s="1"/>
  <c r="AP182" i="8"/>
  <c r="AP185" i="8" s="1"/>
  <c r="BF102" i="1"/>
  <c r="BE102" i="1"/>
  <c r="AP182" i="4"/>
  <c r="AP185" i="4" s="1"/>
  <c r="AQ182" i="4"/>
  <c r="AQ185" i="4" s="1"/>
  <c r="AP182" i="6"/>
  <c r="AP185" i="6" s="1"/>
  <c r="AQ182" i="6"/>
  <c r="AQ185" i="6" s="1"/>
  <c r="CA162" i="8"/>
  <c r="CA165" i="8" s="1"/>
  <c r="BV162" i="8" s="1"/>
  <c r="BZ182" i="8"/>
  <c r="BZ185" i="8" s="1"/>
  <c r="BV182" i="8" s="1"/>
  <c r="AZ122" i="4"/>
  <c r="AZ125" i="4" s="1"/>
  <c r="AU122" i="4" s="1"/>
  <c r="AV122" i="4" s="1"/>
  <c r="CA102" i="4"/>
  <c r="CA105" i="4" s="1"/>
  <c r="BV102" i="4" s="1"/>
  <c r="AJ162" i="1"/>
  <c r="AQ162" i="1" s="1"/>
  <c r="AQ165" i="1" s="1"/>
  <c r="AQ62" i="4"/>
  <c r="AQ65" i="4" s="1"/>
  <c r="AP62" i="4"/>
  <c r="AP65" i="4" s="1"/>
  <c r="AP62" i="7"/>
  <c r="AP65" i="7" s="1"/>
  <c r="AQ62" i="7"/>
  <c r="AQ65" i="7" s="1"/>
  <c r="AQ202" i="7"/>
  <c r="AQ205" i="7" s="1"/>
  <c r="AP202" i="7"/>
  <c r="AP205" i="7" s="1"/>
  <c r="AJ182" i="1"/>
  <c r="AQ182" i="1" s="1"/>
  <c r="AQ185" i="1" s="1"/>
  <c r="AQ162" i="4"/>
  <c r="AQ165" i="4" s="1"/>
  <c r="AP162" i="4"/>
  <c r="AP165" i="4" s="1"/>
  <c r="AP162" i="6"/>
  <c r="AP165" i="6" s="1"/>
  <c r="AQ162" i="6"/>
  <c r="AQ165" i="6" s="1"/>
  <c r="BM62" i="8"/>
  <c r="BD202" i="1"/>
  <c r="AQ122" i="6"/>
  <c r="AQ125" i="6" s="1"/>
  <c r="AP122" i="6"/>
  <c r="AP125" i="6" s="1"/>
  <c r="AP82" i="7"/>
  <c r="AP85" i="7" s="1"/>
  <c r="AQ82" i="7"/>
  <c r="AQ85" i="7" s="1"/>
  <c r="AZ182" i="7"/>
  <c r="AZ185" i="7" s="1"/>
  <c r="AY182" i="7"/>
  <c r="AY185" i="7" s="1"/>
  <c r="BR162" i="4"/>
  <c r="BR165" i="4" s="1"/>
  <c r="BQ162" i="4"/>
  <c r="BQ165" i="4" s="1"/>
  <c r="BH162" i="6"/>
  <c r="BH165" i="6" s="1"/>
  <c r="BI162" i="6"/>
  <c r="BI165" i="6" s="1"/>
  <c r="CA122" i="7"/>
  <c r="CA125" i="7" s="1"/>
  <c r="BZ122" i="7"/>
  <c r="BZ125" i="7" s="1"/>
  <c r="BQ122" i="4"/>
  <c r="BQ125" i="4" s="1"/>
  <c r="BR122" i="4"/>
  <c r="BR125" i="4" s="1"/>
  <c r="BZ122" i="4"/>
  <c r="BZ125" i="4" s="1"/>
  <c r="CA122" i="4"/>
  <c r="CA125" i="4" s="1"/>
  <c r="AZ202" i="7"/>
  <c r="AZ205" i="7" s="1"/>
  <c r="AY202" i="7"/>
  <c r="AY205" i="7" s="1"/>
  <c r="CA182" i="7"/>
  <c r="CA185" i="7" s="1"/>
  <c r="BZ182" i="7"/>
  <c r="BZ185" i="7" s="1"/>
  <c r="BM62" i="6"/>
  <c r="BQ142" i="7"/>
  <c r="BQ145" i="7" s="1"/>
  <c r="BR142" i="7"/>
  <c r="BR145" i="7" s="1"/>
  <c r="BH142" i="6"/>
  <c r="BH145" i="6" s="1"/>
  <c r="BI142" i="6"/>
  <c r="BI145" i="6" s="1"/>
  <c r="BR122" i="6"/>
  <c r="BR125" i="6" s="1"/>
  <c r="BQ122" i="6"/>
  <c r="BQ125" i="6" s="1"/>
  <c r="BQ162" i="6"/>
  <c r="BQ165" i="6" s="1"/>
  <c r="BR162" i="6"/>
  <c r="BR165" i="6" s="1"/>
  <c r="AZ142" i="8"/>
  <c r="AZ145" i="8" s="1"/>
  <c r="AY142" i="8"/>
  <c r="AY145" i="8" s="1"/>
  <c r="BZ82" i="8"/>
  <c r="BZ85" i="8" s="1"/>
  <c r="CA82" i="8"/>
  <c r="CA85" i="8" s="1"/>
  <c r="BR202" i="7"/>
  <c r="BR205" i="7" s="1"/>
  <c r="BQ202" i="7"/>
  <c r="BQ205" i="7" s="1"/>
  <c r="BO182" i="1"/>
  <c r="BN182" i="1"/>
  <c r="AY82" i="6"/>
  <c r="AY85" i="6" s="1"/>
  <c r="AZ82" i="6"/>
  <c r="AZ85" i="6" s="1"/>
  <c r="BH142" i="7"/>
  <c r="BH145" i="7" s="1"/>
  <c r="BI142" i="7"/>
  <c r="BI145" i="7" s="1"/>
  <c r="BR102" i="7"/>
  <c r="BR105" i="7" s="1"/>
  <c r="BQ102" i="7"/>
  <c r="BQ105" i="7" s="1"/>
  <c r="CA122" i="6"/>
  <c r="CA125" i="6" s="1"/>
  <c r="BZ122" i="6"/>
  <c r="BZ125" i="6" s="1"/>
  <c r="CA122" i="8"/>
  <c r="CA125" i="8" s="1"/>
  <c r="BZ122" i="8"/>
  <c r="BZ125" i="8" s="1"/>
  <c r="AJ102" i="1"/>
  <c r="BE202" i="4"/>
  <c r="BF202" i="4"/>
  <c r="BR182" i="8"/>
  <c r="BR185" i="8" s="1"/>
  <c r="BQ182" i="8"/>
  <c r="BQ185" i="8" s="1"/>
  <c r="BN102" i="1"/>
  <c r="BO102" i="1"/>
  <c r="AU82" i="7"/>
  <c r="AY162" i="8"/>
  <c r="AY165" i="8" s="1"/>
  <c r="AZ162" i="8"/>
  <c r="AZ165" i="8" s="1"/>
  <c r="AY122" i="8"/>
  <c r="AY125" i="8" s="1"/>
  <c r="AZ122" i="8"/>
  <c r="AZ125" i="8" s="1"/>
  <c r="P58" i="7"/>
  <c r="Q58" i="7"/>
  <c r="BD82" i="7"/>
  <c r="AY82" i="4"/>
  <c r="AY85" i="4" s="1"/>
  <c r="AZ82" i="4"/>
  <c r="AZ85" i="4" s="1"/>
  <c r="AZ62" i="8"/>
  <c r="AZ65" i="8" s="1"/>
  <c r="AY62" i="8"/>
  <c r="AY65" i="8" s="1"/>
  <c r="AU62" i="8" s="1"/>
  <c r="BZ142" i="6"/>
  <c r="BZ145" i="6" s="1"/>
  <c r="CA142" i="6"/>
  <c r="CA145" i="6" s="1"/>
  <c r="AJ202" i="1"/>
  <c r="AU62" i="6"/>
  <c r="BI182" i="8"/>
  <c r="BI185" i="8" s="1"/>
  <c r="BH182" i="8"/>
  <c r="BH185" i="8" s="1"/>
  <c r="BV82" i="4"/>
  <c r="AU202" i="6"/>
  <c r="AJ82" i="1"/>
  <c r="BQ162" i="8"/>
  <c r="BQ165" i="8" s="1"/>
  <c r="BR162" i="8"/>
  <c r="BR165" i="8" s="1"/>
  <c r="BQ142" i="4"/>
  <c r="BQ145" i="4" s="1"/>
  <c r="BR142" i="4"/>
  <c r="BR145" i="4" s="1"/>
  <c r="BR82" i="8"/>
  <c r="BR85" i="8" s="1"/>
  <c r="BQ82" i="8"/>
  <c r="BQ85" i="8" s="1"/>
  <c r="BQ162" i="7"/>
  <c r="BQ165" i="7" s="1"/>
  <c r="BR162" i="7"/>
  <c r="BR165" i="7" s="1"/>
  <c r="BI122" i="6"/>
  <c r="BI125" i="6" s="1"/>
  <c r="BH122" i="6"/>
  <c r="BH125" i="6" s="1"/>
  <c r="CA202" i="7"/>
  <c r="CA205" i="7" s="1"/>
  <c r="BZ202" i="7"/>
  <c r="BZ205" i="7" s="1"/>
  <c r="BR102" i="4"/>
  <c r="BR105" i="4" s="1"/>
  <c r="BQ102" i="4"/>
  <c r="BQ105" i="4" s="1"/>
  <c r="BZ102" i="8"/>
  <c r="BZ105" i="8" s="1"/>
  <c r="CA102" i="8"/>
  <c r="CA105" i="8" s="1"/>
  <c r="CA182" i="6"/>
  <c r="CA185" i="6" s="1"/>
  <c r="BZ182" i="6"/>
  <c r="BZ185" i="6" s="1"/>
  <c r="BZ62" i="4"/>
  <c r="BZ65" i="4" s="1"/>
  <c r="CA62" i="4"/>
  <c r="CA65" i="4" s="1"/>
  <c r="BI102" i="8"/>
  <c r="BI105" i="8" s="1"/>
  <c r="BH102" i="8"/>
  <c r="BH105" i="8" s="1"/>
  <c r="BZ102" i="6"/>
  <c r="BZ105" i="6" s="1"/>
  <c r="CA102" i="6"/>
  <c r="CA105" i="6" s="1"/>
  <c r="AZ182" i="6"/>
  <c r="AZ185" i="6" s="1"/>
  <c r="AY182" i="6"/>
  <c r="AY185" i="6" s="1"/>
  <c r="BH162" i="4"/>
  <c r="BH165" i="4" s="1"/>
  <c r="BI162" i="4"/>
  <c r="BI165" i="4" s="1"/>
  <c r="BR182" i="6"/>
  <c r="BR185" i="6" s="1"/>
  <c r="BQ182" i="6"/>
  <c r="BQ185" i="6" s="1"/>
  <c r="BI122" i="7"/>
  <c r="BI125" i="7" s="1"/>
  <c r="BH122" i="7"/>
  <c r="BH125" i="7" s="1"/>
  <c r="BR122" i="8"/>
  <c r="BR125" i="8" s="1"/>
  <c r="BQ122" i="8"/>
  <c r="BQ125" i="8" s="1"/>
  <c r="BR182" i="4"/>
  <c r="BR185" i="4" s="1"/>
  <c r="BQ182" i="4"/>
  <c r="BQ185" i="4" s="1"/>
  <c r="BQ202" i="8"/>
  <c r="BQ205" i="8" s="1"/>
  <c r="BR202" i="8"/>
  <c r="BR205" i="8" s="1"/>
  <c r="AJ122" i="1"/>
  <c r="Q58" i="4"/>
  <c r="P58" i="4"/>
  <c r="AY142" i="6"/>
  <c r="AY145" i="6" s="1"/>
  <c r="AZ142" i="6"/>
  <c r="AZ145" i="6" s="1"/>
  <c r="AZ102" i="8"/>
  <c r="AZ105" i="8" s="1"/>
  <c r="AY102" i="8"/>
  <c r="AY105" i="8" s="1"/>
  <c r="BD102" i="4"/>
  <c r="BQ142" i="6"/>
  <c r="BQ145" i="6" s="1"/>
  <c r="BR142" i="6"/>
  <c r="BR145" i="6" s="1"/>
  <c r="BZ62" i="8"/>
  <c r="BZ65" i="8" s="1"/>
  <c r="CA62" i="8"/>
  <c r="CA65" i="8" s="1"/>
  <c r="AY162" i="7"/>
  <c r="AY165" i="7" s="1"/>
  <c r="AZ162" i="7"/>
  <c r="AZ165" i="7" s="1"/>
  <c r="BZ142" i="7"/>
  <c r="BZ145" i="7" s="1"/>
  <c r="CA142" i="7"/>
  <c r="CA145" i="7" s="1"/>
  <c r="AY202" i="8"/>
  <c r="AY205" i="8" s="1"/>
  <c r="AZ202" i="8"/>
  <c r="AZ205" i="8" s="1"/>
  <c r="Q58" i="8"/>
  <c r="P58" i="8"/>
  <c r="AY142" i="7"/>
  <c r="AY145" i="7" s="1"/>
  <c r="AZ142" i="7"/>
  <c r="AZ145" i="7" s="1"/>
  <c r="BR122" i="7"/>
  <c r="BR125" i="7" s="1"/>
  <c r="BQ122" i="7"/>
  <c r="BQ125" i="7" s="1"/>
  <c r="BI82" i="8"/>
  <c r="BI85" i="8" s="1"/>
  <c r="BH82" i="8"/>
  <c r="BH85" i="8" s="1"/>
  <c r="BH162" i="7"/>
  <c r="BH165" i="7" s="1"/>
  <c r="BI162" i="7"/>
  <c r="BI165" i="7" s="1"/>
  <c r="AS202" i="1" l="1"/>
  <c r="AY202" i="1" s="1"/>
  <c r="AY205" i="1" s="1"/>
  <c r="AY165" i="1"/>
  <c r="AS182" i="1"/>
  <c r="AZ182" i="1" s="1"/>
  <c r="AZ185" i="1" s="1"/>
  <c r="AZ165" i="1"/>
  <c r="AS91" i="1"/>
  <c r="AT82" i="1" s="1"/>
  <c r="AS82" i="1"/>
  <c r="AU142" i="1"/>
  <c r="AV142" i="1" s="1"/>
  <c r="AS62" i="1"/>
  <c r="AZ202" i="1"/>
  <c r="AZ205" i="1" s="1"/>
  <c r="AS131" i="1"/>
  <c r="AT122" i="1" s="1"/>
  <c r="AS122" i="1"/>
  <c r="AY182" i="1"/>
  <c r="AY185" i="1" s="1"/>
  <c r="AY102" i="1"/>
  <c r="AY105" i="1" s="1"/>
  <c r="AZ102" i="1"/>
  <c r="AZ105" i="1" s="1"/>
  <c r="BW162" i="1"/>
  <c r="BY162" i="1" s="1"/>
  <c r="BV163" i="1" s="1"/>
  <c r="BX163" i="1" s="1"/>
  <c r="BW203" i="1"/>
  <c r="BY203" i="1" s="1"/>
  <c r="BV204" i="1" s="1"/>
  <c r="BD102" i="6"/>
  <c r="BF182" i="6"/>
  <c r="BG182" i="6" s="1"/>
  <c r="BD183" i="6" s="1"/>
  <c r="BF183" i="6" s="1"/>
  <c r="BN202" i="1"/>
  <c r="BP202" i="1" s="1"/>
  <c r="BM203" i="1" s="1"/>
  <c r="BN203" i="1" s="1"/>
  <c r="BE62" i="7"/>
  <c r="BG62" i="7" s="1"/>
  <c r="BD63" i="7" s="1"/>
  <c r="BE63" i="7" s="1"/>
  <c r="BP102" i="1"/>
  <c r="BM103" i="1" s="1"/>
  <c r="BO103" i="1" s="1"/>
  <c r="BO123" i="1"/>
  <c r="BP123" i="1" s="1"/>
  <c r="BM124" i="1" s="1"/>
  <c r="BO124" i="1" s="1"/>
  <c r="BX162" i="6"/>
  <c r="BW162" i="6"/>
  <c r="BY162" i="6" s="1"/>
  <c r="BV163" i="6" s="1"/>
  <c r="BO62" i="4"/>
  <c r="BN62" i="4"/>
  <c r="BE62" i="4"/>
  <c r="BG62" i="4" s="1"/>
  <c r="BD63" i="4" s="1"/>
  <c r="AU182" i="7"/>
  <c r="AW182" i="7" s="1"/>
  <c r="BX202" i="8"/>
  <c r="BY202" i="8" s="1"/>
  <c r="BV203" i="8" s="1"/>
  <c r="BW203" i="8" s="1"/>
  <c r="AP62" i="1"/>
  <c r="AP65" i="1" s="1"/>
  <c r="AL62" i="1" s="1"/>
  <c r="BX162" i="7"/>
  <c r="BY162" i="7" s="1"/>
  <c r="BV163" i="7" s="1"/>
  <c r="BW163" i="7" s="1"/>
  <c r="BF82" i="6"/>
  <c r="BG82" i="6" s="1"/>
  <c r="BD83" i="6" s="1"/>
  <c r="BF83" i="6" s="1"/>
  <c r="BM122" i="8"/>
  <c r="BO122" i="8" s="1"/>
  <c r="BX62" i="1"/>
  <c r="BY62" i="1" s="1"/>
  <c r="BV63" i="1" s="1"/>
  <c r="AL182" i="8"/>
  <c r="AN182" i="8" s="1"/>
  <c r="BX82" i="7"/>
  <c r="BY82" i="7" s="1"/>
  <c r="BV83" i="7" s="1"/>
  <c r="BW83" i="7" s="1"/>
  <c r="BM182" i="6"/>
  <c r="BN182" i="6" s="1"/>
  <c r="BF142" i="4"/>
  <c r="BG142" i="4" s="1"/>
  <c r="BD143" i="4" s="1"/>
  <c r="BO82" i="1"/>
  <c r="BP82" i="1" s="1"/>
  <c r="BM83" i="1" s="1"/>
  <c r="BO83" i="1" s="1"/>
  <c r="BG122" i="1"/>
  <c r="BD123" i="1" s="1"/>
  <c r="BE142" i="1"/>
  <c r="BF142" i="1"/>
  <c r="BD182" i="8"/>
  <c r="BF182" i="8" s="1"/>
  <c r="AW102" i="6"/>
  <c r="AV102" i="6"/>
  <c r="AV182" i="4"/>
  <c r="AW182" i="4"/>
  <c r="AW102" i="4"/>
  <c r="AV102" i="4"/>
  <c r="BE62" i="6"/>
  <c r="BF62" i="6"/>
  <c r="BM202" i="4"/>
  <c r="BO82" i="7"/>
  <c r="BP82" i="7" s="1"/>
  <c r="BM83" i="7" s="1"/>
  <c r="BN83" i="7" s="1"/>
  <c r="BX62" i="6"/>
  <c r="BY62" i="6" s="1"/>
  <c r="BV63" i="6" s="1"/>
  <c r="BW63" i="6" s="1"/>
  <c r="BF202" i="7"/>
  <c r="BG202" i="7" s="1"/>
  <c r="BD203" i="7" s="1"/>
  <c r="BE203" i="7" s="1"/>
  <c r="AL62" i="4"/>
  <c r="AN62" i="4" s="1"/>
  <c r="AL102" i="7"/>
  <c r="AM102" i="7" s="1"/>
  <c r="AL82" i="8"/>
  <c r="BG162" i="1"/>
  <c r="BD163" i="1" s="1"/>
  <c r="BE163" i="1" s="1"/>
  <c r="BV182" i="6"/>
  <c r="BX182" i="6" s="1"/>
  <c r="BD122" i="6"/>
  <c r="BE122" i="6" s="1"/>
  <c r="BE203" i="6"/>
  <c r="BG203" i="6" s="1"/>
  <c r="BD204" i="6" s="1"/>
  <c r="BF204" i="6" s="1"/>
  <c r="AV62" i="7"/>
  <c r="AX62" i="7" s="1"/>
  <c r="AU63" i="7" s="1"/>
  <c r="BO63" i="1"/>
  <c r="BP63" i="1" s="1"/>
  <c r="BM64" i="1" s="1"/>
  <c r="BN64" i="1" s="1"/>
  <c r="AQ142" i="1"/>
  <c r="AQ145" i="1" s="1"/>
  <c r="AL142" i="1" s="1"/>
  <c r="BW103" i="1"/>
  <c r="BY103" i="1" s="1"/>
  <c r="BV104" i="1" s="1"/>
  <c r="BX104" i="1" s="1"/>
  <c r="BX123" i="1"/>
  <c r="BY123" i="1" s="1"/>
  <c r="BV124" i="1" s="1"/>
  <c r="AV62" i="4"/>
  <c r="AW62" i="4"/>
  <c r="BW202" i="6"/>
  <c r="BX202" i="6"/>
  <c r="BX83" i="1"/>
  <c r="BY83" i="1" s="1"/>
  <c r="BV84" i="1" s="1"/>
  <c r="BW84" i="1" s="1"/>
  <c r="AN102" i="4"/>
  <c r="AM102" i="4"/>
  <c r="BP182" i="1"/>
  <c r="BM183" i="1" s="1"/>
  <c r="BN183" i="1" s="1"/>
  <c r="BF63" i="1"/>
  <c r="BG63" i="1" s="1"/>
  <c r="BD64" i="1" s="1"/>
  <c r="BF64" i="1" s="1"/>
  <c r="BX183" i="1"/>
  <c r="BY183" i="1" s="1"/>
  <c r="BV184" i="1" s="1"/>
  <c r="BM82" i="8"/>
  <c r="BN82" i="8" s="1"/>
  <c r="BM102" i="7"/>
  <c r="BO102" i="7" s="1"/>
  <c r="AL202" i="7"/>
  <c r="AM202" i="7" s="1"/>
  <c r="BG102" i="1"/>
  <c r="BD103" i="1" s="1"/>
  <c r="BE103" i="1" s="1"/>
  <c r="AN202" i="4"/>
  <c r="AO202" i="4" s="1"/>
  <c r="AL203" i="4" s="1"/>
  <c r="AU182" i="6"/>
  <c r="AV182" i="6" s="1"/>
  <c r="BM82" i="6"/>
  <c r="AV102" i="7"/>
  <c r="AW102" i="7"/>
  <c r="AW142" i="4"/>
  <c r="AX142" i="4" s="1"/>
  <c r="AU143" i="4" s="1"/>
  <c r="BW202" i="4"/>
  <c r="BY202" i="4" s="1"/>
  <c r="BV203" i="4" s="1"/>
  <c r="BW203" i="4" s="1"/>
  <c r="BN142" i="8"/>
  <c r="BP142" i="8" s="1"/>
  <c r="BM143" i="8" s="1"/>
  <c r="BN143" i="8" s="1"/>
  <c r="BE202" i="8"/>
  <c r="BG202" i="8" s="1"/>
  <c r="BD203" i="8" s="1"/>
  <c r="AL162" i="4"/>
  <c r="AM162" i="4" s="1"/>
  <c r="BM102" i="8"/>
  <c r="AL82" i="7"/>
  <c r="AM82" i="7" s="1"/>
  <c r="AL182" i="4"/>
  <c r="AL142" i="6"/>
  <c r="AN142" i="6" s="1"/>
  <c r="BG202" i="4"/>
  <c r="BD203" i="4" s="1"/>
  <c r="BE203" i="4" s="1"/>
  <c r="AL122" i="8"/>
  <c r="AM122" i="8" s="1"/>
  <c r="BD162" i="4"/>
  <c r="BE162" i="4" s="1"/>
  <c r="BV122" i="4"/>
  <c r="BX122" i="4" s="1"/>
  <c r="BO62" i="7"/>
  <c r="BP62" i="7" s="1"/>
  <c r="BM63" i="7" s="1"/>
  <c r="BO63" i="7" s="1"/>
  <c r="BO163" i="1"/>
  <c r="BP163" i="1" s="1"/>
  <c r="BM164" i="1" s="1"/>
  <c r="BN164" i="1" s="1"/>
  <c r="BP142" i="1"/>
  <c r="BM143" i="1" s="1"/>
  <c r="BN143" i="1" s="1"/>
  <c r="AL142" i="8"/>
  <c r="BM102" i="6"/>
  <c r="AP162" i="1"/>
  <c r="AP165" i="1" s="1"/>
  <c r="AL162" i="1" s="1"/>
  <c r="AL162" i="8"/>
  <c r="AM162" i="8" s="1"/>
  <c r="BG182" i="1"/>
  <c r="BD183" i="1" s="1"/>
  <c r="BE183" i="1" s="1"/>
  <c r="BD102" i="8"/>
  <c r="BE102" i="8" s="1"/>
  <c r="BM162" i="7"/>
  <c r="BO162" i="7" s="1"/>
  <c r="BM182" i="8"/>
  <c r="BO182" i="8" s="1"/>
  <c r="AP182" i="1"/>
  <c r="AP185" i="1" s="1"/>
  <c r="AL182" i="1" s="1"/>
  <c r="AN182" i="1" s="1"/>
  <c r="BO82" i="4"/>
  <c r="BP82" i="4" s="1"/>
  <c r="BM83" i="4" s="1"/>
  <c r="BO83" i="4" s="1"/>
  <c r="AL202" i="8"/>
  <c r="AN202" i="8" s="1"/>
  <c r="AL202" i="6"/>
  <c r="AN202" i="6" s="1"/>
  <c r="BM202" i="6"/>
  <c r="AN122" i="4"/>
  <c r="AM122" i="4"/>
  <c r="BX142" i="1"/>
  <c r="BW142" i="1"/>
  <c r="BM142" i="6"/>
  <c r="BN142" i="6" s="1"/>
  <c r="BV62" i="4"/>
  <c r="BX62" i="4" s="1"/>
  <c r="AU162" i="8"/>
  <c r="AV162" i="8" s="1"/>
  <c r="BN62" i="8"/>
  <c r="BV142" i="6"/>
  <c r="BX142" i="6" s="1"/>
  <c r="BM142" i="7"/>
  <c r="BN142" i="7" s="1"/>
  <c r="BF122" i="8"/>
  <c r="AL122" i="6"/>
  <c r="AL102" i="8"/>
  <c r="BF202" i="1"/>
  <c r="BE202" i="1"/>
  <c r="BV142" i="7"/>
  <c r="BW142" i="7" s="1"/>
  <c r="AL82" i="4"/>
  <c r="AL182" i="6"/>
  <c r="BM102" i="4"/>
  <c r="BN102" i="4" s="1"/>
  <c r="BF182" i="7"/>
  <c r="BG182" i="7" s="1"/>
  <c r="BD183" i="7" s="1"/>
  <c r="BM162" i="8"/>
  <c r="BN162" i="8" s="1"/>
  <c r="AU82" i="4"/>
  <c r="AW82" i="4" s="1"/>
  <c r="BV122" i="8"/>
  <c r="BX122" i="8" s="1"/>
  <c r="BE102" i="7"/>
  <c r="BG102" i="7" s="1"/>
  <c r="BD103" i="7" s="1"/>
  <c r="BF103" i="7" s="1"/>
  <c r="BF83" i="1"/>
  <c r="BG83" i="1" s="1"/>
  <c r="BD84" i="1" s="1"/>
  <c r="AL122" i="7"/>
  <c r="AM82" i="6"/>
  <c r="AN82" i="6"/>
  <c r="AL182" i="7"/>
  <c r="AL62" i="6"/>
  <c r="AL62" i="7"/>
  <c r="AU82" i="6"/>
  <c r="AV82" i="6" s="1"/>
  <c r="AL162" i="6"/>
  <c r="AM102" i="6"/>
  <c r="AN102" i="6"/>
  <c r="BV102" i="8"/>
  <c r="BX102" i="8" s="1"/>
  <c r="BO62" i="8"/>
  <c r="AW122" i="4"/>
  <c r="AX122" i="4" s="1"/>
  <c r="AU123" i="4" s="1"/>
  <c r="BE122" i="8"/>
  <c r="AL142" i="7"/>
  <c r="AL162" i="7"/>
  <c r="AL62" i="8"/>
  <c r="AN142" i="4"/>
  <c r="AM142" i="4"/>
  <c r="AQ122" i="1"/>
  <c r="AQ125" i="1" s="1"/>
  <c r="AP122" i="1"/>
  <c r="AP125" i="1" s="1"/>
  <c r="AQ82" i="1"/>
  <c r="AQ85" i="1" s="1"/>
  <c r="AP82" i="1"/>
  <c r="AP85" i="1" s="1"/>
  <c r="BE122" i="4"/>
  <c r="BF122" i="4"/>
  <c r="AW62" i="8"/>
  <c r="AV62" i="8"/>
  <c r="BW162" i="8"/>
  <c r="BX162" i="8"/>
  <c r="AV162" i="6"/>
  <c r="AW162" i="6"/>
  <c r="BN62" i="6"/>
  <c r="BO62" i="6"/>
  <c r="BD162" i="7"/>
  <c r="BW142" i="8"/>
  <c r="BX142" i="8"/>
  <c r="BM142" i="4"/>
  <c r="AW162" i="4"/>
  <c r="AV162" i="4"/>
  <c r="BE82" i="4"/>
  <c r="BF82" i="4"/>
  <c r="BE82" i="7"/>
  <c r="BF82" i="7"/>
  <c r="AW122" i="6"/>
  <c r="AV122" i="6"/>
  <c r="AP102" i="1"/>
  <c r="AP105" i="1" s="1"/>
  <c r="AQ102" i="1"/>
  <c r="AQ105" i="1" s="1"/>
  <c r="BD82" i="8"/>
  <c r="AU142" i="7"/>
  <c r="AU202" i="8"/>
  <c r="BV62" i="8"/>
  <c r="BE142" i="8"/>
  <c r="BF142" i="8"/>
  <c r="BE102" i="4"/>
  <c r="BF102" i="4"/>
  <c r="AU102" i="8"/>
  <c r="BM202" i="8"/>
  <c r="BD122" i="7"/>
  <c r="BV102" i="6"/>
  <c r="BV202" i="7"/>
  <c r="BW82" i="6"/>
  <c r="BX82" i="6"/>
  <c r="AW202" i="6"/>
  <c r="AV202" i="6"/>
  <c r="BW102" i="4"/>
  <c r="BX102" i="4"/>
  <c r="BX162" i="4"/>
  <c r="BW162" i="4"/>
  <c r="BW142" i="4"/>
  <c r="BX142" i="4"/>
  <c r="BV122" i="6"/>
  <c r="BD142" i="7"/>
  <c r="BV82" i="8"/>
  <c r="AU142" i="8"/>
  <c r="BM162" i="6"/>
  <c r="BV182" i="7"/>
  <c r="AU202" i="7"/>
  <c r="BV122" i="7"/>
  <c r="BM162" i="4"/>
  <c r="BE62" i="8"/>
  <c r="BF62" i="8"/>
  <c r="AW82" i="8"/>
  <c r="AV82" i="8"/>
  <c r="AW62" i="6"/>
  <c r="AV62" i="6"/>
  <c r="AV82" i="7"/>
  <c r="AW82" i="7"/>
  <c r="BF102" i="6"/>
  <c r="BE102" i="6"/>
  <c r="AU162" i="7"/>
  <c r="AU142" i="6"/>
  <c r="AV182" i="8"/>
  <c r="AW182" i="8"/>
  <c r="AP202" i="1"/>
  <c r="AP205" i="1" s="1"/>
  <c r="AQ202" i="1"/>
  <c r="AQ205" i="1" s="1"/>
  <c r="AU122" i="8"/>
  <c r="BW182" i="4"/>
  <c r="BX182" i="4"/>
  <c r="BD142" i="6"/>
  <c r="BM122" i="4"/>
  <c r="BD162" i="6"/>
  <c r="BM122" i="7"/>
  <c r="AW122" i="7"/>
  <c r="AV122" i="7"/>
  <c r="AV202" i="4"/>
  <c r="AW202" i="4"/>
  <c r="BM182" i="4"/>
  <c r="BE162" i="8"/>
  <c r="BF162" i="8"/>
  <c r="BW102" i="7"/>
  <c r="BX102" i="7"/>
  <c r="BX82" i="4"/>
  <c r="BW82" i="4"/>
  <c r="BF182" i="4"/>
  <c r="BE182" i="4"/>
  <c r="BW182" i="8"/>
  <c r="BX182" i="8"/>
  <c r="BN182" i="7"/>
  <c r="BO182" i="7"/>
  <c r="BM202" i="7"/>
  <c r="BM122" i="6"/>
  <c r="BW62" i="7"/>
  <c r="BX62" i="7"/>
  <c r="AU162" i="1" l="1"/>
  <c r="AU202" i="1"/>
  <c r="AW202" i="1" s="1"/>
  <c r="AW142" i="1"/>
  <c r="AX142" i="1" s="1"/>
  <c r="AU143" i="1" s="1"/>
  <c r="BY162" i="4"/>
  <c r="BV163" i="4" s="1"/>
  <c r="AU102" i="1"/>
  <c r="AW102" i="1" s="1"/>
  <c r="AY62" i="1"/>
  <c r="AY65" i="1" s="1"/>
  <c r="AZ62" i="1"/>
  <c r="AZ65" i="1" s="1"/>
  <c r="AY82" i="1"/>
  <c r="AY85" i="1" s="1"/>
  <c r="AZ82" i="1"/>
  <c r="AZ85" i="1" s="1"/>
  <c r="AV102" i="1"/>
  <c r="BW163" i="1"/>
  <c r="AU182" i="1"/>
  <c r="AY122" i="1"/>
  <c r="AY125" i="1" s="1"/>
  <c r="AZ122" i="1"/>
  <c r="AZ125" i="1" s="1"/>
  <c r="BY163" i="1"/>
  <c r="BV164" i="1" s="1"/>
  <c r="BX164" i="1" s="1"/>
  <c r="BN83" i="1"/>
  <c r="BP83" i="1" s="1"/>
  <c r="BM84" i="1" s="1"/>
  <c r="BG202" i="1"/>
  <c r="BD203" i="1" s="1"/>
  <c r="BF203" i="1" s="1"/>
  <c r="AW82" i="6"/>
  <c r="AX102" i="6"/>
  <c r="AU103" i="6" s="1"/>
  <c r="AV182" i="7"/>
  <c r="AX182" i="7" s="1"/>
  <c r="AU183" i="7" s="1"/>
  <c r="AV183" i="7" s="1"/>
  <c r="BG62" i="6"/>
  <c r="BD63" i="6" s="1"/>
  <c r="BE63" i="6" s="1"/>
  <c r="BN124" i="1"/>
  <c r="BP124" i="1" s="1"/>
  <c r="BM125" i="1" s="1"/>
  <c r="BO125" i="1" s="1"/>
  <c r="AM202" i="8"/>
  <c r="AO202" i="8" s="1"/>
  <c r="AL203" i="8" s="1"/>
  <c r="AM203" i="8" s="1"/>
  <c r="BN103" i="1"/>
  <c r="BP103" i="1" s="1"/>
  <c r="BM104" i="1" s="1"/>
  <c r="BO104" i="1" s="1"/>
  <c r="BW163" i="6"/>
  <c r="BX163" i="6"/>
  <c r="BE83" i="6"/>
  <c r="BG83" i="6" s="1"/>
  <c r="BD84" i="6" s="1"/>
  <c r="AX182" i="4"/>
  <c r="AU183" i="4" s="1"/>
  <c r="AV183" i="4" s="1"/>
  <c r="AN82" i="7"/>
  <c r="AO82" i="7" s="1"/>
  <c r="AL83" i="7" s="1"/>
  <c r="AN83" i="7" s="1"/>
  <c r="BF122" i="6"/>
  <c r="BG122" i="6" s="1"/>
  <c r="BD123" i="6" s="1"/>
  <c r="BO142" i="7"/>
  <c r="BN182" i="8"/>
  <c r="BO203" i="1"/>
  <c r="BP203" i="1" s="1"/>
  <c r="BM204" i="1" s="1"/>
  <c r="BN204" i="1" s="1"/>
  <c r="BW102" i="8"/>
  <c r="BY102" i="8" s="1"/>
  <c r="BV103" i="8" s="1"/>
  <c r="BW103" i="8" s="1"/>
  <c r="BP62" i="6"/>
  <c r="BM63" i="6" s="1"/>
  <c r="BO63" i="6" s="1"/>
  <c r="BP62" i="4"/>
  <c r="BM63" i="4" s="1"/>
  <c r="BO63" i="4" s="1"/>
  <c r="AV63" i="7"/>
  <c r="AW63" i="7"/>
  <c r="BE63" i="4"/>
  <c r="BF63" i="4"/>
  <c r="AX102" i="4"/>
  <c r="AU103" i="4" s="1"/>
  <c r="AW103" i="4" s="1"/>
  <c r="AN102" i="7"/>
  <c r="AO102" i="7" s="1"/>
  <c r="AL103" i="7" s="1"/>
  <c r="AM103" i="7" s="1"/>
  <c r="BN122" i="8"/>
  <c r="BP122" i="8" s="1"/>
  <c r="BM123" i="8" s="1"/>
  <c r="BO123" i="8" s="1"/>
  <c r="AX202" i="4"/>
  <c r="AU203" i="4" s="1"/>
  <c r="AV203" i="4" s="1"/>
  <c r="AX202" i="6"/>
  <c r="AU203" i="6" s="1"/>
  <c r="AW203" i="6" s="1"/>
  <c r="AM182" i="8"/>
  <c r="AO182" i="8" s="1"/>
  <c r="AL183" i="8" s="1"/>
  <c r="AM183" i="8" s="1"/>
  <c r="BG102" i="6"/>
  <c r="BD103" i="6" s="1"/>
  <c r="BE103" i="6" s="1"/>
  <c r="BX163" i="7"/>
  <c r="BY163" i="7" s="1"/>
  <c r="BV164" i="7" s="1"/>
  <c r="BF162" i="4"/>
  <c r="BG162" i="4" s="1"/>
  <c r="BD163" i="4" s="1"/>
  <c r="BE163" i="4" s="1"/>
  <c r="AO122" i="4"/>
  <c r="AL123" i="4" s="1"/>
  <c r="AN123" i="4" s="1"/>
  <c r="AV82" i="4"/>
  <c r="AX82" i="4" s="1"/>
  <c r="AU83" i="4" s="1"/>
  <c r="BF143" i="4"/>
  <c r="BE143" i="4"/>
  <c r="BW184" i="1"/>
  <c r="BX184" i="1"/>
  <c r="AM142" i="1"/>
  <c r="AN142" i="1"/>
  <c r="BW122" i="4"/>
  <c r="BY122" i="4" s="1"/>
  <c r="BV123" i="4" s="1"/>
  <c r="BF203" i="4"/>
  <c r="BG203" i="4" s="1"/>
  <c r="BD204" i="4" s="1"/>
  <c r="BE182" i="8"/>
  <c r="BG182" i="8" s="1"/>
  <c r="BD183" i="8" s="1"/>
  <c r="BE183" i="8" s="1"/>
  <c r="AM142" i="6"/>
  <c r="AO142" i="6" s="1"/>
  <c r="AL143" i="6" s="1"/>
  <c r="BF163" i="1"/>
  <c r="BG163" i="1" s="1"/>
  <c r="BD164" i="1" s="1"/>
  <c r="BE164" i="1" s="1"/>
  <c r="BW104" i="1"/>
  <c r="BY104" i="1" s="1"/>
  <c r="BV105" i="1" s="1"/>
  <c r="BW105" i="1" s="1"/>
  <c r="AW182" i="6"/>
  <c r="AX182" i="6" s="1"/>
  <c r="AU183" i="6" s="1"/>
  <c r="BF63" i="7"/>
  <c r="BG63" i="7" s="1"/>
  <c r="BD64" i="7" s="1"/>
  <c r="BY202" i="6"/>
  <c r="BV203" i="6" s="1"/>
  <c r="BW203" i="6" s="1"/>
  <c r="AL202" i="1"/>
  <c r="AM202" i="1" s="1"/>
  <c r="BO182" i="6"/>
  <c r="BP182" i="6" s="1"/>
  <c r="BM183" i="6" s="1"/>
  <c r="BN183" i="6" s="1"/>
  <c r="BG122" i="4"/>
  <c r="BD123" i="4" s="1"/>
  <c r="BE123" i="4" s="1"/>
  <c r="BW182" i="6"/>
  <c r="BY182" i="6" s="1"/>
  <c r="BV183" i="6" s="1"/>
  <c r="AM62" i="4"/>
  <c r="AO62" i="4" s="1"/>
  <c r="AL63" i="4" s="1"/>
  <c r="BG142" i="1"/>
  <c r="BD143" i="1" s="1"/>
  <c r="BO183" i="1"/>
  <c r="BP183" i="1" s="1"/>
  <c r="BM184" i="1" s="1"/>
  <c r="BO184" i="1" s="1"/>
  <c r="AO82" i="6"/>
  <c r="AL83" i="6" s="1"/>
  <c r="AN83" i="6" s="1"/>
  <c r="BE123" i="1"/>
  <c r="BF123" i="1"/>
  <c r="AV103" i="6"/>
  <c r="AW103" i="6"/>
  <c r="BX204" i="1"/>
  <c r="BW204" i="1"/>
  <c r="BG122" i="8"/>
  <c r="BD123" i="8" s="1"/>
  <c r="BF123" i="8" s="1"/>
  <c r="BN162" i="7"/>
  <c r="BP162" i="7" s="1"/>
  <c r="BM163" i="7" s="1"/>
  <c r="AO102" i="4"/>
  <c r="AL103" i="4" s="1"/>
  <c r="AN103" i="4" s="1"/>
  <c r="BO82" i="8"/>
  <c r="BP82" i="8" s="1"/>
  <c r="BM83" i="8" s="1"/>
  <c r="BN83" i="8" s="1"/>
  <c r="BW142" i="6"/>
  <c r="BY142" i="6" s="1"/>
  <c r="BV143" i="6" s="1"/>
  <c r="BX143" i="6" s="1"/>
  <c r="AM182" i="1"/>
  <c r="AO182" i="1" s="1"/>
  <c r="AL183" i="1" s="1"/>
  <c r="AM183" i="1" s="1"/>
  <c r="AN82" i="8"/>
  <c r="AM82" i="8"/>
  <c r="AX62" i="6"/>
  <c r="AU63" i="6" s="1"/>
  <c r="AW63" i="6" s="1"/>
  <c r="BX203" i="4"/>
  <c r="BY203" i="4" s="1"/>
  <c r="BV204" i="4" s="1"/>
  <c r="BX204" i="4" s="1"/>
  <c r="AL122" i="1"/>
  <c r="AM122" i="1" s="1"/>
  <c r="AX62" i="4"/>
  <c r="AU63" i="4" s="1"/>
  <c r="AV63" i="4" s="1"/>
  <c r="AX182" i="8"/>
  <c r="AU183" i="8" s="1"/>
  <c r="AV183" i="8" s="1"/>
  <c r="BX203" i="8"/>
  <c r="BY203" i="8" s="1"/>
  <c r="BV204" i="8" s="1"/>
  <c r="BX204" i="8" s="1"/>
  <c r="AN122" i="8"/>
  <c r="AO122" i="8" s="1"/>
  <c r="AL123" i="8" s="1"/>
  <c r="BY142" i="8"/>
  <c r="BV143" i="8" s="1"/>
  <c r="BW143" i="8" s="1"/>
  <c r="AO142" i="4"/>
  <c r="AL143" i="4" s="1"/>
  <c r="AN143" i="4" s="1"/>
  <c r="BP62" i="8"/>
  <c r="BM63" i="8" s="1"/>
  <c r="BN63" i="8" s="1"/>
  <c r="BO202" i="4"/>
  <c r="BN202" i="4"/>
  <c r="AM203" i="4"/>
  <c r="AN203" i="4"/>
  <c r="BY142" i="4"/>
  <c r="BV143" i="4" s="1"/>
  <c r="BX143" i="4" s="1"/>
  <c r="BP142" i="7"/>
  <c r="BM143" i="7" s="1"/>
  <c r="BN143" i="7" s="1"/>
  <c r="BG162" i="8"/>
  <c r="BD163" i="8" s="1"/>
  <c r="BF163" i="8" s="1"/>
  <c r="BE103" i="7"/>
  <c r="BG103" i="7" s="1"/>
  <c r="BD104" i="7" s="1"/>
  <c r="BF104" i="7" s="1"/>
  <c r="AN202" i="7"/>
  <c r="AO202" i="7" s="1"/>
  <c r="AL203" i="7" s="1"/>
  <c r="AM203" i="7" s="1"/>
  <c r="BN82" i="6"/>
  <c r="BO82" i="6"/>
  <c r="BN102" i="7"/>
  <c r="BP102" i="7" s="1"/>
  <c r="BM103" i="7" s="1"/>
  <c r="BO103" i="7" s="1"/>
  <c r="BG62" i="8"/>
  <c r="BD63" i="8" s="1"/>
  <c r="BE63" i="8" s="1"/>
  <c r="BO142" i="6"/>
  <c r="BP142" i="6" s="1"/>
  <c r="BM143" i="6" s="1"/>
  <c r="AX122" i="7"/>
  <c r="AU123" i="7" s="1"/>
  <c r="AV123" i="7" s="1"/>
  <c r="BO102" i="4"/>
  <c r="BP102" i="4" s="1"/>
  <c r="BM103" i="4" s="1"/>
  <c r="BO103" i="4" s="1"/>
  <c r="BY102" i="4"/>
  <c r="BV103" i="4" s="1"/>
  <c r="BW103" i="4" s="1"/>
  <c r="BW122" i="8"/>
  <c r="BY122" i="8" s="1"/>
  <c r="BV123" i="8" s="1"/>
  <c r="BX123" i="8" s="1"/>
  <c r="BO64" i="1"/>
  <c r="BP64" i="1" s="1"/>
  <c r="BM65" i="1" s="1"/>
  <c r="BF103" i="1"/>
  <c r="BG103" i="1" s="1"/>
  <c r="BD104" i="1" s="1"/>
  <c r="AN162" i="4"/>
  <c r="AO162" i="4" s="1"/>
  <c r="AL163" i="4" s="1"/>
  <c r="BG182" i="4"/>
  <c r="BD183" i="4" s="1"/>
  <c r="BE183" i="4" s="1"/>
  <c r="BW62" i="4"/>
  <c r="BY62" i="4" s="1"/>
  <c r="BV63" i="4" s="1"/>
  <c r="BE204" i="6"/>
  <c r="BG204" i="6" s="1"/>
  <c r="BD205" i="6" s="1"/>
  <c r="BE205" i="6" s="1"/>
  <c r="AN162" i="8"/>
  <c r="AO162" i="8" s="1"/>
  <c r="AL163" i="8" s="1"/>
  <c r="AN163" i="8" s="1"/>
  <c r="BY142" i="1"/>
  <c r="BV143" i="1" s="1"/>
  <c r="BW143" i="1" s="1"/>
  <c r="BY102" i="7"/>
  <c r="BV103" i="7" s="1"/>
  <c r="BY162" i="8"/>
  <c r="BV163" i="8" s="1"/>
  <c r="BW163" i="8" s="1"/>
  <c r="AW143" i="4"/>
  <c r="AV143" i="4"/>
  <c r="BE203" i="8"/>
  <c r="BF203" i="8"/>
  <c r="AX82" i="7"/>
  <c r="AU83" i="7" s="1"/>
  <c r="AW83" i="7" s="1"/>
  <c r="BY82" i="6"/>
  <c r="BV83" i="6" s="1"/>
  <c r="BX83" i="6" s="1"/>
  <c r="BF102" i="8"/>
  <c r="BG102" i="8" s="1"/>
  <c r="BD103" i="8" s="1"/>
  <c r="BE183" i="6"/>
  <c r="BG183" i="6" s="1"/>
  <c r="BD184" i="6" s="1"/>
  <c r="BE184" i="6" s="1"/>
  <c r="BE64" i="1"/>
  <c r="BG64" i="1" s="1"/>
  <c r="BD65" i="1" s="1"/>
  <c r="BN63" i="7"/>
  <c r="BP63" i="7" s="1"/>
  <c r="BM64" i="7" s="1"/>
  <c r="BO202" i="6"/>
  <c r="BN202" i="6"/>
  <c r="BN102" i="6"/>
  <c r="BO102" i="6"/>
  <c r="AM142" i="8"/>
  <c r="AN142" i="8"/>
  <c r="BX63" i="6"/>
  <c r="BY63" i="6" s="1"/>
  <c r="BV64" i="6" s="1"/>
  <c r="BW64" i="6" s="1"/>
  <c r="BO83" i="7"/>
  <c r="BP83" i="7" s="1"/>
  <c r="BM84" i="7" s="1"/>
  <c r="BN84" i="7" s="1"/>
  <c r="BO143" i="1"/>
  <c r="BP143" i="1" s="1"/>
  <c r="BM144" i="1" s="1"/>
  <c r="BO144" i="1" s="1"/>
  <c r="BO164" i="1"/>
  <c r="BP164" i="1" s="1"/>
  <c r="BM165" i="1" s="1"/>
  <c r="AM202" i="6"/>
  <c r="AO202" i="6" s="1"/>
  <c r="AL203" i="6" s="1"/>
  <c r="AN203" i="6" s="1"/>
  <c r="BG102" i="4"/>
  <c r="BD103" i="4" s="1"/>
  <c r="BF103" i="4" s="1"/>
  <c r="BX84" i="1"/>
  <c r="BY84" i="1" s="1"/>
  <c r="BV85" i="1" s="1"/>
  <c r="AO102" i="6"/>
  <c r="AL103" i="6" s="1"/>
  <c r="AN103" i="6" s="1"/>
  <c r="AW162" i="8"/>
  <c r="AX162" i="8" s="1"/>
  <c r="AU163" i="8" s="1"/>
  <c r="BY82" i="4"/>
  <c r="BV83" i="4" s="1"/>
  <c r="BX83" i="4" s="1"/>
  <c r="BY182" i="4"/>
  <c r="BV183" i="4" s="1"/>
  <c r="BW183" i="4" s="1"/>
  <c r="BF203" i="7"/>
  <c r="BG203" i="7" s="1"/>
  <c r="BD204" i="7" s="1"/>
  <c r="BF204" i="7" s="1"/>
  <c r="BF183" i="1"/>
  <c r="BG183" i="1" s="1"/>
  <c r="BD184" i="1" s="1"/>
  <c r="BF184" i="1" s="1"/>
  <c r="AX102" i="7"/>
  <c r="AU103" i="7" s="1"/>
  <c r="AN182" i="4"/>
  <c r="AM182" i="4"/>
  <c r="BN102" i="8"/>
  <c r="BO102" i="8"/>
  <c r="BW124" i="1"/>
  <c r="BX124" i="1"/>
  <c r="BF84" i="1"/>
  <c r="BE84" i="1"/>
  <c r="BF183" i="7"/>
  <c r="BE183" i="7"/>
  <c r="AV123" i="4"/>
  <c r="AW123" i="4"/>
  <c r="AM182" i="6"/>
  <c r="AN182" i="6"/>
  <c r="BY182" i="8"/>
  <c r="BV183" i="8" s="1"/>
  <c r="BW183" i="8" s="1"/>
  <c r="BO162" i="8"/>
  <c r="BP162" i="8" s="1"/>
  <c r="BM163" i="8" s="1"/>
  <c r="AX82" i="8"/>
  <c r="AU83" i="8" s="1"/>
  <c r="AW83" i="8" s="1"/>
  <c r="AX122" i="6"/>
  <c r="AU123" i="6" s="1"/>
  <c r="AW123" i="6" s="1"/>
  <c r="BX83" i="7"/>
  <c r="BY83" i="7" s="1"/>
  <c r="BV84" i="7" s="1"/>
  <c r="BN83" i="4"/>
  <c r="BP83" i="4" s="1"/>
  <c r="BM84" i="4" s="1"/>
  <c r="BO84" i="4" s="1"/>
  <c r="AM102" i="8"/>
  <c r="AN102" i="8"/>
  <c r="AN122" i="6"/>
  <c r="AM122" i="6"/>
  <c r="AX162" i="6"/>
  <c r="AU163" i="6" s="1"/>
  <c r="AW163" i="6" s="1"/>
  <c r="AX82" i="6"/>
  <c r="AU83" i="6" s="1"/>
  <c r="AW83" i="6" s="1"/>
  <c r="AN162" i="6"/>
  <c r="AM162" i="6"/>
  <c r="AM142" i="7"/>
  <c r="AN142" i="7"/>
  <c r="BP182" i="7"/>
  <c r="BM183" i="7" s="1"/>
  <c r="BN183" i="7" s="1"/>
  <c r="BX142" i="7"/>
  <c r="BY142" i="7" s="1"/>
  <c r="BV143" i="7" s="1"/>
  <c r="BG82" i="4"/>
  <c r="BD83" i="4" s="1"/>
  <c r="BE83" i="4" s="1"/>
  <c r="AX62" i="8"/>
  <c r="AU63" i="8" s="1"/>
  <c r="AV63" i="8" s="1"/>
  <c r="BO143" i="8"/>
  <c r="BP143" i="8" s="1"/>
  <c r="BM144" i="8" s="1"/>
  <c r="AN162" i="7"/>
  <c r="AM162" i="7"/>
  <c r="AO162" i="7" s="1"/>
  <c r="AL163" i="7" s="1"/>
  <c r="AM122" i="7"/>
  <c r="AN122" i="7"/>
  <c r="BG142" i="8"/>
  <c r="BD143" i="8" s="1"/>
  <c r="BE143" i="8" s="1"/>
  <c r="BW63" i="1"/>
  <c r="BX63" i="1"/>
  <c r="BP182" i="8"/>
  <c r="BM183" i="8" s="1"/>
  <c r="BN183" i="8" s="1"/>
  <c r="AM62" i="8"/>
  <c r="AN62" i="8"/>
  <c r="AN62" i="7"/>
  <c r="AM62" i="7"/>
  <c r="AM182" i="7"/>
  <c r="AN182" i="7"/>
  <c r="BW164" i="1"/>
  <c r="AN62" i="6"/>
  <c r="AM62" i="6"/>
  <c r="BG82" i="7"/>
  <c r="BD83" i="7" s="1"/>
  <c r="BE83" i="7" s="1"/>
  <c r="BY62" i="7"/>
  <c r="BV63" i="7" s="1"/>
  <c r="BW63" i="7" s="1"/>
  <c r="AL102" i="1"/>
  <c r="AM102" i="1" s="1"/>
  <c r="AX162" i="4"/>
  <c r="AU163" i="4" s="1"/>
  <c r="AV163" i="4" s="1"/>
  <c r="AN82" i="4"/>
  <c r="AM82" i="4"/>
  <c r="BX163" i="4"/>
  <c r="BW163" i="4"/>
  <c r="AN62" i="1"/>
  <c r="AM62" i="1"/>
  <c r="BF122" i="7"/>
  <c r="BE122" i="7"/>
  <c r="BX122" i="7"/>
  <c r="BW122" i="7"/>
  <c r="BX122" i="6"/>
  <c r="BW122" i="6"/>
  <c r="BN202" i="8"/>
  <c r="BO202" i="8"/>
  <c r="BW62" i="8"/>
  <c r="BX62" i="8"/>
  <c r="BN142" i="4"/>
  <c r="BO142" i="4"/>
  <c r="BO122" i="6"/>
  <c r="BN122" i="6"/>
  <c r="BO122" i="7"/>
  <c r="BN122" i="7"/>
  <c r="BN122" i="4"/>
  <c r="BO122" i="4"/>
  <c r="AV122" i="8"/>
  <c r="AW122" i="8"/>
  <c r="AW202" i="7"/>
  <c r="AV202" i="7"/>
  <c r="AV142" i="8"/>
  <c r="AW142" i="8"/>
  <c r="BX202" i="7"/>
  <c r="BW202" i="7"/>
  <c r="AW102" i="8"/>
  <c r="AV102" i="8"/>
  <c r="AV202" i="8"/>
  <c r="AW202" i="8"/>
  <c r="BN182" i="4"/>
  <c r="BO182" i="4"/>
  <c r="AV162" i="7"/>
  <c r="AW162" i="7"/>
  <c r="BO162" i="4"/>
  <c r="BN162" i="4"/>
  <c r="BE142" i="7"/>
  <c r="BF142" i="7"/>
  <c r="BF82" i="8"/>
  <c r="BE82" i="8"/>
  <c r="BN63" i="6"/>
  <c r="BE162" i="6"/>
  <c r="BF162" i="6"/>
  <c r="BN162" i="6"/>
  <c r="BO162" i="6"/>
  <c r="AM162" i="1"/>
  <c r="AN162" i="1"/>
  <c r="BO202" i="7"/>
  <c r="BN202" i="7"/>
  <c r="BE142" i="6"/>
  <c r="BF142" i="6"/>
  <c r="AV142" i="6"/>
  <c r="AW142" i="6"/>
  <c r="BW182" i="7"/>
  <c r="BX182" i="7"/>
  <c r="BW82" i="8"/>
  <c r="BX82" i="8"/>
  <c r="BW102" i="6"/>
  <c r="BX102" i="6"/>
  <c r="AW142" i="7"/>
  <c r="AV142" i="7"/>
  <c r="BE162" i="7"/>
  <c r="BF162" i="7"/>
  <c r="AL82" i="1"/>
  <c r="AV143" i="1" l="1"/>
  <c r="AW143" i="1"/>
  <c r="AV202" i="1"/>
  <c r="AX202" i="1" s="1"/>
  <c r="AU203" i="1" s="1"/>
  <c r="AW203" i="1" s="1"/>
  <c r="AV162" i="1"/>
  <c r="AX162" i="1" s="1"/>
  <c r="AU163" i="1" s="1"/>
  <c r="AW162" i="1"/>
  <c r="AU122" i="1"/>
  <c r="AX102" i="1"/>
  <c r="AU103" i="1" s="1"/>
  <c r="AV103" i="1" s="1"/>
  <c r="AU82" i="1"/>
  <c r="AV82" i="1" s="1"/>
  <c r="BG63" i="4"/>
  <c r="BD64" i="4" s="1"/>
  <c r="BE64" i="4" s="1"/>
  <c r="AW82" i="1"/>
  <c r="AV203" i="1"/>
  <c r="AX203" i="1" s="1"/>
  <c r="AU204" i="1" s="1"/>
  <c r="AU62" i="1"/>
  <c r="AW122" i="1"/>
  <c r="AV122" i="1"/>
  <c r="AX122" i="1" s="1"/>
  <c r="AU123" i="1" s="1"/>
  <c r="AV182" i="1"/>
  <c r="AW182" i="1"/>
  <c r="AX143" i="1"/>
  <c r="AU144" i="1" s="1"/>
  <c r="AO142" i="1"/>
  <c r="AL143" i="1" s="1"/>
  <c r="AM143" i="1" s="1"/>
  <c r="BE203" i="1"/>
  <c r="BG203" i="1" s="1"/>
  <c r="BD204" i="1" s="1"/>
  <c r="AN202" i="1"/>
  <c r="AO202" i="1" s="1"/>
  <c r="AL203" i="1" s="1"/>
  <c r="AM203" i="1" s="1"/>
  <c r="BF83" i="4"/>
  <c r="BG83" i="4" s="1"/>
  <c r="BD84" i="4" s="1"/>
  <c r="BE84" i="4" s="1"/>
  <c r="BF63" i="8"/>
  <c r="AV163" i="6"/>
  <c r="AV203" i="6"/>
  <c r="AX203" i="6" s="1"/>
  <c r="AU204" i="6" s="1"/>
  <c r="AW204" i="6" s="1"/>
  <c r="BN103" i="7"/>
  <c r="BP103" i="7" s="1"/>
  <c r="BM104" i="7" s="1"/>
  <c r="BO104" i="7" s="1"/>
  <c r="BG82" i="8"/>
  <c r="BD83" i="8" s="1"/>
  <c r="BE83" i="8" s="1"/>
  <c r="AW203" i="4"/>
  <c r="AV83" i="7"/>
  <c r="AX83" i="7" s="1"/>
  <c r="AU84" i="7" s="1"/>
  <c r="AV84" i="7" s="1"/>
  <c r="BP202" i="4"/>
  <c r="BM203" i="4" s="1"/>
  <c r="BO203" i="4" s="1"/>
  <c r="BY163" i="6"/>
  <c r="BV164" i="6" s="1"/>
  <c r="BX164" i="6" s="1"/>
  <c r="AX63" i="7"/>
  <c r="AU64" i="7" s="1"/>
  <c r="AW64" i="7" s="1"/>
  <c r="BE123" i="6"/>
  <c r="BF123" i="6"/>
  <c r="BF123" i="4"/>
  <c r="BG123" i="4" s="1"/>
  <c r="BD124" i="4" s="1"/>
  <c r="AW183" i="4"/>
  <c r="AX183" i="4" s="1"/>
  <c r="AU184" i="4" s="1"/>
  <c r="AW184" i="4" s="1"/>
  <c r="BF63" i="6"/>
  <c r="BG63" i="6" s="1"/>
  <c r="BD64" i="6" s="1"/>
  <c r="BE64" i="6" s="1"/>
  <c r="AN122" i="1"/>
  <c r="AO122" i="1" s="1"/>
  <c r="AL123" i="1" s="1"/>
  <c r="AM83" i="6"/>
  <c r="AM103" i="4"/>
  <c r="AO103" i="4" s="1"/>
  <c r="AL104" i="4" s="1"/>
  <c r="AM104" i="4" s="1"/>
  <c r="BX123" i="4"/>
  <c r="BW123" i="4"/>
  <c r="BO63" i="8"/>
  <c r="BP63" i="8" s="1"/>
  <c r="BM64" i="8" s="1"/>
  <c r="AM123" i="4"/>
  <c r="AO123" i="4" s="1"/>
  <c r="AL124" i="4" s="1"/>
  <c r="AN124" i="4" s="1"/>
  <c r="BN63" i="4"/>
  <c r="BP63" i="4" s="1"/>
  <c r="BM64" i="4" s="1"/>
  <c r="BN64" i="4" s="1"/>
  <c r="BX203" i="6"/>
  <c r="BY184" i="1"/>
  <c r="BV185" i="1" s="1"/>
  <c r="BW185" i="1" s="1"/>
  <c r="BO183" i="6"/>
  <c r="BP183" i="6" s="1"/>
  <c r="BM184" i="6" s="1"/>
  <c r="BO184" i="6" s="1"/>
  <c r="AW183" i="8"/>
  <c r="AX183" i="8" s="1"/>
  <c r="AU184" i="8" s="1"/>
  <c r="AV184" i="8" s="1"/>
  <c r="BE123" i="8"/>
  <c r="BG123" i="8" s="1"/>
  <c r="BD124" i="8" s="1"/>
  <c r="BF124" i="8" s="1"/>
  <c r="AN102" i="1"/>
  <c r="AO102" i="1" s="1"/>
  <c r="AL103" i="1" s="1"/>
  <c r="AN103" i="1" s="1"/>
  <c r="BF183" i="8"/>
  <c r="BG183" i="8" s="1"/>
  <c r="BD184" i="8" s="1"/>
  <c r="BE184" i="8" s="1"/>
  <c r="AO203" i="4"/>
  <c r="AL204" i="4" s="1"/>
  <c r="AM204" i="4" s="1"/>
  <c r="AO82" i="8"/>
  <c r="AL83" i="8" s="1"/>
  <c r="AN83" i="8" s="1"/>
  <c r="BG143" i="4"/>
  <c r="BD144" i="4" s="1"/>
  <c r="BE144" i="4" s="1"/>
  <c r="BW164" i="7"/>
  <c r="BY164" i="7" s="1"/>
  <c r="BV165" i="7" s="1"/>
  <c r="BW165" i="7" s="1"/>
  <c r="BX164" i="7"/>
  <c r="AW83" i="4"/>
  <c r="AV83" i="4"/>
  <c r="BE64" i="7"/>
  <c r="BG64" i="7" s="1"/>
  <c r="BD65" i="7" s="1"/>
  <c r="BE65" i="7" s="1"/>
  <c r="BF64" i="7"/>
  <c r="BW123" i="8"/>
  <c r="BY123" i="8" s="1"/>
  <c r="BV124" i="8" s="1"/>
  <c r="BW124" i="8" s="1"/>
  <c r="AV83" i="6"/>
  <c r="AX83" i="6" s="1"/>
  <c r="AU84" i="6" s="1"/>
  <c r="AV84" i="6" s="1"/>
  <c r="AV103" i="4"/>
  <c r="AX103" i="4" s="1"/>
  <c r="AU104" i="4" s="1"/>
  <c r="BW83" i="6"/>
  <c r="AM143" i="4"/>
  <c r="AO143" i="4" s="1"/>
  <c r="AL144" i="4" s="1"/>
  <c r="AM144" i="4" s="1"/>
  <c r="BP102" i="6"/>
  <c r="BM103" i="6" s="1"/>
  <c r="BN103" i="6" s="1"/>
  <c r="BX143" i="1"/>
  <c r="BY143" i="1" s="1"/>
  <c r="BV144" i="1" s="1"/>
  <c r="BP82" i="6"/>
  <c r="BM83" i="6" s="1"/>
  <c r="BO83" i="6" s="1"/>
  <c r="BE104" i="7"/>
  <c r="BG104" i="7" s="1"/>
  <c r="BD105" i="7" s="1"/>
  <c r="BE105" i="7" s="1"/>
  <c r="AX102" i="8"/>
  <c r="AU103" i="8" s="1"/>
  <c r="AW103" i="8" s="1"/>
  <c r="AM163" i="8"/>
  <c r="AO163" i="8" s="1"/>
  <c r="AL164" i="8" s="1"/>
  <c r="AM164" i="8" s="1"/>
  <c r="BG203" i="8"/>
  <c r="BD204" i="8" s="1"/>
  <c r="AW63" i="4"/>
  <c r="AX63" i="4" s="1"/>
  <c r="AU64" i="4" s="1"/>
  <c r="AV64" i="4" s="1"/>
  <c r="BF103" i="6"/>
  <c r="BG103" i="6" s="1"/>
  <c r="BD104" i="6" s="1"/>
  <c r="BE104" i="6" s="1"/>
  <c r="AX103" i="6"/>
  <c r="AU104" i="6" s="1"/>
  <c r="AW104" i="6" s="1"/>
  <c r="BW143" i="6"/>
  <c r="AN203" i="8"/>
  <c r="AO203" i="8" s="1"/>
  <c r="AL204" i="8" s="1"/>
  <c r="AM204" i="8" s="1"/>
  <c r="BN125" i="1"/>
  <c r="BP125" i="1" s="1"/>
  <c r="BM126" i="1" s="1"/>
  <c r="BN126" i="1" s="1"/>
  <c r="AW183" i="6"/>
  <c r="AV183" i="6"/>
  <c r="AM63" i="4"/>
  <c r="AN63" i="4"/>
  <c r="BO65" i="1"/>
  <c r="BN65" i="1"/>
  <c r="BP65" i="1" s="1"/>
  <c r="BM66" i="1" s="1"/>
  <c r="BO66" i="1" s="1"/>
  <c r="BW183" i="6"/>
  <c r="BX183" i="6"/>
  <c r="BE204" i="4"/>
  <c r="BF204" i="4"/>
  <c r="BF205" i="6"/>
  <c r="BG205" i="6" s="1"/>
  <c r="BD206" i="6" s="1"/>
  <c r="BE206" i="6" s="1"/>
  <c r="BE184" i="1"/>
  <c r="BG184" i="1" s="1"/>
  <c r="BD185" i="1" s="1"/>
  <c r="AO182" i="4"/>
  <c r="AL183" i="4" s="1"/>
  <c r="AM183" i="4" s="1"/>
  <c r="BX183" i="4"/>
  <c r="BY183" i="4" s="1"/>
  <c r="BV184" i="4" s="1"/>
  <c r="BW184" i="4" s="1"/>
  <c r="AO142" i="8"/>
  <c r="AL143" i="8" s="1"/>
  <c r="AN143" i="8" s="1"/>
  <c r="BP122" i="4"/>
  <c r="BM123" i="4" s="1"/>
  <c r="BN123" i="4" s="1"/>
  <c r="BX163" i="8"/>
  <c r="BY163" i="8" s="1"/>
  <c r="BV164" i="8" s="1"/>
  <c r="BX164" i="8" s="1"/>
  <c r="AN183" i="8"/>
  <c r="AO183" i="8" s="1"/>
  <c r="AL184" i="8" s="1"/>
  <c r="BP162" i="6"/>
  <c r="BM163" i="6" s="1"/>
  <c r="BO163" i="6" s="1"/>
  <c r="AN183" i="1"/>
  <c r="AO183" i="1" s="1"/>
  <c r="AL184" i="1" s="1"/>
  <c r="AN184" i="1" s="1"/>
  <c r="BG123" i="1"/>
  <c r="BD124" i="1" s="1"/>
  <c r="BW143" i="4"/>
  <c r="BY143" i="4" s="1"/>
  <c r="BV144" i="4" s="1"/>
  <c r="BX144" i="4" s="1"/>
  <c r="AO83" i="6"/>
  <c r="AL84" i="6" s="1"/>
  <c r="AN84" i="6" s="1"/>
  <c r="BO83" i="8"/>
  <c r="BP83" i="8" s="1"/>
  <c r="BM84" i="8" s="1"/>
  <c r="BN84" i="8" s="1"/>
  <c r="BE143" i="1"/>
  <c r="BF143" i="1"/>
  <c r="BO163" i="7"/>
  <c r="BN163" i="7"/>
  <c r="BN84" i="4"/>
  <c r="BP84" i="4" s="1"/>
  <c r="BM85" i="4" s="1"/>
  <c r="BN85" i="4" s="1"/>
  <c r="BW204" i="8"/>
  <c r="BY204" i="8" s="1"/>
  <c r="BV205" i="8" s="1"/>
  <c r="BF143" i="8"/>
  <c r="BG143" i="8" s="1"/>
  <c r="BD144" i="8" s="1"/>
  <c r="BO204" i="1"/>
  <c r="BP204" i="1" s="1"/>
  <c r="BM205" i="1" s="1"/>
  <c r="BY204" i="1"/>
  <c r="BV205" i="1" s="1"/>
  <c r="AV63" i="6"/>
  <c r="AX63" i="6" s="1"/>
  <c r="AU64" i="6" s="1"/>
  <c r="AV64" i="6" s="1"/>
  <c r="BF163" i="4"/>
  <c r="BG163" i="4" s="1"/>
  <c r="BD164" i="4" s="1"/>
  <c r="BF164" i="4" s="1"/>
  <c r="BY182" i="7"/>
  <c r="BV183" i="7" s="1"/>
  <c r="BX183" i="7" s="1"/>
  <c r="BX103" i="4"/>
  <c r="BY103" i="4" s="1"/>
  <c r="BV104" i="4" s="1"/>
  <c r="AN103" i="7"/>
  <c r="AO103" i="7" s="1"/>
  <c r="AL104" i="7" s="1"/>
  <c r="AN104" i="7" s="1"/>
  <c r="AM83" i="7"/>
  <c r="AO83" i="7" s="1"/>
  <c r="AL84" i="7" s="1"/>
  <c r="BX143" i="8"/>
  <c r="BY143" i="8" s="1"/>
  <c r="BV144" i="8" s="1"/>
  <c r="BX144" i="8" s="1"/>
  <c r="BP202" i="7"/>
  <c r="BM203" i="7" s="1"/>
  <c r="BO203" i="7" s="1"/>
  <c r="BY163" i="4"/>
  <c r="BV164" i="4" s="1"/>
  <c r="BX164" i="4" s="1"/>
  <c r="BO165" i="1"/>
  <c r="BN165" i="1"/>
  <c r="BW63" i="4"/>
  <c r="BX63" i="4"/>
  <c r="AN163" i="4"/>
  <c r="AM163" i="4"/>
  <c r="BO143" i="6"/>
  <c r="BN143" i="6"/>
  <c r="BG162" i="6"/>
  <c r="BD163" i="6" s="1"/>
  <c r="BE163" i="6" s="1"/>
  <c r="BW83" i="4"/>
  <c r="BY83" i="4" s="1"/>
  <c r="BV84" i="4" s="1"/>
  <c r="AW183" i="7"/>
  <c r="AX183" i="7" s="1"/>
  <c r="AU184" i="7" s="1"/>
  <c r="AV184" i="7" s="1"/>
  <c r="BG84" i="1"/>
  <c r="BD85" i="1" s="1"/>
  <c r="BE85" i="1" s="1"/>
  <c r="BX103" i="7"/>
  <c r="BW103" i="7"/>
  <c r="AW123" i="7"/>
  <c r="AX123" i="7" s="1"/>
  <c r="AU124" i="7" s="1"/>
  <c r="AW124" i="7" s="1"/>
  <c r="BP142" i="4"/>
  <c r="BM143" i="4" s="1"/>
  <c r="BO143" i="4" s="1"/>
  <c r="BY122" i="7"/>
  <c r="BV123" i="7" s="1"/>
  <c r="BW123" i="7" s="1"/>
  <c r="BF183" i="4"/>
  <c r="BG183" i="4" s="1"/>
  <c r="BD184" i="4" s="1"/>
  <c r="BO183" i="7"/>
  <c r="BP183" i="7" s="1"/>
  <c r="BM184" i="7" s="1"/>
  <c r="BN184" i="7" s="1"/>
  <c r="BF164" i="1"/>
  <c r="BG164" i="1" s="1"/>
  <c r="BD165" i="1" s="1"/>
  <c r="BF165" i="1" s="1"/>
  <c r="BG183" i="7"/>
  <c r="BD184" i="7" s="1"/>
  <c r="BE184" i="7" s="1"/>
  <c r="BY203" i="6"/>
  <c r="BV204" i="6" s="1"/>
  <c r="BY62" i="8"/>
  <c r="BV63" i="8" s="1"/>
  <c r="BX63" i="8" s="1"/>
  <c r="BE163" i="8"/>
  <c r="BG163" i="8" s="1"/>
  <c r="BD164" i="8" s="1"/>
  <c r="BE164" i="8" s="1"/>
  <c r="AX162" i="7"/>
  <c r="AU163" i="7" s="1"/>
  <c r="AW163" i="7" s="1"/>
  <c r="BN123" i="8"/>
  <c r="BP123" i="8" s="1"/>
  <c r="BM124" i="8" s="1"/>
  <c r="BO124" i="8" s="1"/>
  <c r="BN104" i="1"/>
  <c r="BP104" i="1" s="1"/>
  <c r="BM105" i="1" s="1"/>
  <c r="AO182" i="6"/>
  <c r="AL183" i="6" s="1"/>
  <c r="AM183" i="6" s="1"/>
  <c r="AN203" i="7"/>
  <c r="AO203" i="7" s="1"/>
  <c r="AL204" i="7" s="1"/>
  <c r="AN204" i="7" s="1"/>
  <c r="AM103" i="6"/>
  <c r="AO103" i="6" s="1"/>
  <c r="AL104" i="6" s="1"/>
  <c r="BG142" i="6"/>
  <c r="BD143" i="6" s="1"/>
  <c r="BE143" i="6" s="1"/>
  <c r="BP63" i="6"/>
  <c r="BM64" i="6" s="1"/>
  <c r="BN64" i="6" s="1"/>
  <c r="BP162" i="4"/>
  <c r="BM163" i="4" s="1"/>
  <c r="BN163" i="4" s="1"/>
  <c r="BP202" i="8"/>
  <c r="BM203" i="8" s="1"/>
  <c r="BN203" i="8" s="1"/>
  <c r="BO143" i="7"/>
  <c r="BP143" i="7" s="1"/>
  <c r="BM144" i="7" s="1"/>
  <c r="BN144" i="7" s="1"/>
  <c r="BX63" i="7"/>
  <c r="BY63" i="7" s="1"/>
  <c r="BV64" i="7" s="1"/>
  <c r="AO142" i="7"/>
  <c r="AL143" i="7" s="1"/>
  <c r="AM143" i="7" s="1"/>
  <c r="AO102" i="8"/>
  <c r="AL103" i="8" s="1"/>
  <c r="AN103" i="8" s="1"/>
  <c r="BY83" i="6"/>
  <c r="BV84" i="6" s="1"/>
  <c r="BW84" i="6" s="1"/>
  <c r="AX163" i="6"/>
  <c r="AU164" i="6" s="1"/>
  <c r="AW164" i="6" s="1"/>
  <c r="AX143" i="4"/>
  <c r="AU144" i="4" s="1"/>
  <c r="AW144" i="4" s="1"/>
  <c r="AO122" i="7"/>
  <c r="AL123" i="7" s="1"/>
  <c r="AM123" i="7" s="1"/>
  <c r="BY124" i="1"/>
  <c r="BV125" i="1" s="1"/>
  <c r="BX125" i="1" s="1"/>
  <c r="BN84" i="1"/>
  <c r="BO84" i="1"/>
  <c r="AX123" i="4"/>
  <c r="AU124" i="4" s="1"/>
  <c r="AW124" i="4" s="1"/>
  <c r="BX105" i="1"/>
  <c r="BY105" i="1" s="1"/>
  <c r="BV106" i="1" s="1"/>
  <c r="BX85" i="1"/>
  <c r="BW85" i="1"/>
  <c r="BN144" i="8"/>
  <c r="BO144" i="8"/>
  <c r="BN64" i="7"/>
  <c r="BO64" i="7"/>
  <c r="BF204" i="8"/>
  <c r="BE204" i="8"/>
  <c r="BE65" i="1"/>
  <c r="BF65" i="1"/>
  <c r="AW163" i="8"/>
  <c r="AV163" i="8"/>
  <c r="BE103" i="8"/>
  <c r="BF103" i="8"/>
  <c r="BP102" i="8"/>
  <c r="BM103" i="8" s="1"/>
  <c r="BW204" i="4"/>
  <c r="BY204" i="4" s="1"/>
  <c r="BV205" i="4" s="1"/>
  <c r="BP122" i="7"/>
  <c r="BM123" i="7" s="1"/>
  <c r="BN123" i="7" s="1"/>
  <c r="AO62" i="1"/>
  <c r="AL63" i="1" s="1"/>
  <c r="AN63" i="1" s="1"/>
  <c r="BX64" i="6"/>
  <c r="BY64" i="6" s="1"/>
  <c r="BV65" i="6" s="1"/>
  <c r="AW163" i="4"/>
  <c r="AX163" i="4" s="1"/>
  <c r="AU164" i="4" s="1"/>
  <c r="AO62" i="8"/>
  <c r="AL63" i="8" s="1"/>
  <c r="AN63" i="8" s="1"/>
  <c r="AO122" i="6"/>
  <c r="AL123" i="6" s="1"/>
  <c r="AM123" i="6" s="1"/>
  <c r="BE84" i="6"/>
  <c r="BF84" i="6"/>
  <c r="BG122" i="7"/>
  <c r="BD123" i="7" s="1"/>
  <c r="BE123" i="7" s="1"/>
  <c r="BP122" i="6"/>
  <c r="BM123" i="6" s="1"/>
  <c r="BN123" i="6" s="1"/>
  <c r="AX122" i="8"/>
  <c r="AU123" i="8" s="1"/>
  <c r="AV123" i="8" s="1"/>
  <c r="BO84" i="7"/>
  <c r="BP84" i="7" s="1"/>
  <c r="BM85" i="7" s="1"/>
  <c r="BN184" i="1"/>
  <c r="BP184" i="1" s="1"/>
  <c r="BM185" i="1" s="1"/>
  <c r="BN185" i="1" s="1"/>
  <c r="BX103" i="8"/>
  <c r="BY103" i="8" s="1"/>
  <c r="BV104" i="8" s="1"/>
  <c r="BW104" i="8" s="1"/>
  <c r="BE204" i="7"/>
  <c r="BG204" i="7" s="1"/>
  <c r="BD205" i="7" s="1"/>
  <c r="BE205" i="7" s="1"/>
  <c r="BO183" i="8"/>
  <c r="BP183" i="8" s="1"/>
  <c r="BM184" i="8" s="1"/>
  <c r="BO184" i="8" s="1"/>
  <c r="BN144" i="1"/>
  <c r="BP144" i="1" s="1"/>
  <c r="BM145" i="1" s="1"/>
  <c r="AO182" i="7"/>
  <c r="AL183" i="7" s="1"/>
  <c r="AN183" i="7" s="1"/>
  <c r="AM203" i="6"/>
  <c r="AO203" i="6" s="1"/>
  <c r="AL204" i="6" s="1"/>
  <c r="AN204" i="6" s="1"/>
  <c r="BP202" i="6"/>
  <c r="BM203" i="6" s="1"/>
  <c r="BY164" i="1"/>
  <c r="BV165" i="1" s="1"/>
  <c r="BX165" i="1" s="1"/>
  <c r="BY82" i="8"/>
  <c r="BV83" i="8" s="1"/>
  <c r="BW83" i="8" s="1"/>
  <c r="BG162" i="7"/>
  <c r="BD163" i="7" s="1"/>
  <c r="BE163" i="7" s="1"/>
  <c r="BP182" i="4"/>
  <c r="BM183" i="4" s="1"/>
  <c r="BO183" i="4" s="1"/>
  <c r="AX203" i="4"/>
  <c r="AU204" i="4" s="1"/>
  <c r="AV204" i="4" s="1"/>
  <c r="BX183" i="8"/>
  <c r="BY183" i="8" s="1"/>
  <c r="BV184" i="8" s="1"/>
  <c r="BE103" i="4"/>
  <c r="BG103" i="4" s="1"/>
  <c r="BD104" i="4" s="1"/>
  <c r="AO62" i="6"/>
  <c r="AL63" i="6" s="1"/>
  <c r="AN63" i="6" s="1"/>
  <c r="AO62" i="7"/>
  <c r="AL63" i="7" s="1"/>
  <c r="AN63" i="7" s="1"/>
  <c r="AO162" i="6"/>
  <c r="AL163" i="6" s="1"/>
  <c r="AM163" i="6" s="1"/>
  <c r="AV103" i="7"/>
  <c r="AW103" i="7"/>
  <c r="AN163" i="7"/>
  <c r="AM163" i="7"/>
  <c r="BN163" i="8"/>
  <c r="BO163" i="8"/>
  <c r="BX84" i="7"/>
  <c r="BW84" i="7"/>
  <c r="BX143" i="7"/>
  <c r="BW143" i="7"/>
  <c r="AX142" i="7"/>
  <c r="AU143" i="7" s="1"/>
  <c r="AV143" i="7" s="1"/>
  <c r="AO162" i="1"/>
  <c r="AL163" i="1" s="1"/>
  <c r="AN163" i="1" s="1"/>
  <c r="BY202" i="7"/>
  <c r="BV203" i="7" s="1"/>
  <c r="BW203" i="7" s="1"/>
  <c r="BF184" i="6"/>
  <c r="BG184" i="6" s="1"/>
  <c r="BD185" i="6" s="1"/>
  <c r="AV83" i="8"/>
  <c r="AX83" i="8" s="1"/>
  <c r="AU84" i="8" s="1"/>
  <c r="AV84" i="8" s="1"/>
  <c r="BN103" i="4"/>
  <c r="BP103" i="4" s="1"/>
  <c r="BM104" i="4" s="1"/>
  <c r="BN104" i="4" s="1"/>
  <c r="BE104" i="1"/>
  <c r="BF104" i="1"/>
  <c r="BY63" i="1"/>
  <c r="BV64" i="1" s="1"/>
  <c r="AX142" i="8"/>
  <c r="AU143" i="8" s="1"/>
  <c r="AV143" i="8" s="1"/>
  <c r="AV64" i="7"/>
  <c r="AX64" i="7" s="1"/>
  <c r="AU65" i="7" s="1"/>
  <c r="AW63" i="8"/>
  <c r="AX63" i="8" s="1"/>
  <c r="AU64" i="8" s="1"/>
  <c r="AM143" i="6"/>
  <c r="AN143" i="6"/>
  <c r="BY102" i="6"/>
  <c r="BV103" i="6" s="1"/>
  <c r="BW103" i="6" s="1"/>
  <c r="AX142" i="6"/>
  <c r="AU143" i="6" s="1"/>
  <c r="AW143" i="6" s="1"/>
  <c r="BG142" i="7"/>
  <c r="BD143" i="7" s="1"/>
  <c r="BF143" i="7" s="1"/>
  <c r="AX202" i="8"/>
  <c r="AU203" i="8" s="1"/>
  <c r="AV203" i="8" s="1"/>
  <c r="AX202" i="7"/>
  <c r="AU203" i="7" s="1"/>
  <c r="AW203" i="7" s="1"/>
  <c r="BG63" i="8"/>
  <c r="BD64" i="8" s="1"/>
  <c r="BE64" i="8" s="1"/>
  <c r="AV123" i="6"/>
  <c r="AX123" i="6" s="1"/>
  <c r="AU124" i="6" s="1"/>
  <c r="BF83" i="7"/>
  <c r="BG83" i="7" s="1"/>
  <c r="BD84" i="7" s="1"/>
  <c r="BF64" i="4"/>
  <c r="BG64" i="4" s="1"/>
  <c r="BD65" i="4" s="1"/>
  <c r="AO82" i="4"/>
  <c r="AL83" i="4" s="1"/>
  <c r="BY122" i="6"/>
  <c r="BV123" i="6" s="1"/>
  <c r="BW123" i="6" s="1"/>
  <c r="AM123" i="8"/>
  <c r="AN123" i="8"/>
  <c r="BY143" i="6"/>
  <c r="BV144" i="6" s="1"/>
  <c r="BX144" i="6" s="1"/>
  <c r="BF64" i="8"/>
  <c r="BF83" i="8"/>
  <c r="AM82" i="1"/>
  <c r="AN82" i="1"/>
  <c r="AW163" i="1" l="1"/>
  <c r="AV163" i="1"/>
  <c r="AX163" i="1" s="1"/>
  <c r="AU164" i="1" s="1"/>
  <c r="AW103" i="1"/>
  <c r="AX103" i="1" s="1"/>
  <c r="AU104" i="1" s="1"/>
  <c r="AV104" i="1" s="1"/>
  <c r="BN203" i="4"/>
  <c r="BP203" i="4" s="1"/>
  <c r="BM204" i="4" s="1"/>
  <c r="BO64" i="4"/>
  <c r="BP64" i="4" s="1"/>
  <c r="BM65" i="4" s="1"/>
  <c r="AN204" i="4"/>
  <c r="AO204" i="4" s="1"/>
  <c r="AL205" i="4" s="1"/>
  <c r="AM205" i="4" s="1"/>
  <c r="AX182" i="1"/>
  <c r="AU183" i="1" s="1"/>
  <c r="AV183" i="1" s="1"/>
  <c r="AW62" i="1"/>
  <c r="AV62" i="1"/>
  <c r="AX62" i="1" s="1"/>
  <c r="AU63" i="1" s="1"/>
  <c r="AX82" i="1"/>
  <c r="AU83" i="1" s="1"/>
  <c r="AW123" i="1"/>
  <c r="AV123" i="1"/>
  <c r="AX123" i="1" s="1"/>
  <c r="AU124" i="1" s="1"/>
  <c r="AW104" i="1"/>
  <c r="BX185" i="1"/>
  <c r="BY185" i="1" s="1"/>
  <c r="BV186" i="1" s="1"/>
  <c r="BX186" i="1" s="1"/>
  <c r="AV144" i="1"/>
  <c r="AW144" i="1"/>
  <c r="AN143" i="1"/>
  <c r="AO143" i="1" s="1"/>
  <c r="AL144" i="1" s="1"/>
  <c r="AN144" i="1" s="1"/>
  <c r="BG123" i="6"/>
  <c r="BD124" i="6" s="1"/>
  <c r="BF124" i="6" s="1"/>
  <c r="BW164" i="6"/>
  <c r="BY164" i="6" s="1"/>
  <c r="BV165" i="6" s="1"/>
  <c r="BX165" i="6" s="1"/>
  <c r="BY123" i="4"/>
  <c r="BV124" i="4" s="1"/>
  <c r="BW124" i="4" s="1"/>
  <c r="AM143" i="8"/>
  <c r="BG143" i="1"/>
  <c r="BD144" i="1" s="1"/>
  <c r="BF144" i="1" s="1"/>
  <c r="BG204" i="4"/>
  <c r="BD205" i="4" s="1"/>
  <c r="BF205" i="4" s="1"/>
  <c r="AX183" i="6"/>
  <c r="AU184" i="6" s="1"/>
  <c r="AW184" i="6" s="1"/>
  <c r="BE144" i="8"/>
  <c r="BF144" i="8"/>
  <c r="BF124" i="4"/>
  <c r="BE124" i="4"/>
  <c r="AV103" i="8"/>
  <c r="AX103" i="8" s="1"/>
  <c r="AU104" i="8" s="1"/>
  <c r="AW104" i="8" s="1"/>
  <c r="AV184" i="4"/>
  <c r="AX184" i="4" s="1"/>
  <c r="AU185" i="4" s="1"/>
  <c r="AV185" i="4" s="1"/>
  <c r="BW165" i="6"/>
  <c r="BY165" i="6" s="1"/>
  <c r="BV166" i="6" s="1"/>
  <c r="BX166" i="6" s="1"/>
  <c r="AW64" i="6"/>
  <c r="AX64" i="6" s="1"/>
  <c r="AU65" i="6" s="1"/>
  <c r="AW65" i="6" s="1"/>
  <c r="BF144" i="4"/>
  <c r="BG144" i="4" s="1"/>
  <c r="BD145" i="4" s="1"/>
  <c r="AM84" i="6"/>
  <c r="BX84" i="6"/>
  <c r="AM123" i="1"/>
  <c r="AN123" i="1"/>
  <c r="BO123" i="7"/>
  <c r="BP123" i="7" s="1"/>
  <c r="BM124" i="7" s="1"/>
  <c r="BN124" i="7" s="1"/>
  <c r="BO123" i="4"/>
  <c r="BP123" i="4" s="1"/>
  <c r="BM124" i="4" s="1"/>
  <c r="BN124" i="4" s="1"/>
  <c r="AV164" i="6"/>
  <c r="AX164" i="6" s="1"/>
  <c r="AU165" i="6" s="1"/>
  <c r="AV165" i="6" s="1"/>
  <c r="AM204" i="6"/>
  <c r="AO204" i="6" s="1"/>
  <c r="AL205" i="6" s="1"/>
  <c r="BP165" i="1"/>
  <c r="BM166" i="1" s="1"/>
  <c r="BN166" i="1" s="1"/>
  <c r="BF64" i="6"/>
  <c r="BG64" i="6" s="1"/>
  <c r="BD65" i="6" s="1"/>
  <c r="BE65" i="6" s="1"/>
  <c r="AW123" i="8"/>
  <c r="AX123" i="8" s="1"/>
  <c r="AU124" i="8" s="1"/>
  <c r="AV124" i="8" s="1"/>
  <c r="AV204" i="6"/>
  <c r="AX204" i="6" s="1"/>
  <c r="AU205" i="6" s="1"/>
  <c r="AV205" i="6" s="1"/>
  <c r="AM63" i="6"/>
  <c r="AO63" i="6" s="1"/>
  <c r="AL64" i="6" s="1"/>
  <c r="AN64" i="6" s="1"/>
  <c r="BW125" i="1"/>
  <c r="BY125" i="1" s="1"/>
  <c r="BV126" i="1" s="1"/>
  <c r="BW126" i="1" s="1"/>
  <c r="BW205" i="8"/>
  <c r="BX205" i="8"/>
  <c r="AM184" i="1"/>
  <c r="AO184" i="1" s="1"/>
  <c r="AL185" i="1" s="1"/>
  <c r="AN185" i="1" s="1"/>
  <c r="BY103" i="7"/>
  <c r="BV104" i="7" s="1"/>
  <c r="BX104" i="7" s="1"/>
  <c r="AO63" i="4"/>
  <c r="AL64" i="4" s="1"/>
  <c r="AN64" i="4" s="1"/>
  <c r="AM63" i="7"/>
  <c r="AO63" i="7" s="1"/>
  <c r="AL64" i="7" s="1"/>
  <c r="AM64" i="7" s="1"/>
  <c r="AV104" i="6"/>
  <c r="AX104" i="6" s="1"/>
  <c r="AU105" i="6" s="1"/>
  <c r="AV105" i="6" s="1"/>
  <c r="BO163" i="4"/>
  <c r="AW84" i="8"/>
  <c r="BN203" i="7"/>
  <c r="BP203" i="7" s="1"/>
  <c r="BM204" i="7" s="1"/>
  <c r="BO204" i="7" s="1"/>
  <c r="AN204" i="8"/>
  <c r="AO204" i="8" s="1"/>
  <c r="AL205" i="8" s="1"/>
  <c r="BO103" i="6"/>
  <c r="BP103" i="6" s="1"/>
  <c r="BM104" i="6" s="1"/>
  <c r="BN83" i="6"/>
  <c r="BP83" i="6" s="1"/>
  <c r="BM84" i="6" s="1"/>
  <c r="BN163" i="6"/>
  <c r="BP163" i="6" s="1"/>
  <c r="BM164" i="6" s="1"/>
  <c r="BW183" i="7"/>
  <c r="BY183" i="7" s="1"/>
  <c r="BV184" i="7" s="1"/>
  <c r="BX184" i="7" s="1"/>
  <c r="BO123" i="6"/>
  <c r="AM83" i="8"/>
  <c r="AO83" i="8" s="1"/>
  <c r="AL84" i="8" s="1"/>
  <c r="AN84" i="8" s="1"/>
  <c r="BF185" i="1"/>
  <c r="BE185" i="1"/>
  <c r="BX144" i="1"/>
  <c r="BW144" i="1"/>
  <c r="BW165" i="1"/>
  <c r="BY165" i="1" s="1"/>
  <c r="BV166" i="1" s="1"/>
  <c r="BO84" i="8"/>
  <c r="BP84" i="8" s="1"/>
  <c r="BM85" i="8" s="1"/>
  <c r="BX123" i="6"/>
  <c r="BY123" i="6" s="1"/>
  <c r="BV124" i="6" s="1"/>
  <c r="BX124" i="6" s="1"/>
  <c r="BN104" i="7"/>
  <c r="BP104" i="7" s="1"/>
  <c r="BM105" i="7" s="1"/>
  <c r="BN105" i="7" s="1"/>
  <c r="BX104" i="8"/>
  <c r="BP84" i="1"/>
  <c r="BM85" i="1" s="1"/>
  <c r="BN85" i="1" s="1"/>
  <c r="BY183" i="6"/>
  <c r="BV184" i="6" s="1"/>
  <c r="BX123" i="7"/>
  <c r="BY123" i="7" s="1"/>
  <c r="BV124" i="7" s="1"/>
  <c r="BX124" i="7" s="1"/>
  <c r="AW64" i="4"/>
  <c r="AX64" i="4" s="1"/>
  <c r="AU65" i="4" s="1"/>
  <c r="AV65" i="4" s="1"/>
  <c r="BW164" i="4"/>
  <c r="BY164" i="4" s="1"/>
  <c r="BV165" i="4" s="1"/>
  <c r="BX165" i="4" s="1"/>
  <c r="BF143" i="6"/>
  <c r="BG143" i="6" s="1"/>
  <c r="BD144" i="6" s="1"/>
  <c r="BE144" i="6" s="1"/>
  <c r="AM63" i="8"/>
  <c r="AO63" i="8" s="1"/>
  <c r="AL64" i="8" s="1"/>
  <c r="AN164" i="8"/>
  <c r="AO164" i="8" s="1"/>
  <c r="AL165" i="8" s="1"/>
  <c r="AX83" i="4"/>
  <c r="AU84" i="4" s="1"/>
  <c r="BY84" i="6"/>
  <c r="BV85" i="6" s="1"/>
  <c r="BX85" i="6" s="1"/>
  <c r="AW104" i="4"/>
  <c r="AV104" i="4"/>
  <c r="AN84" i="7"/>
  <c r="AM84" i="7"/>
  <c r="AV203" i="7"/>
  <c r="AX203" i="7" s="1"/>
  <c r="AU204" i="7" s="1"/>
  <c r="AW204" i="7" s="1"/>
  <c r="BF84" i="4"/>
  <c r="BG84" i="4" s="1"/>
  <c r="BD85" i="4" s="1"/>
  <c r="AN183" i="6"/>
  <c r="AO183" i="6" s="1"/>
  <c r="AL184" i="6" s="1"/>
  <c r="AN184" i="6" s="1"/>
  <c r="AN104" i="4"/>
  <c r="BY63" i="4"/>
  <c r="BV64" i="4" s="1"/>
  <c r="BX64" i="4" s="1"/>
  <c r="BF163" i="6"/>
  <c r="BG163" i="6" s="1"/>
  <c r="BD164" i="6" s="1"/>
  <c r="BF164" i="6" s="1"/>
  <c r="AW84" i="7"/>
  <c r="AX84" i="7" s="1"/>
  <c r="AU85" i="7" s="1"/>
  <c r="AV85" i="7" s="1"/>
  <c r="BN143" i="4"/>
  <c r="BP143" i="4" s="1"/>
  <c r="BM144" i="4" s="1"/>
  <c r="BN144" i="4" s="1"/>
  <c r="AN144" i="4"/>
  <c r="AO144" i="4" s="1"/>
  <c r="AL145" i="4" s="1"/>
  <c r="AV144" i="4"/>
  <c r="AX144" i="4" s="1"/>
  <c r="AU145" i="4" s="1"/>
  <c r="AV145" i="4" s="1"/>
  <c r="AW184" i="8"/>
  <c r="AX184" i="8" s="1"/>
  <c r="AU185" i="8" s="1"/>
  <c r="AV185" i="8" s="1"/>
  <c r="BW63" i="8"/>
  <c r="BY63" i="8" s="1"/>
  <c r="BV64" i="8" s="1"/>
  <c r="BW64" i="8" s="1"/>
  <c r="BX165" i="7"/>
  <c r="BY165" i="7" s="1"/>
  <c r="BV166" i="7" s="1"/>
  <c r="BX166" i="7" s="1"/>
  <c r="BX203" i="7"/>
  <c r="BY203" i="7" s="1"/>
  <c r="BV204" i="7" s="1"/>
  <c r="BW204" i="7" s="1"/>
  <c r="AO123" i="8"/>
  <c r="AL124" i="8" s="1"/>
  <c r="AM124" i="8" s="1"/>
  <c r="AN183" i="4"/>
  <c r="AO183" i="4" s="1"/>
  <c r="AL184" i="4" s="1"/>
  <c r="AO163" i="4"/>
  <c r="AL164" i="4" s="1"/>
  <c r="AM164" i="4" s="1"/>
  <c r="BP163" i="7"/>
  <c r="BM164" i="7" s="1"/>
  <c r="BN164" i="7" s="1"/>
  <c r="BF124" i="1"/>
  <c r="BE124" i="1"/>
  <c r="BG65" i="1"/>
  <c r="BD66" i="1" s="1"/>
  <c r="BE66" i="1" s="1"/>
  <c r="BO203" i="8"/>
  <c r="BP203" i="8" s="1"/>
  <c r="BM204" i="8" s="1"/>
  <c r="BN204" i="8" s="1"/>
  <c r="BE124" i="6"/>
  <c r="BG124" i="6" s="1"/>
  <c r="BD125" i="6" s="1"/>
  <c r="BE125" i="6" s="1"/>
  <c r="BX83" i="8"/>
  <c r="BY83" i="8" s="1"/>
  <c r="BV84" i="8" s="1"/>
  <c r="BX84" i="8" s="1"/>
  <c r="BY205" i="8"/>
  <c r="BV206" i="8" s="1"/>
  <c r="BW206" i="8" s="1"/>
  <c r="BO205" i="1"/>
  <c r="BN205" i="1"/>
  <c r="BW84" i="4"/>
  <c r="BX84" i="4"/>
  <c r="BX104" i="4"/>
  <c r="BW104" i="4"/>
  <c r="BX205" i="1"/>
  <c r="BW205" i="1"/>
  <c r="BN183" i="4"/>
  <c r="BP183" i="4" s="1"/>
  <c r="BM184" i="4" s="1"/>
  <c r="BO64" i="6"/>
  <c r="BP64" i="6" s="1"/>
  <c r="BM65" i="6" s="1"/>
  <c r="AM104" i="7"/>
  <c r="AO104" i="7" s="1"/>
  <c r="AL105" i="7" s="1"/>
  <c r="BO185" i="1"/>
  <c r="BP185" i="1" s="1"/>
  <c r="BM186" i="1" s="1"/>
  <c r="AN123" i="7"/>
  <c r="AO123" i="7" s="1"/>
  <c r="AL124" i="7" s="1"/>
  <c r="AN124" i="7" s="1"/>
  <c r="BX124" i="8"/>
  <c r="BY124" i="8" s="1"/>
  <c r="BV125" i="8" s="1"/>
  <c r="BW144" i="4"/>
  <c r="BY144" i="4" s="1"/>
  <c r="BV145" i="4" s="1"/>
  <c r="BW145" i="4" s="1"/>
  <c r="BF184" i="7"/>
  <c r="BG184" i="7" s="1"/>
  <c r="BD185" i="7" s="1"/>
  <c r="BF185" i="7" s="1"/>
  <c r="BF123" i="7"/>
  <c r="BG123" i="7" s="1"/>
  <c r="BD124" i="7" s="1"/>
  <c r="BF124" i="7" s="1"/>
  <c r="BW164" i="8"/>
  <c r="BY164" i="8" s="1"/>
  <c r="BV165" i="8" s="1"/>
  <c r="BW165" i="8" s="1"/>
  <c r="AO82" i="1"/>
  <c r="AL83" i="1" s="1"/>
  <c r="AN83" i="1" s="1"/>
  <c r="AV163" i="7"/>
  <c r="AX163" i="7" s="1"/>
  <c r="AU164" i="7" s="1"/>
  <c r="BN184" i="6"/>
  <c r="BP184" i="6" s="1"/>
  <c r="BM185" i="6" s="1"/>
  <c r="AM84" i="8"/>
  <c r="AO84" i="8" s="1"/>
  <c r="AL85" i="8" s="1"/>
  <c r="BP123" i="6"/>
  <c r="BM124" i="6" s="1"/>
  <c r="BN124" i="6" s="1"/>
  <c r="BP144" i="8"/>
  <c r="BM145" i="8" s="1"/>
  <c r="BN145" i="8" s="1"/>
  <c r="AV184" i="6"/>
  <c r="AX184" i="6" s="1"/>
  <c r="AU185" i="6" s="1"/>
  <c r="AW84" i="6"/>
  <c r="AX84" i="6" s="1"/>
  <c r="AU85" i="6" s="1"/>
  <c r="AN143" i="7"/>
  <c r="AO143" i="7" s="1"/>
  <c r="AL144" i="7" s="1"/>
  <c r="BY84" i="7"/>
  <c r="BV85" i="7" s="1"/>
  <c r="BW85" i="7" s="1"/>
  <c r="AM124" i="4"/>
  <c r="AO124" i="4" s="1"/>
  <c r="AL125" i="4" s="1"/>
  <c r="AM125" i="4" s="1"/>
  <c r="BG103" i="8"/>
  <c r="BD104" i="8" s="1"/>
  <c r="BE104" i="8" s="1"/>
  <c r="BY85" i="1"/>
  <c r="BV86" i="1" s="1"/>
  <c r="BX86" i="1" s="1"/>
  <c r="AO104" i="4"/>
  <c r="AL105" i="4" s="1"/>
  <c r="AN105" i="4" s="1"/>
  <c r="BE124" i="8"/>
  <c r="BG124" i="8" s="1"/>
  <c r="BD125" i="8" s="1"/>
  <c r="BF125" i="8" s="1"/>
  <c r="BW205" i="4"/>
  <c r="BX205" i="4"/>
  <c r="BE104" i="4"/>
  <c r="BF104" i="4"/>
  <c r="BN105" i="1"/>
  <c r="BO105" i="1"/>
  <c r="AW164" i="4"/>
  <c r="AV164" i="4"/>
  <c r="BW106" i="1"/>
  <c r="BX106" i="1"/>
  <c r="BW64" i="7"/>
  <c r="BX64" i="7"/>
  <c r="BY64" i="7" s="1"/>
  <c r="BV65" i="7" s="1"/>
  <c r="BX65" i="7" s="1"/>
  <c r="BE184" i="4"/>
  <c r="BF184" i="4"/>
  <c r="AO143" i="8"/>
  <c r="AL144" i="8" s="1"/>
  <c r="AN144" i="8" s="1"/>
  <c r="AX163" i="8"/>
  <c r="AU164" i="8" s="1"/>
  <c r="AV164" i="8" s="1"/>
  <c r="BG204" i="8"/>
  <c r="BD205" i="8" s="1"/>
  <c r="BF205" i="8" s="1"/>
  <c r="AW204" i="1"/>
  <c r="AV204" i="1"/>
  <c r="AM103" i="1"/>
  <c r="AO103" i="1" s="1"/>
  <c r="AL104" i="1" s="1"/>
  <c r="AM104" i="1" s="1"/>
  <c r="BF164" i="8"/>
  <c r="BG164" i="8" s="1"/>
  <c r="BD165" i="8" s="1"/>
  <c r="BE165" i="8" s="1"/>
  <c r="BF184" i="8"/>
  <c r="BG184" i="8" s="1"/>
  <c r="BD185" i="8" s="1"/>
  <c r="AV143" i="6"/>
  <c r="AX143" i="6" s="1"/>
  <c r="AU144" i="6" s="1"/>
  <c r="AV144" i="6" s="1"/>
  <c r="AN123" i="6"/>
  <c r="AO123" i="6" s="1"/>
  <c r="AL124" i="6" s="1"/>
  <c r="AX103" i="7"/>
  <c r="AU104" i="7" s="1"/>
  <c r="AW104" i="7" s="1"/>
  <c r="BF163" i="7"/>
  <c r="BG163" i="7" s="1"/>
  <c r="BD164" i="7" s="1"/>
  <c r="BF164" i="7" s="1"/>
  <c r="BF104" i="6"/>
  <c r="BG104" i="6" s="1"/>
  <c r="BD105" i="6" s="1"/>
  <c r="BX103" i="6"/>
  <c r="BY103" i="6" s="1"/>
  <c r="BV104" i="6" s="1"/>
  <c r="BW104" i="6" s="1"/>
  <c r="AM204" i="7"/>
  <c r="AO204" i="7" s="1"/>
  <c r="AL205" i="7" s="1"/>
  <c r="AO84" i="6"/>
  <c r="AL85" i="6" s="1"/>
  <c r="AM85" i="6" s="1"/>
  <c r="BX204" i="6"/>
  <c r="BW204" i="6"/>
  <c r="BF105" i="7"/>
  <c r="BG105" i="7" s="1"/>
  <c r="BD106" i="7" s="1"/>
  <c r="AV124" i="4"/>
  <c r="AX124" i="4" s="1"/>
  <c r="AU125" i="4" s="1"/>
  <c r="AV125" i="4" s="1"/>
  <c r="BF85" i="1"/>
  <c r="BG85" i="1" s="1"/>
  <c r="BD86" i="1" s="1"/>
  <c r="AM103" i="8"/>
  <c r="AO103" i="8" s="1"/>
  <c r="AL104" i="8" s="1"/>
  <c r="AN104" i="8" s="1"/>
  <c r="AM163" i="1"/>
  <c r="AO163" i="1" s="1"/>
  <c r="AL164" i="1" s="1"/>
  <c r="AN164" i="1" s="1"/>
  <c r="BO126" i="1"/>
  <c r="BP126" i="1" s="1"/>
  <c r="BM127" i="1" s="1"/>
  <c r="BG144" i="8"/>
  <c r="BD145" i="8" s="1"/>
  <c r="BF145" i="8" s="1"/>
  <c r="BP64" i="7"/>
  <c r="BM65" i="7" s="1"/>
  <c r="BO65" i="7" s="1"/>
  <c r="BP143" i="6"/>
  <c r="BM144" i="6" s="1"/>
  <c r="BN85" i="7"/>
  <c r="BO85" i="7"/>
  <c r="BX65" i="6"/>
  <c r="BW65" i="6"/>
  <c r="BO145" i="1"/>
  <c r="BN145" i="1"/>
  <c r="BX184" i="8"/>
  <c r="BW184" i="8"/>
  <c r="AM183" i="7"/>
  <c r="AO183" i="7" s="1"/>
  <c r="AL184" i="7" s="1"/>
  <c r="AN184" i="7" s="1"/>
  <c r="BN66" i="1"/>
  <c r="BP66" i="1" s="1"/>
  <c r="BM67" i="1" s="1"/>
  <c r="BO144" i="7"/>
  <c r="BP144" i="7" s="1"/>
  <c r="BM145" i="7" s="1"/>
  <c r="BW186" i="1"/>
  <c r="BY186" i="1" s="1"/>
  <c r="BV187" i="1" s="1"/>
  <c r="AM63" i="1"/>
  <c r="AO63" i="1" s="1"/>
  <c r="AL64" i="1" s="1"/>
  <c r="AN64" i="1" s="1"/>
  <c r="BE164" i="4"/>
  <c r="BG164" i="4" s="1"/>
  <c r="BD165" i="4" s="1"/>
  <c r="BF206" i="6"/>
  <c r="BW144" i="8"/>
  <c r="BY144" i="8" s="1"/>
  <c r="BV145" i="8" s="1"/>
  <c r="BW145" i="8" s="1"/>
  <c r="BG64" i="8"/>
  <c r="BD65" i="8" s="1"/>
  <c r="BE65" i="8" s="1"/>
  <c r="BN184" i="8"/>
  <c r="BP184" i="8" s="1"/>
  <c r="BM185" i="8" s="1"/>
  <c r="BF205" i="7"/>
  <c r="BG205" i="7" s="1"/>
  <c r="BD206" i="7" s="1"/>
  <c r="BE206" i="7" s="1"/>
  <c r="BE165" i="1"/>
  <c r="BG165" i="1" s="1"/>
  <c r="BD166" i="1" s="1"/>
  <c r="BE166" i="1" s="1"/>
  <c r="BO103" i="8"/>
  <c r="BN103" i="8"/>
  <c r="BG206" i="6"/>
  <c r="BD207" i="6" s="1"/>
  <c r="BE207" i="6" s="1"/>
  <c r="BE143" i="7"/>
  <c r="BG143" i="7" s="1"/>
  <c r="BD144" i="7" s="1"/>
  <c r="BE144" i="7" s="1"/>
  <c r="BG84" i="6"/>
  <c r="BD85" i="6" s="1"/>
  <c r="BY104" i="8"/>
  <c r="BV105" i="8" s="1"/>
  <c r="BX105" i="8" s="1"/>
  <c r="BP163" i="8"/>
  <c r="BM164" i="8" s="1"/>
  <c r="BO164" i="8" s="1"/>
  <c r="AW204" i="4"/>
  <c r="AX204" i="4" s="1"/>
  <c r="AU205" i="4" s="1"/>
  <c r="BO184" i="7"/>
  <c r="BP184" i="7" s="1"/>
  <c r="BM185" i="7" s="1"/>
  <c r="BO85" i="4"/>
  <c r="BP85" i="4" s="1"/>
  <c r="BM86" i="4" s="1"/>
  <c r="BF65" i="7"/>
  <c r="BG65" i="7" s="1"/>
  <c r="BD66" i="7" s="1"/>
  <c r="AW143" i="8"/>
  <c r="AX143" i="8" s="1"/>
  <c r="AU144" i="8" s="1"/>
  <c r="BG104" i="1"/>
  <c r="BD105" i="1" s="1"/>
  <c r="BE105" i="1" s="1"/>
  <c r="AX84" i="8"/>
  <c r="AU85" i="8" s="1"/>
  <c r="AW85" i="8" s="1"/>
  <c r="AN163" i="6"/>
  <c r="AO163" i="6" s="1"/>
  <c r="AL164" i="6" s="1"/>
  <c r="AN164" i="6" s="1"/>
  <c r="BO203" i="6"/>
  <c r="BN203" i="6"/>
  <c r="AV124" i="6"/>
  <c r="AW124" i="6"/>
  <c r="BE65" i="4"/>
  <c r="BF65" i="4"/>
  <c r="AV64" i="8"/>
  <c r="AW64" i="8"/>
  <c r="BN164" i="8"/>
  <c r="BE145" i="4"/>
  <c r="BF145" i="4"/>
  <c r="AW65" i="7"/>
  <c r="AV65" i="7"/>
  <c r="BN65" i="4"/>
  <c r="BO65" i="4"/>
  <c r="BE84" i="7"/>
  <c r="BF84" i="7"/>
  <c r="BE185" i="6"/>
  <c r="BF185" i="6"/>
  <c r="AM83" i="4"/>
  <c r="AN83" i="4"/>
  <c r="AN184" i="8"/>
  <c r="AM184" i="8"/>
  <c r="BX184" i="4"/>
  <c r="BY184" i="4" s="1"/>
  <c r="BV185" i="4" s="1"/>
  <c r="AW184" i="7"/>
  <c r="AX184" i="7" s="1"/>
  <c r="AU185" i="7" s="1"/>
  <c r="AW185" i="7" s="1"/>
  <c r="BW144" i="6"/>
  <c r="BY144" i="6" s="1"/>
  <c r="BV145" i="6" s="1"/>
  <c r="BW145" i="6" s="1"/>
  <c r="BF204" i="1"/>
  <c r="BE204" i="1"/>
  <c r="AO143" i="6"/>
  <c r="AL144" i="6" s="1"/>
  <c r="AN205" i="4"/>
  <c r="AO205" i="4" s="1"/>
  <c r="AL206" i="4" s="1"/>
  <c r="AN203" i="1"/>
  <c r="AO203" i="1" s="1"/>
  <c r="AL204" i="1" s="1"/>
  <c r="AW203" i="8"/>
  <c r="AX203" i="8" s="1"/>
  <c r="AU204" i="8" s="1"/>
  <c r="BO104" i="4"/>
  <c r="BP104" i="4" s="1"/>
  <c r="BM105" i="4" s="1"/>
  <c r="BP163" i="4"/>
  <c r="BM164" i="4" s="1"/>
  <c r="BO164" i="4" s="1"/>
  <c r="AW143" i="7"/>
  <c r="AX143" i="7" s="1"/>
  <c r="AU144" i="7" s="1"/>
  <c r="AV144" i="7" s="1"/>
  <c r="BN124" i="8"/>
  <c r="BP124" i="8" s="1"/>
  <c r="BM125" i="8" s="1"/>
  <c r="BO125" i="8" s="1"/>
  <c r="AO163" i="7"/>
  <c r="AL164" i="7" s="1"/>
  <c r="AV124" i="7"/>
  <c r="AX124" i="7" s="1"/>
  <c r="AU125" i="7" s="1"/>
  <c r="AV125" i="7" s="1"/>
  <c r="BX64" i="1"/>
  <c r="BW64" i="1"/>
  <c r="BY143" i="7"/>
  <c r="BV144" i="7" s="1"/>
  <c r="AM104" i="6"/>
  <c r="AN104" i="6"/>
  <c r="BG83" i="8"/>
  <c r="BD84" i="8" s="1"/>
  <c r="BE84" i="8" s="1"/>
  <c r="BN64" i="8"/>
  <c r="BO64" i="8"/>
  <c r="BX206" i="8"/>
  <c r="AW164" i="1" l="1"/>
  <c r="AV164" i="1"/>
  <c r="AX164" i="1" s="1"/>
  <c r="AU165" i="1" s="1"/>
  <c r="AW183" i="1"/>
  <c r="AX183" i="1" s="1"/>
  <c r="AU184" i="1" s="1"/>
  <c r="BO204" i="4"/>
  <c r="BN204" i="4"/>
  <c r="BG124" i="4"/>
  <c r="BD125" i="4" s="1"/>
  <c r="BE125" i="4" s="1"/>
  <c r="BG125" i="4" s="1"/>
  <c r="BD126" i="4" s="1"/>
  <c r="BE126" i="4" s="1"/>
  <c r="BX124" i="4"/>
  <c r="BY124" i="4" s="1"/>
  <c r="BV125" i="4" s="1"/>
  <c r="BX125" i="4" s="1"/>
  <c r="AV83" i="1"/>
  <c r="AW83" i="1"/>
  <c r="AW63" i="1"/>
  <c r="AV63" i="1"/>
  <c r="AX104" i="1"/>
  <c r="AU105" i="1" s="1"/>
  <c r="AW105" i="1" s="1"/>
  <c r="AV124" i="1"/>
  <c r="AW124" i="1"/>
  <c r="AM144" i="1"/>
  <c r="AO144" i="1" s="1"/>
  <c r="AL145" i="1" s="1"/>
  <c r="AN145" i="1" s="1"/>
  <c r="AX144" i="1"/>
  <c r="AU145" i="1" s="1"/>
  <c r="BG185" i="1"/>
  <c r="BD186" i="1" s="1"/>
  <c r="BF186" i="1" s="1"/>
  <c r="BE144" i="1"/>
  <c r="BG144" i="1" s="1"/>
  <c r="BD145" i="1" s="1"/>
  <c r="BE145" i="1" s="1"/>
  <c r="AO123" i="1"/>
  <c r="AL124" i="1" s="1"/>
  <c r="AN124" i="1" s="1"/>
  <c r="BP205" i="1"/>
  <c r="BM206" i="1" s="1"/>
  <c r="BO206" i="1" s="1"/>
  <c r="AW185" i="4"/>
  <c r="AX185" i="4" s="1"/>
  <c r="AU186" i="4" s="1"/>
  <c r="AV186" i="4" s="1"/>
  <c r="BE205" i="4"/>
  <c r="BG205" i="4" s="1"/>
  <c r="BD206" i="4" s="1"/>
  <c r="BE206" i="4" s="1"/>
  <c r="BY205" i="1"/>
  <c r="BV206" i="1" s="1"/>
  <c r="BW206" i="1" s="1"/>
  <c r="BF125" i="4"/>
  <c r="BW86" i="1"/>
  <c r="BY86" i="1" s="1"/>
  <c r="BV87" i="1" s="1"/>
  <c r="BO164" i="6"/>
  <c r="BN164" i="6"/>
  <c r="BP164" i="6" s="1"/>
  <c r="BM165" i="6" s="1"/>
  <c r="BO165" i="6" s="1"/>
  <c r="AN124" i="8"/>
  <c r="AX104" i="4"/>
  <c r="AU105" i="4" s="1"/>
  <c r="AV105" i="4" s="1"/>
  <c r="BO145" i="8"/>
  <c r="BP145" i="8" s="1"/>
  <c r="BM146" i="8" s="1"/>
  <c r="BY104" i="4"/>
  <c r="BV105" i="4" s="1"/>
  <c r="BW105" i="4" s="1"/>
  <c r="BO166" i="1"/>
  <c r="BP166" i="1" s="1"/>
  <c r="BM167" i="1" s="1"/>
  <c r="BN167" i="1" s="1"/>
  <c r="AO84" i="7"/>
  <c r="AL85" i="7" s="1"/>
  <c r="AN85" i="7" s="1"/>
  <c r="BF66" i="1"/>
  <c r="BG66" i="1" s="1"/>
  <c r="BD67" i="1" s="1"/>
  <c r="BF67" i="1" s="1"/>
  <c r="BN104" i="6"/>
  <c r="BO104" i="6"/>
  <c r="AN184" i="4"/>
  <c r="AM184" i="4"/>
  <c r="BN84" i="6"/>
  <c r="BO84" i="6"/>
  <c r="BO65" i="6"/>
  <c r="BN65" i="6"/>
  <c r="BO85" i="8"/>
  <c r="BN85" i="8"/>
  <c r="AM85" i="7"/>
  <c r="AV104" i="8"/>
  <c r="AX104" i="8" s="1"/>
  <c r="AU105" i="8" s="1"/>
  <c r="AV105" i="8" s="1"/>
  <c r="AM64" i="4"/>
  <c r="AO64" i="4" s="1"/>
  <c r="AL65" i="4" s="1"/>
  <c r="AN65" i="4" s="1"/>
  <c r="BO124" i="6"/>
  <c r="BP124" i="6" s="1"/>
  <c r="BM125" i="6" s="1"/>
  <c r="BN125" i="6" s="1"/>
  <c r="BP203" i="6"/>
  <c r="BM204" i="6" s="1"/>
  <c r="BO204" i="6" s="1"/>
  <c r="BY144" i="1"/>
  <c r="BV145" i="1" s="1"/>
  <c r="BW145" i="1" s="1"/>
  <c r="BX126" i="1"/>
  <c r="BY126" i="1" s="1"/>
  <c r="BV127" i="1" s="1"/>
  <c r="BW127" i="1" s="1"/>
  <c r="BE185" i="7"/>
  <c r="BG185" i="7" s="1"/>
  <c r="BD186" i="7" s="1"/>
  <c r="BO105" i="7"/>
  <c r="BP105" i="7" s="1"/>
  <c r="BM106" i="7" s="1"/>
  <c r="BN106" i="7" s="1"/>
  <c r="BP105" i="1"/>
  <c r="BM106" i="1" s="1"/>
  <c r="BO106" i="1" s="1"/>
  <c r="BE125" i="8"/>
  <c r="BG125" i="8" s="1"/>
  <c r="BD126" i="8" s="1"/>
  <c r="BX85" i="7"/>
  <c r="BY85" i="7" s="1"/>
  <c r="BV86" i="7" s="1"/>
  <c r="BW86" i="7" s="1"/>
  <c r="BW104" i="7"/>
  <c r="BY104" i="7" s="1"/>
  <c r="BV105" i="7" s="1"/>
  <c r="BF104" i="8"/>
  <c r="BG124" i="1"/>
  <c r="BD125" i="1" s="1"/>
  <c r="BF125" i="1" s="1"/>
  <c r="BN185" i="6"/>
  <c r="BO185" i="6"/>
  <c r="BN204" i="7"/>
  <c r="BP204" i="7" s="1"/>
  <c r="BM205" i="7" s="1"/>
  <c r="AW205" i="6"/>
  <c r="AX205" i="6" s="1"/>
  <c r="AU206" i="6" s="1"/>
  <c r="AW206" i="6" s="1"/>
  <c r="BF207" i="6"/>
  <c r="BG207" i="6" s="1"/>
  <c r="BD208" i="6" s="1"/>
  <c r="BE208" i="6" s="1"/>
  <c r="BW124" i="6"/>
  <c r="BY124" i="6" s="1"/>
  <c r="BV125" i="6" s="1"/>
  <c r="BX125" i="6" s="1"/>
  <c r="AN164" i="4"/>
  <c r="AO164" i="4" s="1"/>
  <c r="AL165" i="4" s="1"/>
  <c r="AM165" i="4" s="1"/>
  <c r="BF125" i="6"/>
  <c r="BG125" i="6" s="1"/>
  <c r="BD126" i="6" s="1"/>
  <c r="BE126" i="6" s="1"/>
  <c r="BW85" i="6"/>
  <c r="BY85" i="6" s="1"/>
  <c r="BV86" i="6" s="1"/>
  <c r="BW86" i="6" s="1"/>
  <c r="AW65" i="4"/>
  <c r="AX65" i="4" s="1"/>
  <c r="AU66" i="4" s="1"/>
  <c r="BX204" i="7"/>
  <c r="BY204" i="7" s="1"/>
  <c r="BV205" i="7" s="1"/>
  <c r="AN104" i="1"/>
  <c r="AO104" i="1" s="1"/>
  <c r="AL105" i="1" s="1"/>
  <c r="AN105" i="1" s="1"/>
  <c r="AO184" i="8"/>
  <c r="AL185" i="8" s="1"/>
  <c r="AN64" i="7"/>
  <c r="AO64" i="7" s="1"/>
  <c r="AL65" i="7" s="1"/>
  <c r="BG145" i="4"/>
  <c r="BD146" i="4" s="1"/>
  <c r="BE146" i="4" s="1"/>
  <c r="AW84" i="4"/>
  <c r="AV84" i="4"/>
  <c r="AW105" i="6"/>
  <c r="AX105" i="6" s="1"/>
  <c r="AU106" i="6" s="1"/>
  <c r="AV106" i="6" s="1"/>
  <c r="BW64" i="4"/>
  <c r="BY64" i="4" s="1"/>
  <c r="BV65" i="4" s="1"/>
  <c r="BW65" i="4" s="1"/>
  <c r="BF65" i="6"/>
  <c r="BG65" i="6" s="1"/>
  <c r="BD66" i="6" s="1"/>
  <c r="BF66" i="6" s="1"/>
  <c r="BX184" i="6"/>
  <c r="AM105" i="4"/>
  <c r="AO105" i="4" s="1"/>
  <c r="AL106" i="4" s="1"/>
  <c r="AN106" i="4" s="1"/>
  <c r="BO85" i="1"/>
  <c r="BP85" i="1" s="1"/>
  <c r="BM86" i="1" s="1"/>
  <c r="BN86" i="1" s="1"/>
  <c r="BW84" i="8"/>
  <c r="BY84" i="8" s="1"/>
  <c r="BV85" i="8" s="1"/>
  <c r="BX85" i="8" s="1"/>
  <c r="BW184" i="6"/>
  <c r="AN125" i="4"/>
  <c r="AO125" i="4" s="1"/>
  <c r="AL126" i="4" s="1"/>
  <c r="AN126" i="4" s="1"/>
  <c r="BE85" i="4"/>
  <c r="BF85" i="4"/>
  <c r="BO184" i="4"/>
  <c r="BN184" i="4"/>
  <c r="AV165" i="1"/>
  <c r="AW165" i="1"/>
  <c r="BX125" i="8"/>
  <c r="BW125" i="8"/>
  <c r="AW124" i="8"/>
  <c r="AX124" i="8" s="1"/>
  <c r="AU125" i="8" s="1"/>
  <c r="AV125" i="8" s="1"/>
  <c r="BY184" i="8"/>
  <c r="BV185" i="8" s="1"/>
  <c r="BW185" i="8" s="1"/>
  <c r="BP85" i="7"/>
  <c r="BM86" i="7" s="1"/>
  <c r="BN86" i="7" s="1"/>
  <c r="AW145" i="4"/>
  <c r="AX145" i="4" s="1"/>
  <c r="AU146" i="4" s="1"/>
  <c r="AV146" i="4" s="1"/>
  <c r="AX204" i="1"/>
  <c r="AU205" i="1" s="1"/>
  <c r="AV205" i="1" s="1"/>
  <c r="BY205" i="4"/>
  <c r="BV206" i="4" s="1"/>
  <c r="BX206" i="4" s="1"/>
  <c r="AV85" i="8"/>
  <c r="AX85" i="8" s="1"/>
  <c r="AU86" i="8" s="1"/>
  <c r="AW86" i="8" s="1"/>
  <c r="BN65" i="7"/>
  <c r="BP65" i="7" s="1"/>
  <c r="BM66" i="7" s="1"/>
  <c r="AX164" i="4"/>
  <c r="AU165" i="4" s="1"/>
  <c r="AV165" i="4" s="1"/>
  <c r="BO144" i="4"/>
  <c r="BP144" i="4" s="1"/>
  <c r="BM145" i="4" s="1"/>
  <c r="BN145" i="4" s="1"/>
  <c r="BE205" i="8"/>
  <c r="BG205" i="8" s="1"/>
  <c r="BD206" i="8" s="1"/>
  <c r="BE206" i="8" s="1"/>
  <c r="BO164" i="7"/>
  <c r="BP164" i="7" s="1"/>
  <c r="BM165" i="7" s="1"/>
  <c r="BN165" i="7" s="1"/>
  <c r="AN85" i="6"/>
  <c r="AO85" i="6" s="1"/>
  <c r="AL86" i="6" s="1"/>
  <c r="AM184" i="6"/>
  <c r="AO184" i="6" s="1"/>
  <c r="AL185" i="6" s="1"/>
  <c r="AM83" i="1"/>
  <c r="AO83" i="1" s="1"/>
  <c r="AL84" i="1" s="1"/>
  <c r="AN84" i="1" s="1"/>
  <c r="BO124" i="7"/>
  <c r="BP124" i="7" s="1"/>
  <c r="BM125" i="7" s="1"/>
  <c r="BO125" i="7" s="1"/>
  <c r="AM104" i="8"/>
  <c r="AO104" i="8" s="1"/>
  <c r="AL105" i="8" s="1"/>
  <c r="BN186" i="1"/>
  <c r="BO186" i="1"/>
  <c r="AM105" i="7"/>
  <c r="AN105" i="7"/>
  <c r="BO185" i="8"/>
  <c r="BN185" i="8"/>
  <c r="AV164" i="7"/>
  <c r="AW164" i="7"/>
  <c r="AV85" i="6"/>
  <c r="AW85" i="6"/>
  <c r="AV185" i="6"/>
  <c r="AX185" i="6" s="1"/>
  <c r="AU186" i="6" s="1"/>
  <c r="AV186" i="6" s="1"/>
  <c r="AW185" i="6"/>
  <c r="BW166" i="7"/>
  <c r="BY166" i="7" s="1"/>
  <c r="BV167" i="7" s="1"/>
  <c r="BO204" i="8"/>
  <c r="AM184" i="7"/>
  <c r="AO184" i="7" s="1"/>
  <c r="AL185" i="7" s="1"/>
  <c r="BW105" i="8"/>
  <c r="BY105" i="8" s="1"/>
  <c r="BV106" i="8" s="1"/>
  <c r="BE124" i="7"/>
  <c r="BG124" i="7" s="1"/>
  <c r="BD125" i="7" s="1"/>
  <c r="BN164" i="4"/>
  <c r="BP164" i="4" s="1"/>
  <c r="BM165" i="4" s="1"/>
  <c r="BN165" i="4" s="1"/>
  <c r="AO124" i="8"/>
  <c r="AL125" i="8" s="1"/>
  <c r="AN125" i="8" s="1"/>
  <c r="AM144" i="8"/>
  <c r="AO144" i="8" s="1"/>
  <c r="AL145" i="8" s="1"/>
  <c r="BG104" i="4"/>
  <c r="BD105" i="4" s="1"/>
  <c r="BE105" i="4" s="1"/>
  <c r="BE164" i="6"/>
  <c r="BG164" i="6" s="1"/>
  <c r="BD165" i="6" s="1"/>
  <c r="BE165" i="6" s="1"/>
  <c r="AM64" i="6"/>
  <c r="AO64" i="6" s="1"/>
  <c r="AL65" i="6" s="1"/>
  <c r="AM65" i="6" s="1"/>
  <c r="BP164" i="8"/>
  <c r="BM165" i="8" s="1"/>
  <c r="BN165" i="8" s="1"/>
  <c r="AM185" i="1"/>
  <c r="AO185" i="1" s="1"/>
  <c r="AL186" i="1" s="1"/>
  <c r="AN186" i="1" s="1"/>
  <c r="AW125" i="4"/>
  <c r="AX125" i="4" s="1"/>
  <c r="AU126" i="4" s="1"/>
  <c r="AW126" i="4" s="1"/>
  <c r="AV104" i="7"/>
  <c r="AX104" i="7" s="1"/>
  <c r="AU105" i="7" s="1"/>
  <c r="AW105" i="7" s="1"/>
  <c r="BF65" i="8"/>
  <c r="BG65" i="8" s="1"/>
  <c r="BD66" i="8" s="1"/>
  <c r="BE66" i="8" s="1"/>
  <c r="AW165" i="6"/>
  <c r="AX165" i="6" s="1"/>
  <c r="AU166" i="6" s="1"/>
  <c r="AV166" i="6" s="1"/>
  <c r="AW164" i="8"/>
  <c r="AX164" i="8" s="1"/>
  <c r="AU165" i="8" s="1"/>
  <c r="BY204" i="6"/>
  <c r="BV205" i="6" s="1"/>
  <c r="BW205" i="6" s="1"/>
  <c r="BP204" i="4"/>
  <c r="BM205" i="4" s="1"/>
  <c r="BY84" i="4"/>
  <c r="BV85" i="4" s="1"/>
  <c r="BP64" i="8"/>
  <c r="BM65" i="8" s="1"/>
  <c r="BO65" i="8" s="1"/>
  <c r="BP145" i="1"/>
  <c r="BM146" i="1" s="1"/>
  <c r="BN146" i="1" s="1"/>
  <c r="BG184" i="4"/>
  <c r="BD185" i="4" s="1"/>
  <c r="AW125" i="7"/>
  <c r="AX125" i="7" s="1"/>
  <c r="AU126" i="7" s="1"/>
  <c r="BE145" i="8"/>
  <c r="BG145" i="8" s="1"/>
  <c r="BD146" i="8" s="1"/>
  <c r="BE146" i="8" s="1"/>
  <c r="BO146" i="8"/>
  <c r="BN146" i="8"/>
  <c r="BP146" i="8" s="1"/>
  <c r="BM147" i="8" s="1"/>
  <c r="BN147" i="8" s="1"/>
  <c r="BE105" i="6"/>
  <c r="BF105" i="6"/>
  <c r="AN124" i="6"/>
  <c r="AM124" i="6"/>
  <c r="BW105" i="7"/>
  <c r="BX105" i="7"/>
  <c r="AN205" i="7"/>
  <c r="AM205" i="7"/>
  <c r="BE106" i="7"/>
  <c r="BF106" i="7"/>
  <c r="BF185" i="8"/>
  <c r="BE185" i="8"/>
  <c r="BO124" i="4"/>
  <c r="BP124" i="4" s="1"/>
  <c r="BM125" i="4" s="1"/>
  <c r="BN125" i="4" s="1"/>
  <c r="AW85" i="7"/>
  <c r="AV65" i="6"/>
  <c r="AX65" i="6" s="1"/>
  <c r="AU66" i="6" s="1"/>
  <c r="BW124" i="7"/>
  <c r="BY124" i="7" s="1"/>
  <c r="BV125" i="7" s="1"/>
  <c r="BW125" i="7" s="1"/>
  <c r="BW65" i="7"/>
  <c r="BY65" i="7" s="1"/>
  <c r="BV66" i="7" s="1"/>
  <c r="BG204" i="1"/>
  <c r="BD205" i="1" s="1"/>
  <c r="BE205" i="1" s="1"/>
  <c r="BP65" i="4"/>
  <c r="BM66" i="4" s="1"/>
  <c r="BN66" i="4" s="1"/>
  <c r="BN127" i="1"/>
  <c r="BO127" i="1"/>
  <c r="BW166" i="6"/>
  <c r="BY166" i="6" s="1"/>
  <c r="BV167" i="6" s="1"/>
  <c r="BX167" i="6" s="1"/>
  <c r="BF144" i="6"/>
  <c r="BG144" i="6" s="1"/>
  <c r="BD145" i="6" s="1"/>
  <c r="BE145" i="6" s="1"/>
  <c r="BX64" i="8"/>
  <c r="BY64" i="8" s="1"/>
  <c r="BV65" i="8" s="1"/>
  <c r="BX145" i="6"/>
  <c r="BY145" i="6" s="1"/>
  <c r="BV146" i="6" s="1"/>
  <c r="BW146" i="6" s="1"/>
  <c r="BW165" i="4"/>
  <c r="BY165" i="4" s="1"/>
  <c r="BV166" i="4" s="1"/>
  <c r="BX65" i="4"/>
  <c r="BY65" i="4" s="1"/>
  <c r="BV66" i="4" s="1"/>
  <c r="BX66" i="4" s="1"/>
  <c r="AM164" i="6"/>
  <c r="AO164" i="6" s="1"/>
  <c r="AL165" i="6" s="1"/>
  <c r="AN165" i="6" s="1"/>
  <c r="BN144" i="6"/>
  <c r="BO144" i="6"/>
  <c r="BY106" i="1"/>
  <c r="BV107" i="1" s="1"/>
  <c r="BX165" i="8"/>
  <c r="BY165" i="8" s="1"/>
  <c r="BV166" i="8" s="1"/>
  <c r="BY65" i="6"/>
  <c r="BV66" i="6" s="1"/>
  <c r="BE86" i="1"/>
  <c r="BF86" i="1"/>
  <c r="AW185" i="8"/>
  <c r="AX185" i="8" s="1"/>
  <c r="AU186" i="8" s="1"/>
  <c r="BF105" i="1"/>
  <c r="BG105" i="1" s="1"/>
  <c r="BD106" i="1" s="1"/>
  <c r="AM124" i="7"/>
  <c r="AO124" i="7" s="1"/>
  <c r="AL125" i="7" s="1"/>
  <c r="BG84" i="7"/>
  <c r="BD85" i="7" s="1"/>
  <c r="BE85" i="7" s="1"/>
  <c r="BX145" i="8"/>
  <c r="BY145" i="8" s="1"/>
  <c r="BV146" i="8" s="1"/>
  <c r="BG104" i="8"/>
  <c r="BD105" i="8" s="1"/>
  <c r="BF105" i="8" s="1"/>
  <c r="BF66" i="7"/>
  <c r="BE66" i="7"/>
  <c r="BN185" i="7"/>
  <c r="BO185" i="7"/>
  <c r="AM206" i="4"/>
  <c r="AN206" i="4"/>
  <c r="BE165" i="4"/>
  <c r="BF165" i="4"/>
  <c r="AW205" i="4"/>
  <c r="AV205" i="4"/>
  <c r="BO145" i="7"/>
  <c r="BN145" i="7"/>
  <c r="BO86" i="4"/>
  <c r="BN86" i="4"/>
  <c r="BN67" i="1"/>
  <c r="BO67" i="1"/>
  <c r="AV204" i="8"/>
  <c r="AW204" i="8"/>
  <c r="BX187" i="1"/>
  <c r="BW187" i="1"/>
  <c r="AV144" i="8"/>
  <c r="AW144" i="8"/>
  <c r="BN125" i="8"/>
  <c r="BP125" i="8" s="1"/>
  <c r="BM126" i="8" s="1"/>
  <c r="BO126" i="8" s="1"/>
  <c r="AX85" i="7"/>
  <c r="AU86" i="7" s="1"/>
  <c r="AV86" i="7" s="1"/>
  <c r="AX65" i="7"/>
  <c r="AU66" i="7" s="1"/>
  <c r="AV66" i="7" s="1"/>
  <c r="BX104" i="6"/>
  <c r="BY104" i="6" s="1"/>
  <c r="BV105" i="6" s="1"/>
  <c r="BF165" i="8"/>
  <c r="BG165" i="8" s="1"/>
  <c r="BD166" i="8" s="1"/>
  <c r="BE166" i="8" s="1"/>
  <c r="AX64" i="8"/>
  <c r="AU65" i="8" s="1"/>
  <c r="AW65" i="8" s="1"/>
  <c r="AX124" i="6"/>
  <c r="AU125" i="6" s="1"/>
  <c r="AV125" i="6" s="1"/>
  <c r="BP103" i="8"/>
  <c r="BM104" i="8" s="1"/>
  <c r="BG65" i="4"/>
  <c r="BD66" i="4" s="1"/>
  <c r="BF85" i="6"/>
  <c r="BE85" i="6"/>
  <c r="AV204" i="7"/>
  <c r="AX204" i="7" s="1"/>
  <c r="AU205" i="7" s="1"/>
  <c r="AV205" i="7" s="1"/>
  <c r="BF206" i="4"/>
  <c r="BG206" i="4" s="1"/>
  <c r="BD207" i="4" s="1"/>
  <c r="BF166" i="1"/>
  <c r="BG166" i="1" s="1"/>
  <c r="BD167" i="1" s="1"/>
  <c r="BE167" i="1" s="1"/>
  <c r="AW144" i="6"/>
  <c r="AX144" i="6" s="1"/>
  <c r="AU145" i="6" s="1"/>
  <c r="AM164" i="1"/>
  <c r="AO164" i="1" s="1"/>
  <c r="AL165" i="1" s="1"/>
  <c r="AM165" i="1" s="1"/>
  <c r="BP204" i="8"/>
  <c r="BM205" i="8" s="1"/>
  <c r="BO205" i="8" s="1"/>
  <c r="AM64" i="1"/>
  <c r="AO64" i="1" s="1"/>
  <c r="AL65" i="1" s="1"/>
  <c r="AW144" i="7"/>
  <c r="AX144" i="7" s="1"/>
  <c r="AU145" i="7" s="1"/>
  <c r="BX145" i="4"/>
  <c r="BY145" i="4" s="1"/>
  <c r="BV146" i="4" s="1"/>
  <c r="AM165" i="8"/>
  <c r="AN165" i="8"/>
  <c r="AV165" i="8"/>
  <c r="AW165" i="8"/>
  <c r="BW185" i="4"/>
  <c r="BX185" i="4"/>
  <c r="BO105" i="4"/>
  <c r="BN105" i="4"/>
  <c r="BY206" i="8"/>
  <c r="BV207" i="8" s="1"/>
  <c r="BX207" i="8" s="1"/>
  <c r="AW186" i="4"/>
  <c r="AX186" i="4" s="1"/>
  <c r="AU187" i="4" s="1"/>
  <c r="BW184" i="7"/>
  <c r="BY184" i="7" s="1"/>
  <c r="BV185" i="7" s="1"/>
  <c r="BW185" i="7" s="1"/>
  <c r="BE164" i="7"/>
  <c r="BG164" i="7" s="1"/>
  <c r="BD165" i="7" s="1"/>
  <c r="BF165" i="7" s="1"/>
  <c r="AN145" i="4"/>
  <c r="AM145" i="4"/>
  <c r="AM144" i="6"/>
  <c r="AN144" i="6"/>
  <c r="AO83" i="4"/>
  <c r="AL84" i="4" s="1"/>
  <c r="BX166" i="1"/>
  <c r="BW166" i="1"/>
  <c r="BG185" i="6"/>
  <c r="BD186" i="6" s="1"/>
  <c r="AV185" i="7"/>
  <c r="AX185" i="7" s="1"/>
  <c r="AU186" i="7" s="1"/>
  <c r="BF84" i="8"/>
  <c r="BG84" i="8" s="1"/>
  <c r="BD85" i="8" s="1"/>
  <c r="AN204" i="1"/>
  <c r="BF206" i="7"/>
  <c r="BG206" i="7" s="1"/>
  <c r="BD207" i="7" s="1"/>
  <c r="BF207" i="7" s="1"/>
  <c r="BF144" i="7"/>
  <c r="BG144" i="7" s="1"/>
  <c r="BD145" i="7" s="1"/>
  <c r="AO104" i="6"/>
  <c r="AL105" i="6" s="1"/>
  <c r="AM144" i="7"/>
  <c r="AN144" i="7"/>
  <c r="AM185" i="8"/>
  <c r="AN185" i="8"/>
  <c r="AM204" i="1"/>
  <c r="BX144" i="7"/>
  <c r="BW144" i="7"/>
  <c r="AN205" i="8"/>
  <c r="AM205" i="8"/>
  <c r="AM164" i="7"/>
  <c r="AN164" i="7"/>
  <c r="BY64" i="1"/>
  <c r="BV65" i="1" s="1"/>
  <c r="AN85" i="8"/>
  <c r="AM85" i="8"/>
  <c r="AN64" i="8"/>
  <c r="AM64" i="8"/>
  <c r="AN205" i="6"/>
  <c r="AM205" i="6"/>
  <c r="AX83" i="1" l="1"/>
  <c r="AU84" i="1" s="1"/>
  <c r="AX63" i="1"/>
  <c r="AU64" i="1" s="1"/>
  <c r="AV64" i="1" s="1"/>
  <c r="AV184" i="1"/>
  <c r="AW184" i="1"/>
  <c r="AX184" i="1" s="1"/>
  <c r="AU185" i="1" s="1"/>
  <c r="BW125" i="4"/>
  <c r="BY125" i="4" s="1"/>
  <c r="BV126" i="4" s="1"/>
  <c r="AM126" i="4"/>
  <c r="AO126" i="4" s="1"/>
  <c r="AL127" i="4" s="1"/>
  <c r="AV105" i="1"/>
  <c r="AX105" i="1" s="1"/>
  <c r="AU106" i="1" s="1"/>
  <c r="AW64" i="1"/>
  <c r="BN206" i="1"/>
  <c r="BP206" i="1" s="1"/>
  <c r="BM207" i="1" s="1"/>
  <c r="AW84" i="1"/>
  <c r="AV84" i="1"/>
  <c r="AM124" i="1"/>
  <c r="AO124" i="1" s="1"/>
  <c r="AL125" i="1" s="1"/>
  <c r="AM125" i="1" s="1"/>
  <c r="AX124" i="1"/>
  <c r="AU125" i="1" s="1"/>
  <c r="BX206" i="1"/>
  <c r="BE186" i="1"/>
  <c r="BG186" i="1" s="1"/>
  <c r="BD187" i="1" s="1"/>
  <c r="BE187" i="1" s="1"/>
  <c r="BE67" i="1"/>
  <c r="BG67" i="1" s="1"/>
  <c r="BD68" i="1" s="1"/>
  <c r="BF68" i="1" s="1"/>
  <c r="AV145" i="1"/>
  <c r="AW145" i="1"/>
  <c r="BN204" i="6"/>
  <c r="BP65" i="6"/>
  <c r="BM66" i="6" s="1"/>
  <c r="BO66" i="6" s="1"/>
  <c r="BP85" i="8"/>
  <c r="BM86" i="8" s="1"/>
  <c r="BN86" i="8" s="1"/>
  <c r="BP84" i="6"/>
  <c r="BM85" i="6" s="1"/>
  <c r="BN85" i="6" s="1"/>
  <c r="AO184" i="4"/>
  <c r="AL185" i="4" s="1"/>
  <c r="AM185" i="4" s="1"/>
  <c r="AM65" i="4"/>
  <c r="AO65" i="4" s="1"/>
  <c r="AL66" i="4" s="1"/>
  <c r="AN66" i="4" s="1"/>
  <c r="BO165" i="7"/>
  <c r="BP165" i="7" s="1"/>
  <c r="BM166" i="7" s="1"/>
  <c r="BN166" i="7" s="1"/>
  <c r="BP184" i="4"/>
  <c r="BM185" i="4" s="1"/>
  <c r="BN185" i="4" s="1"/>
  <c r="BF145" i="1"/>
  <c r="BG145" i="1" s="1"/>
  <c r="BD146" i="1" s="1"/>
  <c r="BP104" i="6"/>
  <c r="BM105" i="6" s="1"/>
  <c r="BN105" i="6" s="1"/>
  <c r="BE165" i="7"/>
  <c r="BG165" i="7" s="1"/>
  <c r="BD166" i="7" s="1"/>
  <c r="BE166" i="7" s="1"/>
  <c r="BX105" i="4"/>
  <c r="AW105" i="4"/>
  <c r="AX105" i="4" s="1"/>
  <c r="AU106" i="4" s="1"/>
  <c r="AV105" i="7"/>
  <c r="BF146" i="4"/>
  <c r="BG146" i="4" s="1"/>
  <c r="BD147" i="4" s="1"/>
  <c r="BP185" i="6"/>
  <c r="BM186" i="6" s="1"/>
  <c r="BO186" i="6" s="1"/>
  <c r="AO85" i="7"/>
  <c r="AL86" i="7" s="1"/>
  <c r="AN86" i="7" s="1"/>
  <c r="BO167" i="1"/>
  <c r="BP167" i="1" s="1"/>
  <c r="BM168" i="1" s="1"/>
  <c r="BO168" i="1" s="1"/>
  <c r="BX145" i="1"/>
  <c r="BY145" i="1" s="1"/>
  <c r="BV146" i="1" s="1"/>
  <c r="BW146" i="1" s="1"/>
  <c r="AX165" i="1"/>
  <c r="AU166" i="1" s="1"/>
  <c r="AW166" i="1" s="1"/>
  <c r="BY184" i="6"/>
  <c r="BV185" i="6" s="1"/>
  <c r="BX185" i="6" s="1"/>
  <c r="BP86" i="4"/>
  <c r="BM87" i="4" s="1"/>
  <c r="BN87" i="4" s="1"/>
  <c r="BX185" i="8"/>
  <c r="BY185" i="8" s="1"/>
  <c r="BV186" i="8" s="1"/>
  <c r="BW186" i="8" s="1"/>
  <c r="BE125" i="1"/>
  <c r="BG125" i="1" s="1"/>
  <c r="BD126" i="1" s="1"/>
  <c r="AW66" i="7"/>
  <c r="AX66" i="7" s="1"/>
  <c r="AU67" i="7" s="1"/>
  <c r="BY206" i="1"/>
  <c r="BV207" i="1" s="1"/>
  <c r="BX207" i="1" s="1"/>
  <c r="AX84" i="4"/>
  <c r="AU85" i="4" s="1"/>
  <c r="AW85" i="4" s="1"/>
  <c r="BW206" i="4"/>
  <c r="BY206" i="4" s="1"/>
  <c r="BV207" i="4" s="1"/>
  <c r="BW207" i="4" s="1"/>
  <c r="BN106" i="1"/>
  <c r="BP106" i="1" s="1"/>
  <c r="BM107" i="1" s="1"/>
  <c r="BN107" i="1" s="1"/>
  <c r="BG105" i="6"/>
  <c r="BD106" i="6" s="1"/>
  <c r="BF106" i="6" s="1"/>
  <c r="BP185" i="8"/>
  <c r="BM186" i="8" s="1"/>
  <c r="BN186" i="8" s="1"/>
  <c r="BP204" i="6"/>
  <c r="BM205" i="6" s="1"/>
  <c r="BN205" i="6" s="1"/>
  <c r="BF105" i="4"/>
  <c r="BG105" i="4" s="1"/>
  <c r="BD106" i="4" s="1"/>
  <c r="BF106" i="4" s="1"/>
  <c r="BG85" i="4"/>
  <c r="BD86" i="4" s="1"/>
  <c r="BE86" i="4" s="1"/>
  <c r="BO86" i="8"/>
  <c r="BP86" i="8" s="1"/>
  <c r="BM87" i="8" s="1"/>
  <c r="BO87" i="8" s="1"/>
  <c r="BX86" i="7"/>
  <c r="AX85" i="6"/>
  <c r="AU86" i="6" s="1"/>
  <c r="AV86" i="6" s="1"/>
  <c r="BY105" i="7"/>
  <c r="BV106" i="7" s="1"/>
  <c r="BX106" i="7" s="1"/>
  <c r="BW185" i="6"/>
  <c r="AV66" i="4"/>
  <c r="AW66" i="4"/>
  <c r="BX205" i="7"/>
  <c r="BW205" i="7"/>
  <c r="BO205" i="7"/>
  <c r="BN205" i="7"/>
  <c r="AW106" i="6"/>
  <c r="AX106" i="6" s="1"/>
  <c r="AU107" i="6" s="1"/>
  <c r="AW107" i="6" s="1"/>
  <c r="AM106" i="4"/>
  <c r="AO106" i="4" s="1"/>
  <c r="AL107" i="4" s="1"/>
  <c r="AM107" i="4" s="1"/>
  <c r="BY125" i="8"/>
  <c r="BV126" i="8" s="1"/>
  <c r="BX126" i="8" s="1"/>
  <c r="AV126" i="4"/>
  <c r="AX126" i="4" s="1"/>
  <c r="AU127" i="4" s="1"/>
  <c r="BX127" i="1"/>
  <c r="BY127" i="1" s="1"/>
  <c r="BV128" i="1" s="1"/>
  <c r="BX128" i="1" s="1"/>
  <c r="BO86" i="7"/>
  <c r="AW205" i="1"/>
  <c r="AX205" i="1" s="1"/>
  <c r="AU206" i="1" s="1"/>
  <c r="BO86" i="1"/>
  <c r="BP86" i="1" s="1"/>
  <c r="BM87" i="1" s="1"/>
  <c r="BO87" i="1" s="1"/>
  <c r="BY105" i="4"/>
  <c r="BV106" i="4" s="1"/>
  <c r="BW106" i="4" s="1"/>
  <c r="BF126" i="6"/>
  <c r="BG126" i="6" s="1"/>
  <c r="BD127" i="6" s="1"/>
  <c r="BF127" i="6" s="1"/>
  <c r="BE66" i="6"/>
  <c r="BG66" i="6" s="1"/>
  <c r="BD67" i="6" s="1"/>
  <c r="BF67" i="6" s="1"/>
  <c r="BO66" i="4"/>
  <c r="BP66" i="4" s="1"/>
  <c r="BM67" i="4" s="1"/>
  <c r="BP145" i="7"/>
  <c r="BM146" i="7" s="1"/>
  <c r="BO146" i="7" s="1"/>
  <c r="BP185" i="7"/>
  <c r="BM186" i="7" s="1"/>
  <c r="BO186" i="7" s="1"/>
  <c r="AO105" i="7"/>
  <c r="AL106" i="7" s="1"/>
  <c r="AN106" i="7" s="1"/>
  <c r="BF85" i="7"/>
  <c r="BG85" i="7" s="1"/>
  <c r="BD86" i="7" s="1"/>
  <c r="BX205" i="6"/>
  <c r="BY205" i="6" s="1"/>
  <c r="BV206" i="6" s="1"/>
  <c r="AX144" i="8"/>
  <c r="AU145" i="8" s="1"/>
  <c r="AW145" i="8" s="1"/>
  <c r="AM125" i="8"/>
  <c r="AO125" i="8" s="1"/>
  <c r="AL126" i="8" s="1"/>
  <c r="AN126" i="8" s="1"/>
  <c r="BF206" i="8"/>
  <c r="BG206" i="8" s="1"/>
  <c r="BD207" i="8" s="1"/>
  <c r="BE207" i="8" s="1"/>
  <c r="AW146" i="4"/>
  <c r="AX146" i="4" s="1"/>
  <c r="AU147" i="4" s="1"/>
  <c r="AX164" i="7"/>
  <c r="AU165" i="7" s="1"/>
  <c r="AV165" i="7" s="1"/>
  <c r="AN127" i="4"/>
  <c r="AM127" i="4"/>
  <c r="BF125" i="7"/>
  <c r="BE125" i="7"/>
  <c r="AV126" i="7"/>
  <c r="AW126" i="7"/>
  <c r="AX126" i="7" s="1"/>
  <c r="AU127" i="7" s="1"/>
  <c r="AW127" i="7" s="1"/>
  <c r="AM185" i="6"/>
  <c r="AN185" i="6"/>
  <c r="AM145" i="8"/>
  <c r="AN145" i="8"/>
  <c r="BW167" i="7"/>
  <c r="BX167" i="7"/>
  <c r="AM86" i="6"/>
  <c r="AN86" i="6"/>
  <c r="AM145" i="1"/>
  <c r="AO145" i="1" s="1"/>
  <c r="AL146" i="1" s="1"/>
  <c r="AN146" i="1" s="1"/>
  <c r="BO125" i="6"/>
  <c r="BP125" i="6" s="1"/>
  <c r="BM126" i="6" s="1"/>
  <c r="BO146" i="1"/>
  <c r="BP146" i="1" s="1"/>
  <c r="BM147" i="1" s="1"/>
  <c r="BN147" i="1" s="1"/>
  <c r="AM84" i="1"/>
  <c r="AO84" i="1" s="1"/>
  <c r="AL85" i="1" s="1"/>
  <c r="AN85" i="1" s="1"/>
  <c r="AV86" i="8"/>
  <c r="AX86" i="8" s="1"/>
  <c r="AU87" i="8" s="1"/>
  <c r="AV87" i="8" s="1"/>
  <c r="AM186" i="1"/>
  <c r="AO186" i="1" s="1"/>
  <c r="AL187" i="1" s="1"/>
  <c r="BF205" i="1"/>
  <c r="BG205" i="1" s="1"/>
  <c r="BD206" i="1" s="1"/>
  <c r="BW85" i="8"/>
  <c r="BY85" i="8" s="1"/>
  <c r="BV86" i="8" s="1"/>
  <c r="BW86" i="8" s="1"/>
  <c r="BX86" i="6"/>
  <c r="BY86" i="6" s="1"/>
  <c r="BV87" i="6" s="1"/>
  <c r="BX87" i="6" s="1"/>
  <c r="AW105" i="8"/>
  <c r="AX105" i="8" s="1"/>
  <c r="AU106" i="8" s="1"/>
  <c r="AV106" i="8" s="1"/>
  <c r="BF126" i="4"/>
  <c r="BN125" i="7"/>
  <c r="BP125" i="7" s="1"/>
  <c r="BM126" i="7" s="1"/>
  <c r="BO126" i="7" s="1"/>
  <c r="AM165" i="6"/>
  <c r="AO165" i="6" s="1"/>
  <c r="AL166" i="6" s="1"/>
  <c r="AN166" i="6" s="1"/>
  <c r="BG85" i="6"/>
  <c r="BD86" i="6" s="1"/>
  <c r="BF86" i="6" s="1"/>
  <c r="AO124" i="6"/>
  <c r="AL125" i="6" s="1"/>
  <c r="AN125" i="6" s="1"/>
  <c r="AW166" i="6"/>
  <c r="AX166" i="6" s="1"/>
  <c r="AU167" i="6" s="1"/>
  <c r="AW167" i="6" s="1"/>
  <c r="AW165" i="4"/>
  <c r="AX165" i="4" s="1"/>
  <c r="AU166" i="4" s="1"/>
  <c r="AW166" i="4" s="1"/>
  <c r="BN165" i="6"/>
  <c r="BP165" i="6" s="1"/>
  <c r="BM166" i="6" s="1"/>
  <c r="BO166" i="6" s="1"/>
  <c r="BO165" i="8"/>
  <c r="BP165" i="8" s="1"/>
  <c r="BM166" i="8" s="1"/>
  <c r="BX166" i="4"/>
  <c r="BW166" i="4"/>
  <c r="BX146" i="8"/>
  <c r="BW146" i="8"/>
  <c r="BW106" i="8"/>
  <c r="BX106" i="8"/>
  <c r="BX65" i="8"/>
  <c r="BW65" i="8"/>
  <c r="BX66" i="7"/>
  <c r="BW66" i="7"/>
  <c r="BE105" i="8"/>
  <c r="BG105" i="8" s="1"/>
  <c r="BD106" i="8" s="1"/>
  <c r="AW186" i="6"/>
  <c r="AX186" i="6" s="1"/>
  <c r="AU187" i="6" s="1"/>
  <c r="BW125" i="6"/>
  <c r="BY125" i="6" s="1"/>
  <c r="BV126" i="6" s="1"/>
  <c r="BX126" i="6" s="1"/>
  <c r="BE185" i="4"/>
  <c r="BF185" i="4"/>
  <c r="AV206" i="6"/>
  <c r="AX206" i="6" s="1"/>
  <c r="AU207" i="6" s="1"/>
  <c r="AW207" i="6" s="1"/>
  <c r="BG185" i="8"/>
  <c r="BD186" i="8" s="1"/>
  <c r="BE186" i="8" s="1"/>
  <c r="AO205" i="7"/>
  <c r="AL206" i="7" s="1"/>
  <c r="AN206" i="7" s="1"/>
  <c r="AX105" i="7"/>
  <c r="AU106" i="7" s="1"/>
  <c r="AV106" i="7" s="1"/>
  <c r="BP186" i="1"/>
  <c r="BM187" i="1" s="1"/>
  <c r="BW85" i="4"/>
  <c r="BX85" i="4"/>
  <c r="BF66" i="8"/>
  <c r="BG66" i="8" s="1"/>
  <c r="BD67" i="8" s="1"/>
  <c r="BF67" i="8" s="1"/>
  <c r="BN65" i="8"/>
  <c r="BP65" i="8" s="1"/>
  <c r="BM66" i="8" s="1"/>
  <c r="BO205" i="4"/>
  <c r="BN205" i="4"/>
  <c r="BX146" i="6"/>
  <c r="BY146" i="6" s="1"/>
  <c r="BV147" i="6" s="1"/>
  <c r="AX205" i="4"/>
  <c r="AU206" i="4" s="1"/>
  <c r="AW206" i="4" s="1"/>
  <c r="AV66" i="6"/>
  <c r="AW66" i="6"/>
  <c r="AN125" i="7"/>
  <c r="AM125" i="7"/>
  <c r="BW166" i="8"/>
  <c r="BX166" i="8"/>
  <c r="BX126" i="4"/>
  <c r="BW126" i="4"/>
  <c r="AV186" i="8"/>
  <c r="AW186" i="8"/>
  <c r="BP86" i="7"/>
  <c r="BM87" i="7" s="1"/>
  <c r="BO87" i="7" s="1"/>
  <c r="BN205" i="8"/>
  <c r="BP205" i="8" s="1"/>
  <c r="BM206" i="8" s="1"/>
  <c r="BN66" i="6"/>
  <c r="BP66" i="6" s="1"/>
  <c r="BM67" i="6" s="1"/>
  <c r="BN67" i="6" s="1"/>
  <c r="AM105" i="1"/>
  <c r="AO105" i="1" s="1"/>
  <c r="AL106" i="1" s="1"/>
  <c r="AN106" i="1" s="1"/>
  <c r="BW66" i="4"/>
  <c r="BY66" i="4" s="1"/>
  <c r="BV67" i="4" s="1"/>
  <c r="BX67" i="4" s="1"/>
  <c r="BF208" i="6"/>
  <c r="BG208" i="6" s="1"/>
  <c r="BD209" i="6" s="1"/>
  <c r="AO205" i="6"/>
  <c r="AL206" i="6" s="1"/>
  <c r="AM206" i="6" s="1"/>
  <c r="AN65" i="6"/>
  <c r="AO65" i="6" s="1"/>
  <c r="AL66" i="6" s="1"/>
  <c r="AO205" i="8"/>
  <c r="AL206" i="8" s="1"/>
  <c r="AM206" i="8" s="1"/>
  <c r="AV65" i="8"/>
  <c r="AX65" i="8" s="1"/>
  <c r="AU66" i="8" s="1"/>
  <c r="BY187" i="1"/>
  <c r="BV188" i="1" s="1"/>
  <c r="BW188" i="1" s="1"/>
  <c r="AO206" i="4"/>
  <c r="AL207" i="4" s="1"/>
  <c r="BG66" i="7"/>
  <c r="BD67" i="7" s="1"/>
  <c r="BG106" i="7"/>
  <c r="BD107" i="7" s="1"/>
  <c r="BX107" i="1"/>
  <c r="BW107" i="1"/>
  <c r="AW86" i="7"/>
  <c r="AX86" i="7" s="1"/>
  <c r="AU87" i="7" s="1"/>
  <c r="BO106" i="7"/>
  <c r="BP106" i="7" s="1"/>
  <c r="BM107" i="7" s="1"/>
  <c r="AO85" i="8"/>
  <c r="AL86" i="8" s="1"/>
  <c r="AN86" i="8" s="1"/>
  <c r="AO185" i="8"/>
  <c r="AL186" i="8" s="1"/>
  <c r="AN186" i="8" s="1"/>
  <c r="AX165" i="8"/>
  <c r="AU166" i="8" s="1"/>
  <c r="AV166" i="8" s="1"/>
  <c r="BO165" i="4"/>
  <c r="BP165" i="4" s="1"/>
  <c r="BM166" i="4" s="1"/>
  <c r="BO145" i="4"/>
  <c r="BP145" i="4" s="1"/>
  <c r="BM146" i="4" s="1"/>
  <c r="AO144" i="6"/>
  <c r="AL145" i="6" s="1"/>
  <c r="AM145" i="6" s="1"/>
  <c r="AW125" i="6"/>
  <c r="AX125" i="6" s="1"/>
  <c r="AU126" i="6" s="1"/>
  <c r="AX204" i="8"/>
  <c r="AU205" i="8" s="1"/>
  <c r="AV205" i="8" s="1"/>
  <c r="BG86" i="1"/>
  <c r="BD87" i="1" s="1"/>
  <c r="BP144" i="6"/>
  <c r="BM145" i="6" s="1"/>
  <c r="BP127" i="1"/>
  <c r="BM128" i="1" s="1"/>
  <c r="BF145" i="6"/>
  <c r="BG145" i="6" s="1"/>
  <c r="BD146" i="6" s="1"/>
  <c r="BE146" i="6" s="1"/>
  <c r="BO125" i="4"/>
  <c r="BP125" i="4" s="1"/>
  <c r="BM126" i="4" s="1"/>
  <c r="BN126" i="4" s="1"/>
  <c r="AN165" i="1"/>
  <c r="AO165" i="1" s="1"/>
  <c r="AL166" i="1" s="1"/>
  <c r="BX185" i="7"/>
  <c r="BY185" i="7" s="1"/>
  <c r="BV186" i="7" s="1"/>
  <c r="BW186" i="7" s="1"/>
  <c r="AW125" i="8"/>
  <c r="AX125" i="8" s="1"/>
  <c r="AU126" i="8" s="1"/>
  <c r="AO64" i="8"/>
  <c r="AL65" i="8" s="1"/>
  <c r="AM65" i="8" s="1"/>
  <c r="AO204" i="1"/>
  <c r="AL205" i="1" s="1"/>
  <c r="AN205" i="1" s="1"/>
  <c r="BY185" i="4"/>
  <c r="BV186" i="4" s="1"/>
  <c r="BX186" i="4" s="1"/>
  <c r="BG165" i="4"/>
  <c r="BD166" i="4" s="1"/>
  <c r="BF166" i="4" s="1"/>
  <c r="BX66" i="6"/>
  <c r="BW66" i="6"/>
  <c r="AO165" i="8"/>
  <c r="AL166" i="8" s="1"/>
  <c r="AV187" i="4"/>
  <c r="AW187" i="4"/>
  <c r="BX146" i="4"/>
  <c r="BW146" i="4"/>
  <c r="BX105" i="6"/>
  <c r="BW105" i="6"/>
  <c r="AN65" i="1"/>
  <c r="AM65" i="1"/>
  <c r="AV145" i="6"/>
  <c r="AW145" i="6"/>
  <c r="BF207" i="4"/>
  <c r="BE207" i="4"/>
  <c r="AV145" i="7"/>
  <c r="AW145" i="7"/>
  <c r="BO147" i="8"/>
  <c r="BP147" i="8" s="1"/>
  <c r="BM148" i="8" s="1"/>
  <c r="BW207" i="8"/>
  <c r="BY207" i="8" s="1"/>
  <c r="BV208" i="8" s="1"/>
  <c r="BW208" i="8" s="1"/>
  <c r="BO147" i="1"/>
  <c r="BN66" i="7"/>
  <c r="BO66" i="7"/>
  <c r="BE186" i="7"/>
  <c r="BF186" i="7"/>
  <c r="BY86" i="7"/>
  <c r="BV87" i="7" s="1"/>
  <c r="BP67" i="1"/>
  <c r="BM68" i="1" s="1"/>
  <c r="BF167" i="1"/>
  <c r="BG167" i="1" s="1"/>
  <c r="BD168" i="1" s="1"/>
  <c r="BF126" i="8"/>
  <c r="BE126" i="8"/>
  <c r="BF166" i="8"/>
  <c r="BG166" i="8" s="1"/>
  <c r="BD167" i="8" s="1"/>
  <c r="BW87" i="1"/>
  <c r="BX87" i="1"/>
  <c r="BN146" i="7"/>
  <c r="BP146" i="7" s="1"/>
  <c r="BM147" i="7" s="1"/>
  <c r="BO147" i="7" s="1"/>
  <c r="BF146" i="8"/>
  <c r="BG146" i="8" s="1"/>
  <c r="BD147" i="8" s="1"/>
  <c r="BN126" i="8"/>
  <c r="BP126" i="8" s="1"/>
  <c r="BM127" i="8" s="1"/>
  <c r="BX125" i="7"/>
  <c r="BY125" i="7" s="1"/>
  <c r="BV126" i="7" s="1"/>
  <c r="BX126" i="7" s="1"/>
  <c r="BO104" i="8"/>
  <c r="BN104" i="8"/>
  <c r="BG126" i="4"/>
  <c r="BD127" i="4" s="1"/>
  <c r="BE127" i="4" s="1"/>
  <c r="AW205" i="7"/>
  <c r="AX205" i="7" s="1"/>
  <c r="AU206" i="7" s="1"/>
  <c r="AO144" i="7"/>
  <c r="AL145" i="7" s="1"/>
  <c r="AN145" i="7" s="1"/>
  <c r="BF165" i="6"/>
  <c r="BG165" i="6" s="1"/>
  <c r="BD166" i="6" s="1"/>
  <c r="AO164" i="7"/>
  <c r="AL165" i="7" s="1"/>
  <c r="AN165" i="7" s="1"/>
  <c r="BY144" i="7"/>
  <c r="BV145" i="7" s="1"/>
  <c r="BX145" i="7" s="1"/>
  <c r="AO145" i="4"/>
  <c r="AL146" i="4" s="1"/>
  <c r="AN146" i="4" s="1"/>
  <c r="AN165" i="4"/>
  <c r="AO165" i="4" s="1"/>
  <c r="AL166" i="4" s="1"/>
  <c r="BE66" i="4"/>
  <c r="BF66" i="4"/>
  <c r="BE85" i="8"/>
  <c r="BF85" i="8"/>
  <c r="AV186" i="7"/>
  <c r="AW186" i="7"/>
  <c r="BN207" i="1"/>
  <c r="BO207" i="1"/>
  <c r="BW167" i="6"/>
  <c r="BY167" i="6" s="1"/>
  <c r="BV168" i="6" s="1"/>
  <c r="BW168" i="6" s="1"/>
  <c r="BF186" i="6"/>
  <c r="BE186" i="6"/>
  <c r="AM84" i="4"/>
  <c r="AN84" i="4"/>
  <c r="BE207" i="7"/>
  <c r="BG207" i="7" s="1"/>
  <c r="BD208" i="7" s="1"/>
  <c r="BE208" i="7" s="1"/>
  <c r="AN105" i="8"/>
  <c r="AM105" i="8"/>
  <c r="BW65" i="1"/>
  <c r="BX65" i="1"/>
  <c r="BE145" i="7"/>
  <c r="BF106" i="1"/>
  <c r="BE106" i="1"/>
  <c r="AM65" i="7"/>
  <c r="AN65" i="7"/>
  <c r="AM105" i="6"/>
  <c r="AN105" i="6"/>
  <c r="AN145" i="6"/>
  <c r="BF145" i="7"/>
  <c r="AM185" i="7"/>
  <c r="AN185" i="7"/>
  <c r="BY166" i="1"/>
  <c r="BV167" i="1" s="1"/>
  <c r="BP105" i="4"/>
  <c r="BM106" i="4" s="1"/>
  <c r="AX84" i="1" l="1"/>
  <c r="AU85" i="1" s="1"/>
  <c r="AV185" i="1"/>
  <c r="AW185" i="1"/>
  <c r="AX64" i="1"/>
  <c r="AU65" i="1" s="1"/>
  <c r="AW65" i="1" s="1"/>
  <c r="BX207" i="4"/>
  <c r="BY207" i="4" s="1"/>
  <c r="BV208" i="4" s="1"/>
  <c r="BX208" i="4" s="1"/>
  <c r="BX106" i="4"/>
  <c r="AW106" i="1"/>
  <c r="AV106" i="1"/>
  <c r="AV85" i="1"/>
  <c r="AW85" i="1"/>
  <c r="BF187" i="1"/>
  <c r="BG187" i="1" s="1"/>
  <c r="BD188" i="1" s="1"/>
  <c r="BF188" i="1" s="1"/>
  <c r="AN125" i="1"/>
  <c r="AO125" i="1" s="1"/>
  <c r="AL126" i="1" s="1"/>
  <c r="AN126" i="1" s="1"/>
  <c r="AW125" i="1"/>
  <c r="AV125" i="1"/>
  <c r="AX106" i="1"/>
  <c r="AU107" i="1" s="1"/>
  <c r="BP147" i="1"/>
  <c r="BM148" i="1" s="1"/>
  <c r="BN148" i="1" s="1"/>
  <c r="AX145" i="1"/>
  <c r="AU146" i="1" s="1"/>
  <c r="AV166" i="1"/>
  <c r="AX166" i="1" s="1"/>
  <c r="AU167" i="1" s="1"/>
  <c r="AV167" i="1" s="1"/>
  <c r="BO107" i="1"/>
  <c r="BP107" i="1" s="1"/>
  <c r="BM108" i="1" s="1"/>
  <c r="BN108" i="1" s="1"/>
  <c r="BF146" i="1"/>
  <c r="BE146" i="1"/>
  <c r="BG146" i="1" s="1"/>
  <c r="BD147" i="1" s="1"/>
  <c r="BE147" i="1" s="1"/>
  <c r="BO166" i="7"/>
  <c r="BP166" i="7" s="1"/>
  <c r="BM167" i="7" s="1"/>
  <c r="BY205" i="7"/>
  <c r="BV206" i="7" s="1"/>
  <c r="BW206" i="7" s="1"/>
  <c r="AM86" i="7"/>
  <c r="AN185" i="4"/>
  <c r="AO185" i="4" s="1"/>
  <c r="AL186" i="4" s="1"/>
  <c r="AN186" i="4" s="1"/>
  <c r="BO87" i="4"/>
  <c r="BP87" i="4" s="1"/>
  <c r="BM88" i="4" s="1"/>
  <c r="BN88" i="4" s="1"/>
  <c r="BY167" i="7"/>
  <c r="BV168" i="7" s="1"/>
  <c r="BW168" i="7" s="1"/>
  <c r="AX66" i="4"/>
  <c r="AU67" i="4" s="1"/>
  <c r="AW67" i="4" s="1"/>
  <c r="BO85" i="6"/>
  <c r="BP85" i="6" s="1"/>
  <c r="BM86" i="6" s="1"/>
  <c r="BN186" i="6"/>
  <c r="BP186" i="6" s="1"/>
  <c r="BM187" i="6" s="1"/>
  <c r="BO187" i="6" s="1"/>
  <c r="BX146" i="1"/>
  <c r="BY146" i="1" s="1"/>
  <c r="BV147" i="1" s="1"/>
  <c r="AV166" i="4"/>
  <c r="AX166" i="4" s="1"/>
  <c r="AU167" i="4" s="1"/>
  <c r="AV167" i="4" s="1"/>
  <c r="BY146" i="4"/>
  <c r="BV147" i="4" s="1"/>
  <c r="BW147" i="4" s="1"/>
  <c r="BO185" i="4"/>
  <c r="BP185" i="4" s="1"/>
  <c r="BM186" i="4" s="1"/>
  <c r="BO186" i="4" s="1"/>
  <c r="AW106" i="7"/>
  <c r="AV85" i="4"/>
  <c r="AX85" i="4" s="1"/>
  <c r="AU86" i="4" s="1"/>
  <c r="BO105" i="6"/>
  <c r="BP105" i="6" s="1"/>
  <c r="BM106" i="6" s="1"/>
  <c r="AN65" i="8"/>
  <c r="AO65" i="8" s="1"/>
  <c r="AL66" i="8" s="1"/>
  <c r="AN66" i="8" s="1"/>
  <c r="BE126" i="1"/>
  <c r="BF126" i="1"/>
  <c r="BO67" i="4"/>
  <c r="BN67" i="4"/>
  <c r="BF147" i="4"/>
  <c r="BE147" i="4"/>
  <c r="BW207" i="1"/>
  <c r="BY207" i="1" s="1"/>
  <c r="BV208" i="1" s="1"/>
  <c r="BX208" i="1" s="1"/>
  <c r="BY106" i="4"/>
  <c r="BV107" i="4" s="1"/>
  <c r="BW107" i="4" s="1"/>
  <c r="AV107" i="6"/>
  <c r="AX107" i="6" s="1"/>
  <c r="AU108" i="6" s="1"/>
  <c r="BY126" i="4"/>
  <c r="BV127" i="4" s="1"/>
  <c r="BX127" i="4" s="1"/>
  <c r="BN168" i="1"/>
  <c r="BP168" i="1" s="1"/>
  <c r="BM169" i="1" s="1"/>
  <c r="BO169" i="1" s="1"/>
  <c r="BY107" i="1"/>
  <c r="BV108" i="1" s="1"/>
  <c r="BW108" i="1" s="1"/>
  <c r="BY166" i="8"/>
  <c r="BV167" i="8" s="1"/>
  <c r="BX167" i="8" s="1"/>
  <c r="BP104" i="8"/>
  <c r="BM105" i="8" s="1"/>
  <c r="BN105" i="8" s="1"/>
  <c r="BO205" i="6"/>
  <c r="BP205" i="6" s="1"/>
  <c r="BM206" i="6" s="1"/>
  <c r="BO206" i="8"/>
  <c r="BN206" i="8"/>
  <c r="BO186" i="8"/>
  <c r="BP186" i="8" s="1"/>
  <c r="BM187" i="8" s="1"/>
  <c r="BO187" i="8" s="1"/>
  <c r="AO185" i="6"/>
  <c r="AL186" i="6" s="1"/>
  <c r="AN186" i="6" s="1"/>
  <c r="AW86" i="6"/>
  <c r="AX86" i="6" s="1"/>
  <c r="AU87" i="6" s="1"/>
  <c r="AW205" i="8"/>
  <c r="AX205" i="8" s="1"/>
  <c r="AU206" i="8" s="1"/>
  <c r="AV206" i="8" s="1"/>
  <c r="AM86" i="8"/>
  <c r="AO86" i="8" s="1"/>
  <c r="AL87" i="8" s="1"/>
  <c r="AN87" i="8" s="1"/>
  <c r="BE106" i="6"/>
  <c r="BG106" i="6" s="1"/>
  <c r="BD107" i="6" s="1"/>
  <c r="AM186" i="8"/>
  <c r="AO186" i="8" s="1"/>
  <c r="AL187" i="8" s="1"/>
  <c r="BW106" i="7"/>
  <c r="BY106" i="7" s="1"/>
  <c r="BV107" i="7" s="1"/>
  <c r="BW107" i="7" s="1"/>
  <c r="BW126" i="8"/>
  <c r="BY126" i="8" s="1"/>
  <c r="BV127" i="8" s="1"/>
  <c r="BY106" i="8"/>
  <c r="BV107" i="8" s="1"/>
  <c r="BW107" i="8" s="1"/>
  <c r="BF86" i="4"/>
  <c r="BG86" i="4" s="1"/>
  <c r="BD87" i="4" s="1"/>
  <c r="BF87" i="4" s="1"/>
  <c r="AO127" i="4"/>
  <c r="AL128" i="4" s="1"/>
  <c r="AN128" i="4" s="1"/>
  <c r="BY185" i="6"/>
  <c r="BV186" i="6" s="1"/>
  <c r="BE67" i="6"/>
  <c r="AO105" i="6"/>
  <c r="AL106" i="6" s="1"/>
  <c r="AN106" i="6" s="1"/>
  <c r="AV145" i="8"/>
  <c r="AX145" i="8" s="1"/>
  <c r="AU146" i="8" s="1"/>
  <c r="AW146" i="8" s="1"/>
  <c r="BX188" i="1"/>
  <c r="BY188" i="1" s="1"/>
  <c r="BV189" i="1" s="1"/>
  <c r="AV167" i="6"/>
  <c r="AX167" i="6" s="1"/>
  <c r="AU168" i="6" s="1"/>
  <c r="AW168" i="6" s="1"/>
  <c r="BX186" i="8"/>
  <c r="BY186" i="8" s="1"/>
  <c r="BV187" i="8" s="1"/>
  <c r="BW187" i="8" s="1"/>
  <c r="AX145" i="7"/>
  <c r="AU146" i="7" s="1"/>
  <c r="AW146" i="7" s="1"/>
  <c r="BP205" i="7"/>
  <c r="BM206" i="7" s="1"/>
  <c r="BO206" i="7" s="1"/>
  <c r="BN147" i="7"/>
  <c r="AW147" i="4"/>
  <c r="AV147" i="4"/>
  <c r="AV206" i="1"/>
  <c r="AW206" i="1"/>
  <c r="BW147" i="6"/>
  <c r="BX147" i="6"/>
  <c r="BO146" i="4"/>
  <c r="BN146" i="4"/>
  <c r="BW206" i="6"/>
  <c r="BX206" i="6"/>
  <c r="AO145" i="8"/>
  <c r="AL146" i="8" s="1"/>
  <c r="BY66" i="7"/>
  <c r="BV67" i="7" s="1"/>
  <c r="BX67" i="7" s="1"/>
  <c r="AV106" i="4"/>
  <c r="AW106" i="4"/>
  <c r="AM85" i="1"/>
  <c r="AO85" i="1" s="1"/>
  <c r="AL86" i="1" s="1"/>
  <c r="AM86" i="1" s="1"/>
  <c r="BW128" i="1"/>
  <c r="BY128" i="1" s="1"/>
  <c r="BV129" i="1" s="1"/>
  <c r="BX129" i="1" s="1"/>
  <c r="AV206" i="4"/>
  <c r="AX206" i="4" s="1"/>
  <c r="AU207" i="4" s="1"/>
  <c r="AV207" i="4" s="1"/>
  <c r="AM106" i="7"/>
  <c r="AO106" i="7" s="1"/>
  <c r="AL107" i="7" s="1"/>
  <c r="BF186" i="8"/>
  <c r="BG186" i="8" s="1"/>
  <c r="BD187" i="8" s="1"/>
  <c r="BF187" i="8" s="1"/>
  <c r="BE106" i="4"/>
  <c r="BG106" i="4" s="1"/>
  <c r="BD107" i="4" s="1"/>
  <c r="BF107" i="4" s="1"/>
  <c r="AO86" i="6"/>
  <c r="AL87" i="6" s="1"/>
  <c r="AM87" i="6" s="1"/>
  <c r="AW165" i="7"/>
  <c r="AX165" i="7" s="1"/>
  <c r="AU166" i="7" s="1"/>
  <c r="AW166" i="7" s="1"/>
  <c r="AM206" i="7"/>
  <c r="AO206" i="7" s="1"/>
  <c r="AL207" i="7" s="1"/>
  <c r="AN207" i="7" s="1"/>
  <c r="AM125" i="6"/>
  <c r="AO125" i="6" s="1"/>
  <c r="AL126" i="6" s="1"/>
  <c r="AN206" i="8"/>
  <c r="BG125" i="7"/>
  <c r="BD126" i="7" s="1"/>
  <c r="BF126" i="7" s="1"/>
  <c r="BG67" i="6"/>
  <c r="BD68" i="6" s="1"/>
  <c r="BF68" i="6" s="1"/>
  <c r="BF207" i="8"/>
  <c r="BG207" i="8" s="1"/>
  <c r="BD208" i="8" s="1"/>
  <c r="BN186" i="7"/>
  <c r="BP186" i="7" s="1"/>
  <c r="BM187" i="7" s="1"/>
  <c r="BN187" i="7" s="1"/>
  <c r="BP205" i="4"/>
  <c r="BM206" i="4" s="1"/>
  <c r="BN206" i="4" s="1"/>
  <c r="BY166" i="4"/>
  <c r="BV167" i="4" s="1"/>
  <c r="BX167" i="4" s="1"/>
  <c r="BO166" i="8"/>
  <c r="BN166" i="8"/>
  <c r="BO126" i="6"/>
  <c r="BN126" i="6"/>
  <c r="BP126" i="6" s="1"/>
  <c r="BM127" i="6" s="1"/>
  <c r="BF209" i="6"/>
  <c r="BE209" i="6"/>
  <c r="AV187" i="6"/>
  <c r="AW187" i="6"/>
  <c r="AN187" i="1"/>
  <c r="AM187" i="1"/>
  <c r="BW126" i="7"/>
  <c r="BY146" i="8"/>
  <c r="BV147" i="8" s="1"/>
  <c r="BX147" i="8" s="1"/>
  <c r="BE86" i="6"/>
  <c r="BG86" i="6" s="1"/>
  <c r="BD87" i="6" s="1"/>
  <c r="BF87" i="6" s="1"/>
  <c r="BO126" i="4"/>
  <c r="BP126" i="4" s="1"/>
  <c r="BM127" i="4" s="1"/>
  <c r="AW87" i="8"/>
  <c r="AX87" i="8" s="1"/>
  <c r="AU88" i="8" s="1"/>
  <c r="AW88" i="8" s="1"/>
  <c r="BX168" i="6"/>
  <c r="BY168" i="6" s="1"/>
  <c r="BV169" i="6" s="1"/>
  <c r="AM146" i="4"/>
  <c r="AO146" i="4" s="1"/>
  <c r="AL147" i="4" s="1"/>
  <c r="AM146" i="1"/>
  <c r="AO146" i="1" s="1"/>
  <c r="AL147" i="1" s="1"/>
  <c r="AN107" i="4"/>
  <c r="AO107" i="4" s="1"/>
  <c r="AL108" i="4" s="1"/>
  <c r="BN87" i="1"/>
  <c r="BP87" i="1" s="1"/>
  <c r="BM88" i="1" s="1"/>
  <c r="BN87" i="7"/>
  <c r="BP87" i="7" s="1"/>
  <c r="BM88" i="7" s="1"/>
  <c r="AN206" i="6"/>
  <c r="BN126" i="7"/>
  <c r="BP126" i="7" s="1"/>
  <c r="BM127" i="7" s="1"/>
  <c r="BO127" i="7" s="1"/>
  <c r="BX86" i="8"/>
  <c r="BY86" i="8" s="1"/>
  <c r="BV87" i="8" s="1"/>
  <c r="BW87" i="8" s="1"/>
  <c r="AM205" i="1"/>
  <c r="AO205" i="1" s="1"/>
  <c r="AL206" i="1" s="1"/>
  <c r="AW166" i="8"/>
  <c r="AX166" i="8" s="1"/>
  <c r="AU167" i="8" s="1"/>
  <c r="AW167" i="8" s="1"/>
  <c r="AX66" i="6"/>
  <c r="AU67" i="6" s="1"/>
  <c r="AV67" i="6" s="1"/>
  <c r="BN87" i="8"/>
  <c r="AO145" i="6"/>
  <c r="AL146" i="6" s="1"/>
  <c r="AM146" i="6" s="1"/>
  <c r="BG185" i="4"/>
  <c r="BD186" i="4" s="1"/>
  <c r="BE186" i="4" s="1"/>
  <c r="AW126" i="6"/>
  <c r="AV126" i="6"/>
  <c r="AX126" i="6" s="1"/>
  <c r="AU127" i="6" s="1"/>
  <c r="BE106" i="8"/>
  <c r="BF106" i="8"/>
  <c r="BX127" i="8"/>
  <c r="BW127" i="8"/>
  <c r="BN187" i="6"/>
  <c r="BN186" i="4"/>
  <c r="BF208" i="7"/>
  <c r="AM145" i="7"/>
  <c r="AO145" i="7" s="1"/>
  <c r="AL146" i="7" s="1"/>
  <c r="AO125" i="7"/>
  <c r="AL126" i="7" s="1"/>
  <c r="AN126" i="7" s="1"/>
  <c r="BO187" i="1"/>
  <c r="BN187" i="1"/>
  <c r="BY126" i="7"/>
  <c r="BV127" i="7" s="1"/>
  <c r="BX127" i="7" s="1"/>
  <c r="BE68" i="1"/>
  <c r="BG68" i="1" s="1"/>
  <c r="BD69" i="1" s="1"/>
  <c r="BE69" i="1" s="1"/>
  <c r="AM165" i="7"/>
  <c r="AO165" i="7" s="1"/>
  <c r="AL166" i="7" s="1"/>
  <c r="AM166" i="7" s="1"/>
  <c r="BY65" i="8"/>
  <c r="BV66" i="8" s="1"/>
  <c r="AM106" i="1"/>
  <c r="AO106" i="1" s="1"/>
  <c r="AL107" i="1" s="1"/>
  <c r="AO86" i="7"/>
  <c r="AL87" i="7" s="1"/>
  <c r="AM87" i="7" s="1"/>
  <c r="AM126" i="8"/>
  <c r="AO126" i="8" s="1"/>
  <c r="AL127" i="8" s="1"/>
  <c r="AM127" i="8" s="1"/>
  <c r="BY87" i="1"/>
  <c r="BV88" i="1" s="1"/>
  <c r="BX88" i="1" s="1"/>
  <c r="AX145" i="6"/>
  <c r="AU146" i="6" s="1"/>
  <c r="AV146" i="6" s="1"/>
  <c r="BY85" i="4"/>
  <c r="BV86" i="4" s="1"/>
  <c r="BF166" i="7"/>
  <c r="BG166" i="7" s="1"/>
  <c r="BD167" i="7" s="1"/>
  <c r="BF166" i="6"/>
  <c r="BE166" i="6"/>
  <c r="BE107" i="6"/>
  <c r="BF107" i="6"/>
  <c r="BO107" i="7"/>
  <c r="BN107" i="7"/>
  <c r="AV87" i="7"/>
  <c r="AW87" i="7"/>
  <c r="BO166" i="4"/>
  <c r="BN166" i="4"/>
  <c r="AN66" i="6"/>
  <c r="AM66" i="6"/>
  <c r="AM166" i="1"/>
  <c r="AN166" i="1"/>
  <c r="AV126" i="8"/>
  <c r="AW126" i="8"/>
  <c r="BO88" i="4"/>
  <c r="BE87" i="1"/>
  <c r="BF87" i="1"/>
  <c r="BG186" i="7"/>
  <c r="BD187" i="7" s="1"/>
  <c r="BE187" i="7" s="1"/>
  <c r="BX186" i="7"/>
  <c r="BY186" i="7" s="1"/>
  <c r="BV187" i="7" s="1"/>
  <c r="BE166" i="4"/>
  <c r="BG166" i="4" s="1"/>
  <c r="BD167" i="4" s="1"/>
  <c r="BF167" i="4" s="1"/>
  <c r="BO128" i="1"/>
  <c r="BN128" i="1"/>
  <c r="BN166" i="6"/>
  <c r="BP166" i="6" s="1"/>
  <c r="BM167" i="6" s="1"/>
  <c r="BN167" i="6" s="1"/>
  <c r="BW126" i="6"/>
  <c r="BY126" i="6" s="1"/>
  <c r="BV127" i="6" s="1"/>
  <c r="BY66" i="6"/>
  <c r="BV67" i="6" s="1"/>
  <c r="BN145" i="6"/>
  <c r="BO145" i="6"/>
  <c r="BW67" i="4"/>
  <c r="BY67" i="4" s="1"/>
  <c r="BV68" i="4" s="1"/>
  <c r="AV207" i="6"/>
  <c r="AX207" i="6" s="1"/>
  <c r="AU208" i="6" s="1"/>
  <c r="AV208" i="6" s="1"/>
  <c r="AN207" i="4"/>
  <c r="AM207" i="4"/>
  <c r="BO67" i="6"/>
  <c r="BP67" i="6" s="1"/>
  <c r="BM68" i="6" s="1"/>
  <c r="BN68" i="6" s="1"/>
  <c r="AO65" i="7"/>
  <c r="AL66" i="7" s="1"/>
  <c r="AN66" i="7" s="1"/>
  <c r="AM66" i="4"/>
  <c r="AO66" i="4" s="1"/>
  <c r="AL67" i="4" s="1"/>
  <c r="AM67" i="4" s="1"/>
  <c r="BW186" i="4"/>
  <c r="BY186" i="4" s="1"/>
  <c r="BV187" i="4" s="1"/>
  <c r="AX186" i="8"/>
  <c r="AU187" i="8" s="1"/>
  <c r="BE107" i="7"/>
  <c r="BF107" i="7"/>
  <c r="BF67" i="7"/>
  <c r="BE67" i="7"/>
  <c r="BG67" i="7" s="1"/>
  <c r="BD68" i="7" s="1"/>
  <c r="BG126" i="8"/>
  <c r="BD127" i="8" s="1"/>
  <c r="BF127" i="8" s="1"/>
  <c r="AO65" i="1"/>
  <c r="AL66" i="1" s="1"/>
  <c r="AN66" i="1" s="1"/>
  <c r="AN166" i="8"/>
  <c r="AM166" i="8"/>
  <c r="BF167" i="8"/>
  <c r="BE167" i="8"/>
  <c r="AW206" i="7"/>
  <c r="AV206" i="7"/>
  <c r="BN127" i="8"/>
  <c r="BO127" i="8"/>
  <c r="BE147" i="8"/>
  <c r="BF147" i="8"/>
  <c r="BN148" i="8"/>
  <c r="BO148" i="8"/>
  <c r="BW208" i="4"/>
  <c r="BY208" i="4" s="1"/>
  <c r="BV209" i="4" s="1"/>
  <c r="BX209" i="4" s="1"/>
  <c r="BG186" i="6"/>
  <c r="BD187" i="6" s="1"/>
  <c r="BF187" i="6" s="1"/>
  <c r="BG207" i="4"/>
  <c r="BD208" i="4" s="1"/>
  <c r="BP66" i="7"/>
  <c r="BM67" i="7" s="1"/>
  <c r="BY105" i="6"/>
  <c r="BV106" i="6" s="1"/>
  <c r="AV127" i="7"/>
  <c r="AX127" i="7" s="1"/>
  <c r="AU128" i="7" s="1"/>
  <c r="BF146" i="6"/>
  <c r="BG146" i="6" s="1"/>
  <c r="BD147" i="6" s="1"/>
  <c r="BE147" i="6" s="1"/>
  <c r="BW145" i="7"/>
  <c r="BY145" i="7" s="1"/>
  <c r="BV146" i="7" s="1"/>
  <c r="BX146" i="7" s="1"/>
  <c r="AM186" i="4"/>
  <c r="BN68" i="1"/>
  <c r="BO68" i="1"/>
  <c r="BP147" i="7"/>
  <c r="BM148" i="7" s="1"/>
  <c r="BO148" i="7" s="1"/>
  <c r="BG85" i="8"/>
  <c r="BD86" i="8" s="1"/>
  <c r="BE86" i="8" s="1"/>
  <c r="BG66" i="4"/>
  <c r="BD67" i="4" s="1"/>
  <c r="BF127" i="4"/>
  <c r="BG127" i="4" s="1"/>
  <c r="BD128" i="4" s="1"/>
  <c r="BX208" i="8"/>
  <c r="BY208" i="8" s="1"/>
  <c r="BV209" i="8" s="1"/>
  <c r="AM166" i="6"/>
  <c r="AO166" i="6" s="1"/>
  <c r="AL167" i="6" s="1"/>
  <c r="AX186" i="7"/>
  <c r="AU187" i="7" s="1"/>
  <c r="AW187" i="7" s="1"/>
  <c r="BE86" i="7"/>
  <c r="BF86" i="7"/>
  <c r="AX106" i="7"/>
  <c r="AU107" i="7" s="1"/>
  <c r="BE127" i="6"/>
  <c r="BG127" i="6" s="1"/>
  <c r="BD128" i="6" s="1"/>
  <c r="BG145" i="7"/>
  <c r="BD146" i="7" s="1"/>
  <c r="BE146" i="7" s="1"/>
  <c r="BG208" i="7"/>
  <c r="BD209" i="7" s="1"/>
  <c r="BF209" i="7" s="1"/>
  <c r="AO84" i="4"/>
  <c r="AL85" i="4" s="1"/>
  <c r="AN85" i="4" s="1"/>
  <c r="BW87" i="7"/>
  <c r="BX87" i="7"/>
  <c r="AX187" i="4"/>
  <c r="AU188" i="4" s="1"/>
  <c r="BE67" i="8"/>
  <c r="BG67" i="8" s="1"/>
  <c r="BD68" i="8" s="1"/>
  <c r="BF68" i="8" s="1"/>
  <c r="BW87" i="6"/>
  <c r="BY87" i="6" s="1"/>
  <c r="BV88" i="6" s="1"/>
  <c r="BX168" i="7"/>
  <c r="BY168" i="7" s="1"/>
  <c r="BV169" i="7" s="1"/>
  <c r="BW169" i="7" s="1"/>
  <c r="AW106" i="8"/>
  <c r="AX106" i="8" s="1"/>
  <c r="AU107" i="8" s="1"/>
  <c r="AW107" i="8" s="1"/>
  <c r="BO148" i="1"/>
  <c r="BG106" i="1"/>
  <c r="BD107" i="1" s="1"/>
  <c r="AO206" i="6"/>
  <c r="AL207" i="6" s="1"/>
  <c r="BF206" i="1"/>
  <c r="BE206" i="1"/>
  <c r="AW127" i="4"/>
  <c r="AV127" i="4"/>
  <c r="BN66" i="8"/>
  <c r="BO66" i="8"/>
  <c r="AO206" i="8"/>
  <c r="AL207" i="8" s="1"/>
  <c r="BP207" i="1"/>
  <c r="BM208" i="1" s="1"/>
  <c r="BP87" i="8"/>
  <c r="BM88" i="8" s="1"/>
  <c r="BN88" i="8" s="1"/>
  <c r="AV66" i="8"/>
  <c r="AW66" i="8"/>
  <c r="BE168" i="1"/>
  <c r="BF168" i="1"/>
  <c r="AV67" i="7"/>
  <c r="AW67" i="7"/>
  <c r="BX167" i="1"/>
  <c r="BW167" i="1"/>
  <c r="BY65" i="1"/>
  <c r="BV66" i="1" s="1"/>
  <c r="AO105" i="8"/>
  <c r="AL106" i="8" s="1"/>
  <c r="BN106" i="4"/>
  <c r="BO106" i="4"/>
  <c r="AM166" i="4"/>
  <c r="AN166" i="4"/>
  <c r="AO185" i="7"/>
  <c r="AL186" i="7" s="1"/>
  <c r="AV65" i="1" l="1"/>
  <c r="AX65" i="1"/>
  <c r="AU66" i="1" s="1"/>
  <c r="AW66" i="1" s="1"/>
  <c r="AX185" i="1"/>
  <c r="AU186" i="1" s="1"/>
  <c r="AX125" i="1"/>
  <c r="AU126" i="1" s="1"/>
  <c r="AV186" i="1"/>
  <c r="AW186" i="1"/>
  <c r="AX186" i="1" s="1"/>
  <c r="AU187" i="1" s="1"/>
  <c r="AX85" i="1"/>
  <c r="AU86" i="1" s="1"/>
  <c r="AW86" i="1" s="1"/>
  <c r="BX147" i="4"/>
  <c r="BY147" i="4" s="1"/>
  <c r="BV148" i="4" s="1"/>
  <c r="BW148" i="4" s="1"/>
  <c r="BX107" i="4"/>
  <c r="BY107" i="4" s="1"/>
  <c r="BV108" i="4" s="1"/>
  <c r="BX108" i="4" s="1"/>
  <c r="BP67" i="4"/>
  <c r="BM68" i="4" s="1"/>
  <c r="AW167" i="4"/>
  <c r="AX167" i="4" s="1"/>
  <c r="AU168" i="4" s="1"/>
  <c r="AV168" i="4" s="1"/>
  <c r="AV66" i="1"/>
  <c r="AW107" i="1"/>
  <c r="AV107" i="1"/>
  <c r="BO108" i="1"/>
  <c r="BP108" i="1" s="1"/>
  <c r="BM109" i="1" s="1"/>
  <c r="BN109" i="1" s="1"/>
  <c r="BG126" i="1"/>
  <c r="BD127" i="1" s="1"/>
  <c r="BF127" i="1" s="1"/>
  <c r="AW146" i="1"/>
  <c r="AV146" i="1"/>
  <c r="BE188" i="1"/>
  <c r="BG188" i="1" s="1"/>
  <c r="BD189" i="1" s="1"/>
  <c r="BF189" i="1" s="1"/>
  <c r="BX147" i="1"/>
  <c r="BW147" i="1"/>
  <c r="BY147" i="1" s="1"/>
  <c r="BV148" i="1" s="1"/>
  <c r="BW148" i="1" s="1"/>
  <c r="BP146" i="4"/>
  <c r="BM147" i="4" s="1"/>
  <c r="BO147" i="4" s="1"/>
  <c r="BO105" i="8"/>
  <c r="BP105" i="8" s="1"/>
  <c r="BM106" i="8" s="1"/>
  <c r="BN106" i="8" s="1"/>
  <c r="BW129" i="1"/>
  <c r="BE126" i="7"/>
  <c r="BG126" i="7" s="1"/>
  <c r="BD127" i="7" s="1"/>
  <c r="BE127" i="7" s="1"/>
  <c r="AV67" i="4"/>
  <c r="AX67" i="4" s="1"/>
  <c r="AU68" i="4" s="1"/>
  <c r="AV68" i="4" s="1"/>
  <c r="AW146" i="6"/>
  <c r="AX146" i="6" s="1"/>
  <c r="AU147" i="6" s="1"/>
  <c r="AV147" i="6" s="1"/>
  <c r="BW147" i="8"/>
  <c r="AX147" i="4"/>
  <c r="AU148" i="4" s="1"/>
  <c r="AV148" i="4" s="1"/>
  <c r="BP206" i="8"/>
  <c r="BM207" i="8" s="1"/>
  <c r="BN207" i="8" s="1"/>
  <c r="AM106" i="6"/>
  <c r="AO106" i="6" s="1"/>
  <c r="AL107" i="6" s="1"/>
  <c r="AM126" i="1"/>
  <c r="AO126" i="1" s="1"/>
  <c r="AL127" i="1" s="1"/>
  <c r="AN127" i="1" s="1"/>
  <c r="BX206" i="7"/>
  <c r="BY206" i="7" s="1"/>
  <c r="BV207" i="7" s="1"/>
  <c r="BG209" i="6"/>
  <c r="BD210" i="6" s="1"/>
  <c r="BE210" i="6" s="1"/>
  <c r="AM126" i="7"/>
  <c r="BW208" i="1"/>
  <c r="BY208" i="1" s="1"/>
  <c r="BV209" i="1" s="1"/>
  <c r="BW209" i="1" s="1"/>
  <c r="BF147" i="1"/>
  <c r="BG147" i="1" s="1"/>
  <c r="BD148" i="1" s="1"/>
  <c r="BW88" i="1"/>
  <c r="BY88" i="1" s="1"/>
  <c r="BV89" i="1" s="1"/>
  <c r="BW89" i="1" s="1"/>
  <c r="BY147" i="8"/>
  <c r="BV148" i="8" s="1"/>
  <c r="BW148" i="8" s="1"/>
  <c r="AW67" i="6"/>
  <c r="AX67" i="6" s="1"/>
  <c r="AU68" i="6" s="1"/>
  <c r="BP187" i="6"/>
  <c r="BM188" i="6" s="1"/>
  <c r="BO188" i="6" s="1"/>
  <c r="BN106" i="6"/>
  <c r="BO106" i="6"/>
  <c r="BW167" i="4"/>
  <c r="BY167" i="4" s="1"/>
  <c r="BV168" i="4" s="1"/>
  <c r="AO187" i="1"/>
  <c r="AL188" i="1" s="1"/>
  <c r="AM188" i="1" s="1"/>
  <c r="AN146" i="6"/>
  <c r="AO146" i="6" s="1"/>
  <c r="AL147" i="6" s="1"/>
  <c r="AN147" i="6" s="1"/>
  <c r="BW127" i="4"/>
  <c r="BY127" i="4" s="1"/>
  <c r="BV128" i="4" s="1"/>
  <c r="BW128" i="4" s="1"/>
  <c r="BX108" i="1"/>
  <c r="BY108" i="1" s="1"/>
  <c r="BV109" i="1" s="1"/>
  <c r="AN87" i="6"/>
  <c r="AO87" i="6" s="1"/>
  <c r="AL88" i="6" s="1"/>
  <c r="BN206" i="7"/>
  <c r="BP206" i="7" s="1"/>
  <c r="BM207" i="7" s="1"/>
  <c r="BO207" i="7" s="1"/>
  <c r="BY127" i="8"/>
  <c r="BV128" i="8" s="1"/>
  <c r="BW128" i="8" s="1"/>
  <c r="BG147" i="4"/>
  <c r="BD148" i="4" s="1"/>
  <c r="BE87" i="4"/>
  <c r="BG87" i="4" s="1"/>
  <c r="BD88" i="4" s="1"/>
  <c r="BE88" i="4" s="1"/>
  <c r="BW167" i="8"/>
  <c r="BY167" i="8" s="1"/>
  <c r="BV168" i="8" s="1"/>
  <c r="BX168" i="8" s="1"/>
  <c r="BX187" i="8"/>
  <c r="BY187" i="8" s="1"/>
  <c r="BV188" i="8" s="1"/>
  <c r="BY206" i="6"/>
  <c r="BV207" i="6" s="1"/>
  <c r="BW207" i="6" s="1"/>
  <c r="AV87" i="6"/>
  <c r="AW87" i="6"/>
  <c r="AV146" i="7"/>
  <c r="AX146" i="7" s="1"/>
  <c r="AU147" i="7" s="1"/>
  <c r="BX107" i="7"/>
  <c r="BY107" i="7" s="1"/>
  <c r="BV108" i="7" s="1"/>
  <c r="BW108" i="7" s="1"/>
  <c r="AV146" i="8"/>
  <c r="AX146" i="8" s="1"/>
  <c r="AU147" i="8" s="1"/>
  <c r="AM128" i="4"/>
  <c r="AO128" i="4" s="1"/>
  <c r="AL129" i="4" s="1"/>
  <c r="BW186" i="6"/>
  <c r="BX186" i="6"/>
  <c r="BY147" i="6"/>
  <c r="BV148" i="6" s="1"/>
  <c r="BX148" i="6" s="1"/>
  <c r="AM186" i="6"/>
  <c r="AO186" i="6" s="1"/>
  <c r="AL187" i="6" s="1"/>
  <c r="AN187" i="6" s="1"/>
  <c r="BN187" i="8"/>
  <c r="BP187" i="8" s="1"/>
  <c r="BM188" i="8" s="1"/>
  <c r="BN188" i="8" s="1"/>
  <c r="BX107" i="8"/>
  <c r="BY107" i="8" s="1"/>
  <c r="BV108" i="8" s="1"/>
  <c r="AO166" i="1"/>
  <c r="AL167" i="1" s="1"/>
  <c r="AM167" i="1" s="1"/>
  <c r="BE208" i="8"/>
  <c r="BF208" i="8"/>
  <c r="BO206" i="4"/>
  <c r="BP206" i="4" s="1"/>
  <c r="BM207" i="4" s="1"/>
  <c r="BO207" i="4" s="1"/>
  <c r="AX187" i="6"/>
  <c r="AU188" i="6" s="1"/>
  <c r="AW188" i="6" s="1"/>
  <c r="AM66" i="1"/>
  <c r="AO66" i="1" s="1"/>
  <c r="AL67" i="1" s="1"/>
  <c r="AM67" i="1" s="1"/>
  <c r="BE167" i="4"/>
  <c r="BG167" i="4" s="1"/>
  <c r="BD168" i="4" s="1"/>
  <c r="BE168" i="4" s="1"/>
  <c r="BP187" i="1"/>
  <c r="BM188" i="1" s="1"/>
  <c r="BO188" i="1" s="1"/>
  <c r="BN169" i="1"/>
  <c r="BP169" i="1" s="1"/>
  <c r="BM170" i="1" s="1"/>
  <c r="AX106" i="4"/>
  <c r="AU107" i="4" s="1"/>
  <c r="BW67" i="7"/>
  <c r="BY67" i="7" s="1"/>
  <c r="BV68" i="7" s="1"/>
  <c r="BX68" i="7" s="1"/>
  <c r="AV166" i="7"/>
  <c r="AX166" i="7" s="1"/>
  <c r="AU167" i="7" s="1"/>
  <c r="AX206" i="1"/>
  <c r="AU207" i="1" s="1"/>
  <c r="BF146" i="7"/>
  <c r="BG146" i="7" s="1"/>
  <c r="BD147" i="7" s="1"/>
  <c r="AW86" i="4"/>
  <c r="AV86" i="4"/>
  <c r="AM146" i="8"/>
  <c r="AN146" i="8"/>
  <c r="AW167" i="1"/>
  <c r="AX167" i="1" s="1"/>
  <c r="AU168" i="1" s="1"/>
  <c r="AW207" i="4"/>
  <c r="AX207" i="4" s="1"/>
  <c r="AU208" i="4" s="1"/>
  <c r="AV208" i="4" s="1"/>
  <c r="AW148" i="4"/>
  <c r="AM107" i="7"/>
  <c r="AN107" i="7"/>
  <c r="BP186" i="4"/>
  <c r="BM187" i="4" s="1"/>
  <c r="BN187" i="4" s="1"/>
  <c r="BO187" i="7"/>
  <c r="BP187" i="7" s="1"/>
  <c r="BM188" i="7" s="1"/>
  <c r="BN188" i="7" s="1"/>
  <c r="BG206" i="1"/>
  <c r="BD207" i="1" s="1"/>
  <c r="BE207" i="1" s="1"/>
  <c r="BG166" i="6"/>
  <c r="BD167" i="6" s="1"/>
  <c r="BF167" i="6" s="1"/>
  <c r="BE68" i="6"/>
  <c r="BG68" i="6" s="1"/>
  <c r="BD69" i="6" s="1"/>
  <c r="BE69" i="6" s="1"/>
  <c r="BN127" i="6"/>
  <c r="BO127" i="6"/>
  <c r="AM147" i="4"/>
  <c r="AN147" i="4"/>
  <c r="BW169" i="6"/>
  <c r="BX169" i="6"/>
  <c r="BO88" i="7"/>
  <c r="BN88" i="7"/>
  <c r="BN88" i="1"/>
  <c r="BO88" i="1"/>
  <c r="BN127" i="4"/>
  <c r="BO127" i="4"/>
  <c r="BE127" i="8"/>
  <c r="BG127" i="8" s="1"/>
  <c r="BD128" i="8" s="1"/>
  <c r="BE87" i="6"/>
  <c r="BG87" i="6" s="1"/>
  <c r="BD88" i="6" s="1"/>
  <c r="BF88" i="6" s="1"/>
  <c r="BE107" i="4"/>
  <c r="BG107" i="4" s="1"/>
  <c r="BD108" i="4" s="1"/>
  <c r="BF108" i="4" s="1"/>
  <c r="BX148" i="8"/>
  <c r="BY148" i="8" s="1"/>
  <c r="BV149" i="8" s="1"/>
  <c r="AO66" i="6"/>
  <c r="AL67" i="6" s="1"/>
  <c r="AM67" i="6" s="1"/>
  <c r="AN127" i="8"/>
  <c r="AO127" i="8" s="1"/>
  <c r="AL128" i="8" s="1"/>
  <c r="AM207" i="7"/>
  <c r="AO207" i="7" s="1"/>
  <c r="AL208" i="7" s="1"/>
  <c r="AV88" i="8"/>
  <c r="BG147" i="8"/>
  <c r="BD148" i="8" s="1"/>
  <c r="BF148" i="8" s="1"/>
  <c r="AX87" i="7"/>
  <c r="AU88" i="7" s="1"/>
  <c r="AV88" i="7" s="1"/>
  <c r="BW127" i="7"/>
  <c r="BY127" i="7" s="1"/>
  <c r="BV128" i="7" s="1"/>
  <c r="BW128" i="7" s="1"/>
  <c r="BE68" i="8"/>
  <c r="BG68" i="8" s="1"/>
  <c r="BD69" i="8" s="1"/>
  <c r="BE69" i="8" s="1"/>
  <c r="BY167" i="1"/>
  <c r="BV168" i="1" s="1"/>
  <c r="BW168" i="1" s="1"/>
  <c r="AN87" i="7"/>
  <c r="AO87" i="7" s="1"/>
  <c r="AL88" i="7" s="1"/>
  <c r="BF186" i="4"/>
  <c r="BG186" i="4" s="1"/>
  <c r="BD187" i="4" s="1"/>
  <c r="BF187" i="4" s="1"/>
  <c r="AO186" i="4"/>
  <c r="AL187" i="4" s="1"/>
  <c r="AN187" i="4" s="1"/>
  <c r="AW208" i="6"/>
  <c r="AX208" i="6" s="1"/>
  <c r="AU209" i="6" s="1"/>
  <c r="AW209" i="6" s="1"/>
  <c r="BG107" i="6"/>
  <c r="BD108" i="6" s="1"/>
  <c r="BF108" i="6" s="1"/>
  <c r="BP166" i="8"/>
  <c r="BM167" i="8" s="1"/>
  <c r="BF167" i="7"/>
  <c r="BE167" i="7"/>
  <c r="AN107" i="1"/>
  <c r="AM107" i="1"/>
  <c r="BW209" i="4"/>
  <c r="BY209" i="4" s="1"/>
  <c r="BV210" i="4" s="1"/>
  <c r="BX210" i="4" s="1"/>
  <c r="AW206" i="8"/>
  <c r="AX206" i="8" s="1"/>
  <c r="AU207" i="8" s="1"/>
  <c r="AV188" i="6"/>
  <c r="AX188" i="6" s="1"/>
  <c r="AU189" i="6" s="1"/>
  <c r="AV189" i="6" s="1"/>
  <c r="AV168" i="6"/>
  <c r="AX168" i="6" s="1"/>
  <c r="AU169" i="6" s="1"/>
  <c r="AV169" i="6" s="1"/>
  <c r="AM66" i="7"/>
  <c r="AO66" i="7" s="1"/>
  <c r="AL67" i="7" s="1"/>
  <c r="BN127" i="7"/>
  <c r="BP127" i="7" s="1"/>
  <c r="BM128" i="7" s="1"/>
  <c r="BO128" i="7" s="1"/>
  <c r="BG87" i="1"/>
  <c r="BD88" i="1" s="1"/>
  <c r="BE88" i="1" s="1"/>
  <c r="BP166" i="4"/>
  <c r="BM167" i="4" s="1"/>
  <c r="BO167" i="4" s="1"/>
  <c r="BG106" i="8"/>
  <c r="BD107" i="8" s="1"/>
  <c r="BE187" i="6"/>
  <c r="BG187" i="6" s="1"/>
  <c r="BD188" i="6" s="1"/>
  <c r="BF188" i="6" s="1"/>
  <c r="BX66" i="8"/>
  <c r="BW66" i="8"/>
  <c r="AV167" i="8"/>
  <c r="AX167" i="8" s="1"/>
  <c r="AU168" i="8" s="1"/>
  <c r="AW168" i="8" s="1"/>
  <c r="BP128" i="1"/>
  <c r="BM129" i="1" s="1"/>
  <c r="BN129" i="1" s="1"/>
  <c r="BO68" i="6"/>
  <c r="BP68" i="6" s="1"/>
  <c r="BM69" i="6" s="1"/>
  <c r="BN69" i="6" s="1"/>
  <c r="BW146" i="7"/>
  <c r="BY146" i="7" s="1"/>
  <c r="BV147" i="7" s="1"/>
  <c r="BX86" i="4"/>
  <c r="BW86" i="4"/>
  <c r="BF69" i="1"/>
  <c r="BG69" i="1" s="1"/>
  <c r="BD70" i="1" s="1"/>
  <c r="BF70" i="1" s="1"/>
  <c r="BF187" i="7"/>
  <c r="BG187" i="7" s="1"/>
  <c r="BD188" i="7" s="1"/>
  <c r="BE187" i="8"/>
  <c r="BG187" i="8" s="1"/>
  <c r="BD188" i="8" s="1"/>
  <c r="BF188" i="8" s="1"/>
  <c r="BP148" i="8"/>
  <c r="BM149" i="8" s="1"/>
  <c r="BO149" i="8" s="1"/>
  <c r="AX126" i="8"/>
  <c r="AU127" i="8" s="1"/>
  <c r="AW127" i="8" s="1"/>
  <c r="AW68" i="6"/>
  <c r="AV68" i="6"/>
  <c r="BX68" i="4"/>
  <c r="BW68" i="4"/>
  <c r="BW127" i="6"/>
  <c r="BX127" i="6"/>
  <c r="BX207" i="7"/>
  <c r="BW207" i="7"/>
  <c r="AW88" i="7"/>
  <c r="BW187" i="7"/>
  <c r="BX187" i="7"/>
  <c r="BW168" i="4"/>
  <c r="BX168" i="4"/>
  <c r="BF128" i="6"/>
  <c r="BE128" i="6"/>
  <c r="BW67" i="6"/>
  <c r="BX67" i="6"/>
  <c r="BF86" i="8"/>
  <c r="BG86" i="8" s="1"/>
  <c r="BD87" i="8" s="1"/>
  <c r="BE87" i="8" s="1"/>
  <c r="BX187" i="4"/>
  <c r="BW187" i="4"/>
  <c r="AX67" i="7"/>
  <c r="AU68" i="7" s="1"/>
  <c r="AV68" i="7" s="1"/>
  <c r="AX127" i="4"/>
  <c r="AU128" i="4" s="1"/>
  <c r="AW128" i="4" s="1"/>
  <c r="AV187" i="8"/>
  <c r="AW187" i="8"/>
  <c r="BP88" i="4"/>
  <c r="BM89" i="4" s="1"/>
  <c r="BO109" i="1"/>
  <c r="BP109" i="1" s="1"/>
  <c r="BM110" i="1" s="1"/>
  <c r="BN110" i="1" s="1"/>
  <c r="AM66" i="8"/>
  <c r="AO66" i="8" s="1"/>
  <c r="AL67" i="8" s="1"/>
  <c r="AN67" i="8" s="1"/>
  <c r="BG167" i="8"/>
  <c r="BD168" i="8" s="1"/>
  <c r="BF168" i="8" s="1"/>
  <c r="BO68" i="4"/>
  <c r="BN68" i="4"/>
  <c r="BP145" i="6"/>
  <c r="BM146" i="6" s="1"/>
  <c r="BP107" i="7"/>
  <c r="BM108" i="7" s="1"/>
  <c r="BY87" i="7"/>
  <c r="BV88" i="7" s="1"/>
  <c r="BW88" i="7" s="1"/>
  <c r="AN86" i="1"/>
  <c r="AO86" i="1" s="1"/>
  <c r="AL87" i="1" s="1"/>
  <c r="AN87" i="1" s="1"/>
  <c r="BX87" i="8"/>
  <c r="BY87" i="8" s="1"/>
  <c r="BV88" i="8" s="1"/>
  <c r="AN166" i="7"/>
  <c r="AO166" i="7" s="1"/>
  <c r="AL167" i="7" s="1"/>
  <c r="BN86" i="6"/>
  <c r="BO86" i="6"/>
  <c r="AN67" i="4"/>
  <c r="AO67" i="4" s="1"/>
  <c r="AL68" i="4" s="1"/>
  <c r="AN68" i="4" s="1"/>
  <c r="BE68" i="7"/>
  <c r="BF68" i="7"/>
  <c r="BG86" i="7"/>
  <c r="BD87" i="7" s="1"/>
  <c r="BF87" i="7" s="1"/>
  <c r="AN108" i="4"/>
  <c r="AM108" i="4"/>
  <c r="BE209" i="7"/>
  <c r="BG209" i="7" s="1"/>
  <c r="BD210" i="7" s="1"/>
  <c r="BF210" i="7" s="1"/>
  <c r="AO166" i="8"/>
  <c r="AL167" i="8" s="1"/>
  <c r="BG107" i="7"/>
  <c r="BD108" i="7" s="1"/>
  <c r="AO207" i="4"/>
  <c r="AL208" i="4" s="1"/>
  <c r="BW209" i="8"/>
  <c r="BX209" i="8"/>
  <c r="BF128" i="4"/>
  <c r="BE128" i="4"/>
  <c r="AW128" i="7"/>
  <c r="AV128" i="7"/>
  <c r="BP148" i="1"/>
  <c r="BM149" i="1" s="1"/>
  <c r="BN149" i="1" s="1"/>
  <c r="BP127" i="8"/>
  <c r="BM128" i="8" s="1"/>
  <c r="BP106" i="4"/>
  <c r="BM107" i="4" s="1"/>
  <c r="BN107" i="4" s="1"/>
  <c r="BX128" i="8"/>
  <c r="BY128" i="8" s="1"/>
  <c r="BV129" i="8" s="1"/>
  <c r="BX129" i="8" s="1"/>
  <c r="AW168" i="4"/>
  <c r="AX168" i="4" s="1"/>
  <c r="AU169" i="4" s="1"/>
  <c r="AV187" i="7"/>
  <c r="AX187" i="7" s="1"/>
  <c r="AU188" i="7" s="1"/>
  <c r="AV188" i="7" s="1"/>
  <c r="BP68" i="1"/>
  <c r="BM69" i="1" s="1"/>
  <c r="AM85" i="4"/>
  <c r="AO85" i="4" s="1"/>
  <c r="AL86" i="4" s="1"/>
  <c r="BW106" i="6"/>
  <c r="BX106" i="6"/>
  <c r="BF147" i="6"/>
  <c r="BG147" i="6" s="1"/>
  <c r="BD148" i="6" s="1"/>
  <c r="AW107" i="7"/>
  <c r="AV107" i="7"/>
  <c r="BO206" i="6"/>
  <c r="BN206" i="6"/>
  <c r="BF69" i="6"/>
  <c r="BG69" i="6" s="1"/>
  <c r="BD70" i="6" s="1"/>
  <c r="BF70" i="6" s="1"/>
  <c r="BN67" i="7"/>
  <c r="BO67" i="7"/>
  <c r="AX206" i="7"/>
  <c r="AU207" i="7" s="1"/>
  <c r="BW88" i="6"/>
  <c r="BO167" i="6"/>
  <c r="BP167" i="6" s="1"/>
  <c r="BM168" i="6" s="1"/>
  <c r="BO88" i="8"/>
  <c r="BP88" i="8" s="1"/>
  <c r="BM89" i="8" s="1"/>
  <c r="BO89" i="8" s="1"/>
  <c r="BN148" i="7"/>
  <c r="BP148" i="7" s="1"/>
  <c r="BM149" i="7" s="1"/>
  <c r="BN149" i="7" s="1"/>
  <c r="AV188" i="4"/>
  <c r="AW188" i="4"/>
  <c r="BW189" i="1"/>
  <c r="BX189" i="1"/>
  <c r="BE67" i="4"/>
  <c r="BF67" i="4"/>
  <c r="AM147" i="1"/>
  <c r="AN147" i="1"/>
  <c r="AW108" i="6"/>
  <c r="AV108" i="6"/>
  <c r="AM87" i="8"/>
  <c r="AO87" i="8" s="1"/>
  <c r="AL88" i="8" s="1"/>
  <c r="AM88" i="8" s="1"/>
  <c r="BN167" i="7"/>
  <c r="BO167" i="7"/>
  <c r="BX169" i="7"/>
  <c r="BY169" i="7" s="1"/>
  <c r="BV170" i="7" s="1"/>
  <c r="BX170" i="7" s="1"/>
  <c r="BF208" i="4"/>
  <c r="BE208" i="4"/>
  <c r="BX88" i="6"/>
  <c r="BY129" i="1"/>
  <c r="BV130" i="1" s="1"/>
  <c r="AN187" i="8"/>
  <c r="AM187" i="8"/>
  <c r="BX148" i="4"/>
  <c r="BY148" i="4" s="1"/>
  <c r="BV149" i="4" s="1"/>
  <c r="AV107" i="8"/>
  <c r="AX107" i="8" s="1"/>
  <c r="AU108" i="8" s="1"/>
  <c r="AW108" i="8" s="1"/>
  <c r="AW127" i="6"/>
  <c r="AV127" i="6"/>
  <c r="AO166" i="4"/>
  <c r="AL167" i="4" s="1"/>
  <c r="AM167" i="6"/>
  <c r="AN167" i="6"/>
  <c r="AM106" i="8"/>
  <c r="AN106" i="8"/>
  <c r="AO126" i="7"/>
  <c r="AL127" i="7" s="1"/>
  <c r="BX66" i="1"/>
  <c r="BW66" i="1"/>
  <c r="BN208" i="1"/>
  <c r="BO208" i="1"/>
  <c r="AX88" i="8"/>
  <c r="AU89" i="8" s="1"/>
  <c r="AV89" i="8" s="1"/>
  <c r="AM186" i="7"/>
  <c r="AN186" i="7"/>
  <c r="AM207" i="8"/>
  <c r="AN207" i="8"/>
  <c r="AN207" i="6"/>
  <c r="AM207" i="6"/>
  <c r="AM146" i="7"/>
  <c r="AN146" i="7"/>
  <c r="AN126" i="6"/>
  <c r="AM126" i="6"/>
  <c r="AX66" i="8"/>
  <c r="AU67" i="8" s="1"/>
  <c r="AM206" i="1"/>
  <c r="AN206" i="1"/>
  <c r="BG168" i="1"/>
  <c r="BD169" i="1" s="1"/>
  <c r="BP66" i="8"/>
  <c r="BM67" i="8" s="1"/>
  <c r="BE107" i="1"/>
  <c r="BF107" i="1"/>
  <c r="AX66" i="1" l="1"/>
  <c r="AU67" i="1" s="1"/>
  <c r="AW67" i="1" s="1"/>
  <c r="AX107" i="1"/>
  <c r="AU108" i="1" s="1"/>
  <c r="AV108" i="1" s="1"/>
  <c r="AV187" i="1"/>
  <c r="AW187" i="1"/>
  <c r="AX187" i="1" s="1"/>
  <c r="AU188" i="1" s="1"/>
  <c r="AV86" i="1"/>
  <c r="AX86" i="1" s="1"/>
  <c r="AU87" i="1" s="1"/>
  <c r="AW126" i="1"/>
  <c r="AV126" i="1"/>
  <c r="AX126" i="1" s="1"/>
  <c r="AU127" i="1" s="1"/>
  <c r="AW127" i="1" s="1"/>
  <c r="AX86" i="4"/>
  <c r="AU87" i="4" s="1"/>
  <c r="AV67" i="1"/>
  <c r="AX67" i="1" s="1"/>
  <c r="AU68" i="1" s="1"/>
  <c r="AV68" i="1" s="1"/>
  <c r="AX146" i="1"/>
  <c r="AU147" i="1" s="1"/>
  <c r="AV147" i="1" s="1"/>
  <c r="AN188" i="1"/>
  <c r="AW108" i="1"/>
  <c r="BE127" i="1"/>
  <c r="BG127" i="1" s="1"/>
  <c r="BD128" i="1" s="1"/>
  <c r="BE128" i="1" s="1"/>
  <c r="AM127" i="1"/>
  <c r="AO127" i="1" s="1"/>
  <c r="AL128" i="1" s="1"/>
  <c r="AM128" i="1" s="1"/>
  <c r="AN167" i="1"/>
  <c r="AO167" i="1" s="1"/>
  <c r="AL168" i="1" s="1"/>
  <c r="AM168" i="1" s="1"/>
  <c r="BY209" i="8"/>
  <c r="BV210" i="8" s="1"/>
  <c r="BW210" i="8" s="1"/>
  <c r="BP106" i="6"/>
  <c r="BM107" i="6" s="1"/>
  <c r="AV127" i="8"/>
  <c r="AX127" i="8" s="1"/>
  <c r="AU128" i="8" s="1"/>
  <c r="AW128" i="8" s="1"/>
  <c r="BO207" i="8"/>
  <c r="BP207" i="8" s="1"/>
  <c r="BM208" i="8" s="1"/>
  <c r="AO107" i="1"/>
  <c r="AL108" i="1" s="1"/>
  <c r="AN108" i="1" s="1"/>
  <c r="AW147" i="6"/>
  <c r="AW68" i="4"/>
  <c r="AX68" i="4" s="1"/>
  <c r="AU69" i="4" s="1"/>
  <c r="AW69" i="4" s="1"/>
  <c r="BF210" i="6"/>
  <c r="BG210" i="6" s="1"/>
  <c r="BD211" i="6" s="1"/>
  <c r="BE211" i="6" s="1"/>
  <c r="BN147" i="4"/>
  <c r="BP147" i="4" s="1"/>
  <c r="BM148" i="4" s="1"/>
  <c r="BX209" i="1"/>
  <c r="BY209" i="1" s="1"/>
  <c r="BV210" i="1" s="1"/>
  <c r="BF127" i="7"/>
  <c r="BG127" i="7" s="1"/>
  <c r="BD128" i="7" s="1"/>
  <c r="BF128" i="7" s="1"/>
  <c r="BO107" i="6"/>
  <c r="BN107" i="6"/>
  <c r="BP107" i="6" s="1"/>
  <c r="BM108" i="6" s="1"/>
  <c r="AM88" i="6"/>
  <c r="AO88" i="6" s="1"/>
  <c r="AL89" i="6" s="1"/>
  <c r="AN88" i="6"/>
  <c r="BE188" i="8"/>
  <c r="BG188" i="8" s="1"/>
  <c r="BD189" i="8" s="1"/>
  <c r="BE189" i="8" s="1"/>
  <c r="BW168" i="8"/>
  <c r="BY168" i="8" s="1"/>
  <c r="BV169" i="8" s="1"/>
  <c r="BW169" i="8" s="1"/>
  <c r="BO188" i="8"/>
  <c r="BP188" i="8" s="1"/>
  <c r="BM189" i="8" s="1"/>
  <c r="BN189" i="8" s="1"/>
  <c r="AN67" i="1"/>
  <c r="AO67" i="1" s="1"/>
  <c r="AL68" i="1" s="1"/>
  <c r="AO188" i="1"/>
  <c r="AL189" i="1" s="1"/>
  <c r="AN189" i="1" s="1"/>
  <c r="BN188" i="6"/>
  <c r="BP188" i="6" s="1"/>
  <c r="BM189" i="6" s="1"/>
  <c r="BX207" i="6"/>
  <c r="BY207" i="6" s="1"/>
  <c r="BV208" i="6" s="1"/>
  <c r="BX208" i="6" s="1"/>
  <c r="BY86" i="4"/>
  <c r="BV87" i="4" s="1"/>
  <c r="BW87" i="4" s="1"/>
  <c r="AW168" i="1"/>
  <c r="AV168" i="1"/>
  <c r="BX109" i="1"/>
  <c r="BW109" i="1"/>
  <c r="BX108" i="7"/>
  <c r="BY108" i="7" s="1"/>
  <c r="BV109" i="7" s="1"/>
  <c r="AM187" i="6"/>
  <c r="AO187" i="6" s="1"/>
  <c r="AL188" i="6" s="1"/>
  <c r="AM187" i="4"/>
  <c r="AO187" i="4" s="1"/>
  <c r="AL188" i="4" s="1"/>
  <c r="AM188" i="4" s="1"/>
  <c r="BN207" i="7"/>
  <c r="BP207" i="7" s="1"/>
  <c r="BM208" i="7" s="1"/>
  <c r="BO208" i="7" s="1"/>
  <c r="BO187" i="4"/>
  <c r="BP187" i="4" s="1"/>
  <c r="BM188" i="4" s="1"/>
  <c r="BO188" i="4" s="1"/>
  <c r="BY186" i="6"/>
  <c r="BV187" i="6" s="1"/>
  <c r="BW187" i="6" s="1"/>
  <c r="AX87" i="6"/>
  <c r="AU88" i="6" s="1"/>
  <c r="BF88" i="4"/>
  <c r="BG88" i="4" s="1"/>
  <c r="BD89" i="4" s="1"/>
  <c r="BF89" i="4" s="1"/>
  <c r="BW108" i="4"/>
  <c r="BY108" i="4" s="1"/>
  <c r="BV109" i="4" s="1"/>
  <c r="BX109" i="4" s="1"/>
  <c r="BP88" i="7"/>
  <c r="BM89" i="7" s="1"/>
  <c r="BN89" i="7" s="1"/>
  <c r="BP127" i="6"/>
  <c r="BM128" i="6" s="1"/>
  <c r="BO128" i="6" s="1"/>
  <c r="BX128" i="4"/>
  <c r="BY128" i="4" s="1"/>
  <c r="BV129" i="4" s="1"/>
  <c r="BX129" i="4" s="1"/>
  <c r="AX148" i="4"/>
  <c r="AU149" i="4" s="1"/>
  <c r="AV149" i="4" s="1"/>
  <c r="BP127" i="4"/>
  <c r="BM128" i="4" s="1"/>
  <c r="BN128" i="4" s="1"/>
  <c r="BE148" i="4"/>
  <c r="BF148" i="4"/>
  <c r="AW147" i="7"/>
  <c r="AV147" i="7"/>
  <c r="AX147" i="7" s="1"/>
  <c r="AU148" i="7" s="1"/>
  <c r="BW108" i="8"/>
  <c r="BX108" i="8"/>
  <c r="BW148" i="6"/>
  <c r="BY148" i="6" s="1"/>
  <c r="BV149" i="6" s="1"/>
  <c r="BW68" i="7"/>
  <c r="BY68" i="7" s="1"/>
  <c r="BV69" i="7" s="1"/>
  <c r="AO146" i="8"/>
  <c r="AL147" i="8" s="1"/>
  <c r="BY207" i="7"/>
  <c r="BV208" i="7" s="1"/>
  <c r="BX208" i="7" s="1"/>
  <c r="BG208" i="8"/>
  <c r="BD209" i="8" s="1"/>
  <c r="BE209" i="8" s="1"/>
  <c r="AM129" i="4"/>
  <c r="AN129" i="4"/>
  <c r="AM147" i="6"/>
  <c r="AO147" i="6" s="1"/>
  <c r="AL148" i="6" s="1"/>
  <c r="AN148" i="6" s="1"/>
  <c r="AV128" i="4"/>
  <c r="AX128" i="4" s="1"/>
  <c r="AU129" i="4" s="1"/>
  <c r="AW129" i="4" s="1"/>
  <c r="BP68" i="4"/>
  <c r="BM69" i="4" s="1"/>
  <c r="BN69" i="4" s="1"/>
  <c r="BN149" i="8"/>
  <c r="BP149" i="8" s="1"/>
  <c r="BM150" i="8" s="1"/>
  <c r="BN150" i="8" s="1"/>
  <c r="BF87" i="8"/>
  <c r="BG87" i="8" s="1"/>
  <c r="BD88" i="8" s="1"/>
  <c r="BE88" i="8" s="1"/>
  <c r="AW208" i="4"/>
  <c r="AX208" i="4" s="1"/>
  <c r="AU209" i="4" s="1"/>
  <c r="AW209" i="4" s="1"/>
  <c r="BX148" i="1"/>
  <c r="BY148" i="1" s="1"/>
  <c r="BV149" i="1" s="1"/>
  <c r="BO188" i="7"/>
  <c r="BX187" i="6"/>
  <c r="BX210" i="8"/>
  <c r="BY210" i="8" s="1"/>
  <c r="BV211" i="8" s="1"/>
  <c r="BW211" i="8" s="1"/>
  <c r="BY66" i="1"/>
  <c r="BV67" i="1" s="1"/>
  <c r="BX67" i="1" s="1"/>
  <c r="BY169" i="6"/>
  <c r="BV170" i="6" s="1"/>
  <c r="BW170" i="6" s="1"/>
  <c r="BO170" i="1"/>
  <c r="BN170" i="1"/>
  <c r="BF147" i="7"/>
  <c r="BE147" i="7"/>
  <c r="BW147" i="7"/>
  <c r="BX147" i="7"/>
  <c r="BX149" i="8"/>
  <c r="BW149" i="8"/>
  <c r="BY149" i="8" s="1"/>
  <c r="BV150" i="8" s="1"/>
  <c r="BX150" i="8" s="1"/>
  <c r="AW87" i="4"/>
  <c r="AV87" i="4"/>
  <c r="BE187" i="4"/>
  <c r="BG187" i="4" s="1"/>
  <c r="BD188" i="4" s="1"/>
  <c r="AW107" i="4"/>
  <c r="AV107" i="4"/>
  <c r="AW167" i="7"/>
  <c r="AV167" i="7"/>
  <c r="BF207" i="1"/>
  <c r="BG207" i="1" s="1"/>
  <c r="BD208" i="1" s="1"/>
  <c r="BE167" i="6"/>
  <c r="BG167" i="6" s="1"/>
  <c r="BD168" i="6" s="1"/>
  <c r="BE168" i="6" s="1"/>
  <c r="BE148" i="8"/>
  <c r="BG148" i="8" s="1"/>
  <c r="BD149" i="8" s="1"/>
  <c r="BF149" i="8" s="1"/>
  <c r="BN188" i="1"/>
  <c r="BP188" i="1" s="1"/>
  <c r="BM189" i="1" s="1"/>
  <c r="BN189" i="1" s="1"/>
  <c r="AO147" i="4"/>
  <c r="AL148" i="4" s="1"/>
  <c r="AM148" i="4" s="1"/>
  <c r="BE189" i="1"/>
  <c r="BG189" i="1" s="1"/>
  <c r="BD190" i="1" s="1"/>
  <c r="BE190" i="1" s="1"/>
  <c r="BX168" i="1"/>
  <c r="BY168" i="1" s="1"/>
  <c r="BV169" i="1" s="1"/>
  <c r="BF168" i="4"/>
  <c r="BG168" i="4" s="1"/>
  <c r="BD169" i="4" s="1"/>
  <c r="BE169" i="4" s="1"/>
  <c r="BF88" i="1"/>
  <c r="BG88" i="1" s="1"/>
  <c r="BD89" i="1" s="1"/>
  <c r="BF89" i="1" s="1"/>
  <c r="AO107" i="7"/>
  <c r="AL108" i="7" s="1"/>
  <c r="BY168" i="4"/>
  <c r="BV169" i="4" s="1"/>
  <c r="BX169" i="4" s="1"/>
  <c r="AV207" i="1"/>
  <c r="AW207" i="1"/>
  <c r="BW170" i="7"/>
  <c r="BY170" i="7" s="1"/>
  <c r="BV171" i="7" s="1"/>
  <c r="BW171" i="7" s="1"/>
  <c r="AW207" i="8"/>
  <c r="AV207" i="8"/>
  <c r="AN208" i="7"/>
  <c r="AM208" i="7"/>
  <c r="BE128" i="8"/>
  <c r="BF128" i="8"/>
  <c r="BE88" i="6"/>
  <c r="BG88" i="6" s="1"/>
  <c r="BD89" i="6" s="1"/>
  <c r="BF89" i="6" s="1"/>
  <c r="BE70" i="1"/>
  <c r="BG70" i="1" s="1"/>
  <c r="BD71" i="1" s="1"/>
  <c r="BE71" i="1" s="1"/>
  <c r="AO207" i="6"/>
  <c r="AL208" i="6" s="1"/>
  <c r="AN208" i="6" s="1"/>
  <c r="BO106" i="8"/>
  <c r="BP106" i="8" s="1"/>
  <c r="BM107" i="8" s="1"/>
  <c r="BG68" i="7"/>
  <c r="BD69" i="7" s="1"/>
  <c r="BE69" i="7" s="1"/>
  <c r="AN67" i="6"/>
  <c r="AO67" i="6" s="1"/>
  <c r="AL68" i="6" s="1"/>
  <c r="AM68" i="6" s="1"/>
  <c r="BN167" i="8"/>
  <c r="BO167" i="8"/>
  <c r="BF148" i="1"/>
  <c r="BE148" i="1"/>
  <c r="BF69" i="8"/>
  <c r="BG69" i="8" s="1"/>
  <c r="BD70" i="8" s="1"/>
  <c r="AX68" i="6"/>
  <c r="AU69" i="6" s="1"/>
  <c r="AV69" i="6" s="1"/>
  <c r="AM68" i="4"/>
  <c r="AO68" i="4" s="1"/>
  <c r="AL69" i="4" s="1"/>
  <c r="AN69" i="4" s="1"/>
  <c r="AO108" i="4"/>
  <c r="AL109" i="4" s="1"/>
  <c r="AM109" i="4" s="1"/>
  <c r="BE108" i="6"/>
  <c r="BG108" i="6" s="1"/>
  <c r="BD109" i="6" s="1"/>
  <c r="BE109" i="6" s="1"/>
  <c r="BE108" i="4"/>
  <c r="BG108" i="4" s="1"/>
  <c r="BD109" i="4" s="1"/>
  <c r="BE109" i="4" s="1"/>
  <c r="BP88" i="1"/>
  <c r="BM89" i="1" s="1"/>
  <c r="AO186" i="7"/>
  <c r="AL187" i="7" s="1"/>
  <c r="AM187" i="7" s="1"/>
  <c r="AX88" i="7"/>
  <c r="AU89" i="7" s="1"/>
  <c r="AV89" i="7" s="1"/>
  <c r="BX128" i="7"/>
  <c r="AW89" i="8"/>
  <c r="AX89" i="8" s="1"/>
  <c r="AU90" i="8" s="1"/>
  <c r="AV90" i="8" s="1"/>
  <c r="AM67" i="8"/>
  <c r="AO67" i="8" s="1"/>
  <c r="AL68" i="8" s="1"/>
  <c r="BO129" i="1"/>
  <c r="BP129" i="1" s="1"/>
  <c r="BM130" i="1" s="1"/>
  <c r="BN207" i="4"/>
  <c r="BP207" i="4" s="1"/>
  <c r="BM208" i="4" s="1"/>
  <c r="BY67" i="6"/>
  <c r="BV68" i="6" s="1"/>
  <c r="BW68" i="6" s="1"/>
  <c r="BG67" i="4"/>
  <c r="BD68" i="4" s="1"/>
  <c r="BF68" i="4" s="1"/>
  <c r="BG167" i="7"/>
  <c r="BD168" i="7" s="1"/>
  <c r="BE168" i="7" s="1"/>
  <c r="BP188" i="7"/>
  <c r="BM189" i="7" s="1"/>
  <c r="BN189" i="7" s="1"/>
  <c r="BY66" i="8"/>
  <c r="BV67" i="8" s="1"/>
  <c r="BN148" i="4"/>
  <c r="BO148" i="4"/>
  <c r="BE188" i="6"/>
  <c r="BG188" i="6" s="1"/>
  <c r="BD189" i="6" s="1"/>
  <c r="BF189" i="6" s="1"/>
  <c r="BY189" i="1"/>
  <c r="BV190" i="1" s="1"/>
  <c r="BW190" i="1" s="1"/>
  <c r="BF107" i="8"/>
  <c r="BE107" i="8"/>
  <c r="AW189" i="6"/>
  <c r="AX189" i="6" s="1"/>
  <c r="AU190" i="6" s="1"/>
  <c r="AV190" i="6" s="1"/>
  <c r="BX89" i="1"/>
  <c r="BY89" i="1" s="1"/>
  <c r="BV90" i="1" s="1"/>
  <c r="AV168" i="8"/>
  <c r="AX168" i="8" s="1"/>
  <c r="AU169" i="8" s="1"/>
  <c r="AW169" i="8" s="1"/>
  <c r="BY68" i="4"/>
  <c r="BV69" i="4" s="1"/>
  <c r="BX69" i="4" s="1"/>
  <c r="BE188" i="7"/>
  <c r="BF188" i="7"/>
  <c r="BO149" i="1"/>
  <c r="BP149" i="1" s="1"/>
  <c r="BM150" i="1" s="1"/>
  <c r="BN150" i="1" s="1"/>
  <c r="BY187" i="4"/>
  <c r="BV188" i="4" s="1"/>
  <c r="BW188" i="4" s="1"/>
  <c r="BG128" i="6"/>
  <c r="BD129" i="6" s="1"/>
  <c r="BE129" i="6" s="1"/>
  <c r="BX169" i="8"/>
  <c r="BY169" i="8" s="1"/>
  <c r="BV170" i="8" s="1"/>
  <c r="BX170" i="8" s="1"/>
  <c r="BP86" i="6"/>
  <c r="BM87" i="6" s="1"/>
  <c r="BN87" i="6" s="1"/>
  <c r="BP67" i="7"/>
  <c r="BM68" i="7" s="1"/>
  <c r="BN68" i="7" s="1"/>
  <c r="BN167" i="4"/>
  <c r="BP167" i="4" s="1"/>
  <c r="BM168" i="4" s="1"/>
  <c r="BO168" i="4" s="1"/>
  <c r="BY88" i="6"/>
  <c r="BV89" i="6" s="1"/>
  <c r="BW89" i="6" s="1"/>
  <c r="AX128" i="7"/>
  <c r="AU129" i="7" s="1"/>
  <c r="AW129" i="7" s="1"/>
  <c r="BO107" i="4"/>
  <c r="BP107" i="4" s="1"/>
  <c r="BM108" i="4" s="1"/>
  <c r="BY187" i="7"/>
  <c r="BV188" i="7" s="1"/>
  <c r="BW188" i="7" s="1"/>
  <c r="BY127" i="6"/>
  <c r="BV128" i="6" s="1"/>
  <c r="BX128" i="6" s="1"/>
  <c r="BW88" i="8"/>
  <c r="BX88" i="8"/>
  <c r="AV169" i="4"/>
  <c r="AW169" i="4"/>
  <c r="AW89" i="7"/>
  <c r="BO146" i="6"/>
  <c r="BN146" i="6"/>
  <c r="BN89" i="8"/>
  <c r="BP89" i="8" s="1"/>
  <c r="BM90" i="8" s="1"/>
  <c r="BO90" i="8" s="1"/>
  <c r="AX107" i="7"/>
  <c r="AU108" i="7" s="1"/>
  <c r="AW108" i="7" s="1"/>
  <c r="BE168" i="8"/>
  <c r="BG168" i="8" s="1"/>
  <c r="BD169" i="8" s="1"/>
  <c r="AM208" i="4"/>
  <c r="AN208" i="4"/>
  <c r="AV147" i="8"/>
  <c r="AW147" i="8"/>
  <c r="BO108" i="7"/>
  <c r="BN108" i="7"/>
  <c r="BE108" i="7"/>
  <c r="BF108" i="7"/>
  <c r="BN89" i="4"/>
  <c r="BO89" i="4"/>
  <c r="AN167" i="8"/>
  <c r="AM167" i="8"/>
  <c r="AN88" i="8"/>
  <c r="AO88" i="8" s="1"/>
  <c r="AL89" i="8" s="1"/>
  <c r="BE87" i="7"/>
  <c r="BG87" i="7" s="1"/>
  <c r="BD88" i="7" s="1"/>
  <c r="BE88" i="7" s="1"/>
  <c r="AV209" i="6"/>
  <c r="AX209" i="6" s="1"/>
  <c r="AU210" i="6" s="1"/>
  <c r="AV210" i="6" s="1"/>
  <c r="BO149" i="7"/>
  <c r="BP149" i="7" s="1"/>
  <c r="BM150" i="7" s="1"/>
  <c r="BN150" i="7" s="1"/>
  <c r="AM87" i="1"/>
  <c r="AO87" i="1" s="1"/>
  <c r="AL88" i="1" s="1"/>
  <c r="BY106" i="6"/>
  <c r="BV107" i="6" s="1"/>
  <c r="BX88" i="7"/>
  <c r="BY88" i="7" s="1"/>
  <c r="BV89" i="7" s="1"/>
  <c r="BG128" i="4"/>
  <c r="BD129" i="4" s="1"/>
  <c r="BE129" i="4" s="1"/>
  <c r="AW68" i="7"/>
  <c r="AX68" i="7" s="1"/>
  <c r="AU69" i="7" s="1"/>
  <c r="AO147" i="1"/>
  <c r="AL148" i="1" s="1"/>
  <c r="AN148" i="1" s="1"/>
  <c r="BX188" i="8"/>
  <c r="BW188" i="8"/>
  <c r="AX187" i="8"/>
  <c r="AU188" i="8" s="1"/>
  <c r="BW210" i="4"/>
  <c r="BY210" i="4" s="1"/>
  <c r="BV211" i="4" s="1"/>
  <c r="BW211" i="4" s="1"/>
  <c r="AO207" i="8"/>
  <c r="AL208" i="8" s="1"/>
  <c r="AN208" i="8" s="1"/>
  <c r="BP206" i="6"/>
  <c r="BM207" i="6" s="1"/>
  <c r="BO207" i="6" s="1"/>
  <c r="BF148" i="6"/>
  <c r="BE148" i="6"/>
  <c r="BN168" i="6"/>
  <c r="BO168" i="6"/>
  <c r="AM86" i="4"/>
  <c r="AN86" i="4"/>
  <c r="AX188" i="4"/>
  <c r="AU189" i="4" s="1"/>
  <c r="BP208" i="1"/>
  <c r="BM209" i="1" s="1"/>
  <c r="BO209" i="1" s="1"/>
  <c r="BN208" i="8"/>
  <c r="BG208" i="4"/>
  <c r="BD209" i="4" s="1"/>
  <c r="BP167" i="7"/>
  <c r="BM168" i="7" s="1"/>
  <c r="AW207" i="7"/>
  <c r="AV207" i="7"/>
  <c r="BO110" i="1"/>
  <c r="BP110" i="1" s="1"/>
  <c r="BM111" i="1" s="1"/>
  <c r="BN111" i="1" s="1"/>
  <c r="AW188" i="7"/>
  <c r="AX188" i="7" s="1"/>
  <c r="AU189" i="7" s="1"/>
  <c r="AV189" i="7" s="1"/>
  <c r="BN69" i="1"/>
  <c r="BO69" i="1"/>
  <c r="AO106" i="8"/>
  <c r="AL107" i="8" s="1"/>
  <c r="AN107" i="8" s="1"/>
  <c r="AO187" i="8"/>
  <c r="AL188" i="8" s="1"/>
  <c r="AM188" i="8" s="1"/>
  <c r="AX108" i="6"/>
  <c r="AU109" i="6" s="1"/>
  <c r="BO128" i="8"/>
  <c r="BN128" i="8"/>
  <c r="BW130" i="1"/>
  <c r="BX130" i="1"/>
  <c r="BO208" i="8"/>
  <c r="BW149" i="4"/>
  <c r="BX149" i="4"/>
  <c r="AO146" i="7"/>
  <c r="AL147" i="7" s="1"/>
  <c r="BE210" i="7"/>
  <c r="BG210" i="7" s="1"/>
  <c r="BD211" i="7" s="1"/>
  <c r="BF211" i="7" s="1"/>
  <c r="BO69" i="6"/>
  <c r="BP69" i="6" s="1"/>
  <c r="BM70" i="6" s="1"/>
  <c r="BE169" i="1"/>
  <c r="BF169" i="1"/>
  <c r="AM107" i="6"/>
  <c r="AN107" i="6"/>
  <c r="AM128" i="8"/>
  <c r="AN128" i="8"/>
  <c r="AX127" i="6"/>
  <c r="AU128" i="6" s="1"/>
  <c r="BE70" i="6"/>
  <c r="BG70" i="6" s="1"/>
  <c r="BD71" i="6" s="1"/>
  <c r="AV108" i="8"/>
  <c r="AX108" i="8" s="1"/>
  <c r="AU109" i="8" s="1"/>
  <c r="AV109" i="8" s="1"/>
  <c r="BW129" i="8"/>
  <c r="BY129" i="8" s="1"/>
  <c r="BV130" i="8" s="1"/>
  <c r="BW130" i="8" s="1"/>
  <c r="BE128" i="7"/>
  <c r="BG128" i="7" s="1"/>
  <c r="BD129" i="7" s="1"/>
  <c r="BE129" i="7" s="1"/>
  <c r="BN128" i="7"/>
  <c r="BP128" i="7" s="1"/>
  <c r="BM129" i="7" s="1"/>
  <c r="AM67" i="7"/>
  <c r="AN67" i="7"/>
  <c r="AO206" i="1"/>
  <c r="AL207" i="1" s="1"/>
  <c r="BY128" i="7"/>
  <c r="BV129" i="7" s="1"/>
  <c r="BX129" i="7" s="1"/>
  <c r="AN88" i="7"/>
  <c r="AM88" i="7"/>
  <c r="BO189" i="8"/>
  <c r="BP189" i="8" s="1"/>
  <c r="BM190" i="8" s="1"/>
  <c r="BO190" i="8" s="1"/>
  <c r="AW169" i="6"/>
  <c r="AX169" i="6" s="1"/>
  <c r="AU170" i="6" s="1"/>
  <c r="BG107" i="1"/>
  <c r="BD108" i="1" s="1"/>
  <c r="AO126" i="6"/>
  <c r="AL127" i="6" s="1"/>
  <c r="AM167" i="4"/>
  <c r="AN167" i="4"/>
  <c r="AW67" i="8"/>
  <c r="AV67" i="8"/>
  <c r="AM127" i="7"/>
  <c r="AN127" i="7"/>
  <c r="AO167" i="6"/>
  <c r="AL168" i="6" s="1"/>
  <c r="AN167" i="7"/>
  <c r="AM167" i="7"/>
  <c r="BN67" i="8"/>
  <c r="BO67" i="8"/>
  <c r="AX147" i="6"/>
  <c r="AU148" i="6" s="1"/>
  <c r="AV87" i="1" l="1"/>
  <c r="AW87" i="1"/>
  <c r="AX87" i="1" s="1"/>
  <c r="AU88" i="1" s="1"/>
  <c r="AW88" i="1" s="1"/>
  <c r="AV127" i="1"/>
  <c r="AX127" i="1" s="1"/>
  <c r="AU128" i="1" s="1"/>
  <c r="AW128" i="1" s="1"/>
  <c r="AW188" i="1"/>
  <c r="AV188" i="1"/>
  <c r="AN168" i="1"/>
  <c r="AO168" i="1" s="1"/>
  <c r="AL169" i="1" s="1"/>
  <c r="AN169" i="1" s="1"/>
  <c r="AW68" i="1"/>
  <c r="AX68" i="1" s="1"/>
  <c r="AU69" i="1" s="1"/>
  <c r="BX87" i="4"/>
  <c r="BO128" i="4"/>
  <c r="AX108" i="1"/>
  <c r="AU109" i="1" s="1"/>
  <c r="AW147" i="1"/>
  <c r="AX147" i="1" s="1"/>
  <c r="AU148" i="1" s="1"/>
  <c r="AV88" i="1"/>
  <c r="BY109" i="1"/>
  <c r="BV110" i="1" s="1"/>
  <c r="BW110" i="1" s="1"/>
  <c r="AV109" i="1"/>
  <c r="AW109" i="1"/>
  <c r="AX109" i="1" s="1"/>
  <c r="AU110" i="1" s="1"/>
  <c r="BF71" i="1"/>
  <c r="BG71" i="1" s="1"/>
  <c r="BD72" i="1" s="1"/>
  <c r="BE72" i="1" s="1"/>
  <c r="BE89" i="1"/>
  <c r="BG89" i="1" s="1"/>
  <c r="BD90" i="1" s="1"/>
  <c r="BF90" i="1" s="1"/>
  <c r="AM189" i="1"/>
  <c r="AO189" i="1" s="1"/>
  <c r="AL190" i="1" s="1"/>
  <c r="AN190" i="1" s="1"/>
  <c r="AN128" i="1"/>
  <c r="AO128" i="1" s="1"/>
  <c r="AL129" i="1" s="1"/>
  <c r="AM129" i="1" s="1"/>
  <c r="BP170" i="1"/>
  <c r="BM171" i="1" s="1"/>
  <c r="BN171" i="1" s="1"/>
  <c r="BF128" i="1"/>
  <c r="BG128" i="1" s="1"/>
  <c r="BD129" i="1" s="1"/>
  <c r="AM108" i="1"/>
  <c r="AO108" i="1" s="1"/>
  <c r="AL109" i="1" s="1"/>
  <c r="AN109" i="1" s="1"/>
  <c r="BO89" i="7"/>
  <c r="BP89" i="7" s="1"/>
  <c r="BM90" i="7" s="1"/>
  <c r="BN90" i="7" s="1"/>
  <c r="AV69" i="4"/>
  <c r="AX69" i="4" s="1"/>
  <c r="AU70" i="4" s="1"/>
  <c r="AV70" i="4" s="1"/>
  <c r="AV128" i="8"/>
  <c r="AX128" i="8" s="1"/>
  <c r="AU129" i="8" s="1"/>
  <c r="BF109" i="6"/>
  <c r="BF211" i="6"/>
  <c r="BG211" i="6" s="1"/>
  <c r="BD212" i="6" s="1"/>
  <c r="AX168" i="1"/>
  <c r="AU169" i="1" s="1"/>
  <c r="AW169" i="1" s="1"/>
  <c r="BN189" i="6"/>
  <c r="BO189" i="6"/>
  <c r="BN108" i="6"/>
  <c r="BO108" i="6"/>
  <c r="BN128" i="6"/>
  <c r="BP128" i="6" s="1"/>
  <c r="BM129" i="6" s="1"/>
  <c r="BN129" i="6" s="1"/>
  <c r="BO69" i="4"/>
  <c r="BP69" i="4" s="1"/>
  <c r="BM70" i="4" s="1"/>
  <c r="BG147" i="7"/>
  <c r="BD148" i="7" s="1"/>
  <c r="BX170" i="6"/>
  <c r="BY170" i="6" s="1"/>
  <c r="BV171" i="6" s="1"/>
  <c r="AV209" i="4"/>
  <c r="AX209" i="4" s="1"/>
  <c r="AU210" i="4" s="1"/>
  <c r="BN208" i="7"/>
  <c r="BP208" i="7" s="1"/>
  <c r="BM209" i="7" s="1"/>
  <c r="BN209" i="7" s="1"/>
  <c r="BW109" i="4"/>
  <c r="BY109" i="4" s="1"/>
  <c r="BV110" i="4" s="1"/>
  <c r="BW110" i="4" s="1"/>
  <c r="BW129" i="4"/>
  <c r="BY129" i="4" s="1"/>
  <c r="BV130" i="4" s="1"/>
  <c r="BW130" i="4" s="1"/>
  <c r="AX87" i="4"/>
  <c r="AU88" i="4" s="1"/>
  <c r="AV88" i="4" s="1"/>
  <c r="BY187" i="6"/>
  <c r="BV188" i="6" s="1"/>
  <c r="BX188" i="6" s="1"/>
  <c r="AM208" i="8"/>
  <c r="BW208" i="6"/>
  <c r="BY208" i="6" s="1"/>
  <c r="BV209" i="6" s="1"/>
  <c r="BX209" i="6" s="1"/>
  <c r="BW67" i="1"/>
  <c r="BY67" i="1" s="1"/>
  <c r="BV68" i="1" s="1"/>
  <c r="BE149" i="8"/>
  <c r="BG149" i="8" s="1"/>
  <c r="BD150" i="8" s="1"/>
  <c r="BF150" i="8" s="1"/>
  <c r="BW149" i="6"/>
  <c r="BX149" i="6"/>
  <c r="BY149" i="6" s="1"/>
  <c r="BV150" i="6" s="1"/>
  <c r="BX150" i="6" s="1"/>
  <c r="BW69" i="4"/>
  <c r="BY69" i="4" s="1"/>
  <c r="BV70" i="4" s="1"/>
  <c r="BX70" i="4" s="1"/>
  <c r="BO189" i="7"/>
  <c r="BP189" i="7" s="1"/>
  <c r="BM190" i="7" s="1"/>
  <c r="BN190" i="7" s="1"/>
  <c r="AV128" i="1"/>
  <c r="AX128" i="1" s="1"/>
  <c r="AU129" i="1" s="1"/>
  <c r="AV169" i="8"/>
  <c r="AX169" i="8" s="1"/>
  <c r="AU170" i="8" s="1"/>
  <c r="AV170" i="8" s="1"/>
  <c r="AX167" i="7"/>
  <c r="AU168" i="7" s="1"/>
  <c r="BE89" i="4"/>
  <c r="BG89" i="4" s="1"/>
  <c r="BD90" i="4" s="1"/>
  <c r="BE90" i="4" s="1"/>
  <c r="AW149" i="4"/>
  <c r="AX149" i="4" s="1"/>
  <c r="AU150" i="4" s="1"/>
  <c r="AV150" i="4" s="1"/>
  <c r="BE68" i="4"/>
  <c r="BG68" i="4" s="1"/>
  <c r="BD69" i="4" s="1"/>
  <c r="BF189" i="8"/>
  <c r="BG189" i="8" s="1"/>
  <c r="BD190" i="8" s="1"/>
  <c r="BE190" i="8" s="1"/>
  <c r="BN188" i="4"/>
  <c r="BP188" i="4" s="1"/>
  <c r="BM189" i="4" s="1"/>
  <c r="BN189" i="4" s="1"/>
  <c r="BG148" i="1"/>
  <c r="BD149" i="1" s="1"/>
  <c r="BF149" i="1" s="1"/>
  <c r="AX207" i="1"/>
  <c r="AU208" i="1" s="1"/>
  <c r="AV208" i="1" s="1"/>
  <c r="AX107" i="4"/>
  <c r="AU108" i="4" s="1"/>
  <c r="AV108" i="4" s="1"/>
  <c r="BG148" i="4"/>
  <c r="BD149" i="4" s="1"/>
  <c r="AW88" i="6"/>
  <c r="AX88" i="6" s="1"/>
  <c r="AU89" i="6" s="1"/>
  <c r="AV88" i="6"/>
  <c r="AO129" i="4"/>
  <c r="AL130" i="4" s="1"/>
  <c r="AN130" i="4" s="1"/>
  <c r="BY108" i="8"/>
  <c r="BV109" i="8" s="1"/>
  <c r="BX109" i="8" s="1"/>
  <c r="BE211" i="7"/>
  <c r="BG211" i="7" s="1"/>
  <c r="BD212" i="7" s="1"/>
  <c r="BF212" i="7" s="1"/>
  <c r="BW169" i="1"/>
  <c r="BX169" i="1"/>
  <c r="AV148" i="7"/>
  <c r="AW148" i="7"/>
  <c r="AW69" i="6"/>
  <c r="AX69" i="6" s="1"/>
  <c r="AU70" i="6" s="1"/>
  <c r="AW70" i="6" s="1"/>
  <c r="BE89" i="6"/>
  <c r="BP148" i="4"/>
  <c r="BM149" i="4" s="1"/>
  <c r="BN149" i="4" s="1"/>
  <c r="BX68" i="6"/>
  <c r="BY68" i="6" s="1"/>
  <c r="BV69" i="6" s="1"/>
  <c r="BW208" i="7"/>
  <c r="BY208" i="7" s="1"/>
  <c r="BV209" i="7" s="1"/>
  <c r="AO208" i="7"/>
  <c r="AL209" i="7" s="1"/>
  <c r="AN209" i="7" s="1"/>
  <c r="BY147" i="7"/>
  <c r="BV148" i="7" s="1"/>
  <c r="BX148" i="7" s="1"/>
  <c r="BP167" i="8"/>
  <c r="BM168" i="8" s="1"/>
  <c r="BO168" i="8" s="1"/>
  <c r="AW70" i="4"/>
  <c r="AX70" i="4" s="1"/>
  <c r="AU71" i="4" s="1"/>
  <c r="AW71" i="4" s="1"/>
  <c r="BF168" i="6"/>
  <c r="BG168" i="6" s="1"/>
  <c r="BD169" i="6" s="1"/>
  <c r="AW210" i="6"/>
  <c r="AX210" i="6" s="1"/>
  <c r="AU211" i="6" s="1"/>
  <c r="AW211" i="6" s="1"/>
  <c r="BX188" i="4"/>
  <c r="BY188" i="4" s="1"/>
  <c r="BV189" i="4" s="1"/>
  <c r="AX89" i="7"/>
  <c r="AU90" i="7" s="1"/>
  <c r="AV90" i="7" s="1"/>
  <c r="AM147" i="8"/>
  <c r="AN147" i="8"/>
  <c r="AN109" i="4"/>
  <c r="AO109" i="4" s="1"/>
  <c r="AL110" i="4" s="1"/>
  <c r="AN110" i="4" s="1"/>
  <c r="BP128" i="4"/>
  <c r="BM129" i="4" s="1"/>
  <c r="BO129" i="4" s="1"/>
  <c r="BW169" i="4"/>
  <c r="BY169" i="4" s="1"/>
  <c r="BV170" i="4" s="1"/>
  <c r="BX170" i="4" s="1"/>
  <c r="BO150" i="8"/>
  <c r="BP150" i="8" s="1"/>
  <c r="BM151" i="8" s="1"/>
  <c r="BN151" i="8" s="1"/>
  <c r="AO86" i="4"/>
  <c r="AL87" i="4" s="1"/>
  <c r="AM87" i="4" s="1"/>
  <c r="BF209" i="8"/>
  <c r="BG209" i="8" s="1"/>
  <c r="BD210" i="8" s="1"/>
  <c r="BW69" i="7"/>
  <c r="BX69" i="7"/>
  <c r="BE208" i="1"/>
  <c r="BF208" i="1"/>
  <c r="AW168" i="7"/>
  <c r="AV168" i="7"/>
  <c r="BO87" i="6"/>
  <c r="BP87" i="6" s="1"/>
  <c r="BM88" i="6" s="1"/>
  <c r="BF88" i="7"/>
  <c r="BG88" i="7" s="1"/>
  <c r="BD89" i="7" s="1"/>
  <c r="AV129" i="4"/>
  <c r="AX129" i="4" s="1"/>
  <c r="AU130" i="4" s="1"/>
  <c r="BY188" i="8"/>
  <c r="BV189" i="8" s="1"/>
  <c r="BW189" i="8" s="1"/>
  <c r="BX188" i="7"/>
  <c r="BY188" i="7" s="1"/>
  <c r="BV189" i="7" s="1"/>
  <c r="AN148" i="4"/>
  <c r="AO148" i="4" s="1"/>
  <c r="AL149" i="4" s="1"/>
  <c r="BW128" i="6"/>
  <c r="BY128" i="6" s="1"/>
  <c r="BV129" i="6" s="1"/>
  <c r="BW129" i="6" s="1"/>
  <c r="BE189" i="6"/>
  <c r="BG189" i="6" s="1"/>
  <c r="BD190" i="6" s="1"/>
  <c r="BE190" i="6" s="1"/>
  <c r="BO189" i="1"/>
  <c r="BP189" i="1" s="1"/>
  <c r="BM190" i="1" s="1"/>
  <c r="AM108" i="7"/>
  <c r="AN108" i="7"/>
  <c r="AM148" i="6"/>
  <c r="AO148" i="6" s="1"/>
  <c r="AL149" i="6" s="1"/>
  <c r="AN149" i="6" s="1"/>
  <c r="BF129" i="4"/>
  <c r="BG129" i="4" s="1"/>
  <c r="BD130" i="4" s="1"/>
  <c r="BF130" i="4" s="1"/>
  <c r="BF69" i="7"/>
  <c r="BG69" i="7" s="1"/>
  <c r="BD70" i="7" s="1"/>
  <c r="BF188" i="4"/>
  <c r="BE188" i="4"/>
  <c r="AW109" i="8"/>
  <c r="AX109" i="8" s="1"/>
  <c r="AU110" i="8" s="1"/>
  <c r="AN187" i="7"/>
  <c r="AO187" i="7" s="1"/>
  <c r="AL188" i="7" s="1"/>
  <c r="AV108" i="7"/>
  <c r="AX108" i="7" s="1"/>
  <c r="AU109" i="7" s="1"/>
  <c r="AV109" i="7" s="1"/>
  <c r="BF70" i="8"/>
  <c r="BE70" i="8"/>
  <c r="BO208" i="4"/>
  <c r="BN208" i="4"/>
  <c r="AN68" i="6"/>
  <c r="AO68" i="6" s="1"/>
  <c r="AL69" i="6" s="1"/>
  <c r="AO128" i="8"/>
  <c r="AL129" i="8" s="1"/>
  <c r="AN129" i="8" s="1"/>
  <c r="BF129" i="6"/>
  <c r="BG129" i="6" s="1"/>
  <c r="BD130" i="6" s="1"/>
  <c r="BF130" i="6" s="1"/>
  <c r="AM208" i="6"/>
  <c r="AO208" i="6" s="1"/>
  <c r="AL209" i="6" s="1"/>
  <c r="AN209" i="6" s="1"/>
  <c r="BX211" i="4"/>
  <c r="BY211" i="4" s="1"/>
  <c r="BV212" i="4" s="1"/>
  <c r="BW212" i="4" s="1"/>
  <c r="BO150" i="1"/>
  <c r="BP150" i="1" s="1"/>
  <c r="BM151" i="1" s="1"/>
  <c r="BN151" i="1" s="1"/>
  <c r="BY88" i="8"/>
  <c r="BV89" i="8" s="1"/>
  <c r="BW89" i="8" s="1"/>
  <c r="BE148" i="7"/>
  <c r="BF148" i="7"/>
  <c r="BG128" i="8"/>
  <c r="BD129" i="8" s="1"/>
  <c r="AW190" i="6"/>
  <c r="AX190" i="6" s="1"/>
  <c r="AU191" i="6" s="1"/>
  <c r="AV191" i="6" s="1"/>
  <c r="BX67" i="8"/>
  <c r="BW67" i="8"/>
  <c r="AX207" i="8"/>
  <c r="AU208" i="8" s="1"/>
  <c r="BO89" i="1"/>
  <c r="BN89" i="1"/>
  <c r="BF169" i="4"/>
  <c r="BG169" i="4" s="1"/>
  <c r="BD170" i="4" s="1"/>
  <c r="BE170" i="4" s="1"/>
  <c r="BP208" i="8"/>
  <c r="BM209" i="8" s="1"/>
  <c r="BN209" i="8" s="1"/>
  <c r="AW189" i="7"/>
  <c r="AX189" i="7" s="1"/>
  <c r="AU190" i="7" s="1"/>
  <c r="AW190" i="7" s="1"/>
  <c r="BF190" i="1"/>
  <c r="BG190" i="1" s="1"/>
  <c r="BD191" i="1" s="1"/>
  <c r="BF191" i="1" s="1"/>
  <c r="BY149" i="4"/>
  <c r="BV150" i="4" s="1"/>
  <c r="BX150" i="4" s="1"/>
  <c r="BN209" i="1"/>
  <c r="BP209" i="1" s="1"/>
  <c r="BM210" i="1" s="1"/>
  <c r="BO210" i="1" s="1"/>
  <c r="AN188" i="4"/>
  <c r="AO188" i="4" s="1"/>
  <c r="AL189" i="4" s="1"/>
  <c r="AM189" i="4" s="1"/>
  <c r="BF168" i="7"/>
  <c r="BG168" i="7" s="1"/>
  <c r="BD169" i="7" s="1"/>
  <c r="BE169" i="7" s="1"/>
  <c r="BO68" i="7"/>
  <c r="BP68" i="7" s="1"/>
  <c r="BM69" i="7" s="1"/>
  <c r="BF109" i="4"/>
  <c r="BG109" i="4" s="1"/>
  <c r="BD110" i="4" s="1"/>
  <c r="BP108" i="7"/>
  <c r="BM109" i="7" s="1"/>
  <c r="BN109" i="7" s="1"/>
  <c r="BY87" i="4"/>
  <c r="BV88" i="4" s="1"/>
  <c r="BX88" i="4" s="1"/>
  <c r="BP89" i="4"/>
  <c r="BM90" i="4" s="1"/>
  <c r="BN90" i="4" s="1"/>
  <c r="AO167" i="7"/>
  <c r="AL168" i="7" s="1"/>
  <c r="AM168" i="7" s="1"/>
  <c r="BG109" i="6"/>
  <c r="BD110" i="6" s="1"/>
  <c r="BF110" i="6" s="1"/>
  <c r="BG169" i="1"/>
  <c r="BD170" i="1" s="1"/>
  <c r="BF170" i="1" s="1"/>
  <c r="AO167" i="8"/>
  <c r="AL168" i="8" s="1"/>
  <c r="AM168" i="8" s="1"/>
  <c r="BX90" i="1"/>
  <c r="BW90" i="1"/>
  <c r="BN108" i="4"/>
  <c r="BO108" i="4"/>
  <c r="AM88" i="1"/>
  <c r="AN88" i="1"/>
  <c r="AN89" i="8"/>
  <c r="AM89" i="8"/>
  <c r="BG188" i="7"/>
  <c r="BD189" i="7" s="1"/>
  <c r="BO150" i="7"/>
  <c r="BP150" i="7" s="1"/>
  <c r="BM151" i="7" s="1"/>
  <c r="AX169" i="4"/>
  <c r="AU170" i="4" s="1"/>
  <c r="AW170" i="4" s="1"/>
  <c r="BX89" i="6"/>
  <c r="BY89" i="6" s="1"/>
  <c r="BV90" i="6" s="1"/>
  <c r="BF88" i="8"/>
  <c r="BG88" i="8" s="1"/>
  <c r="BD89" i="8" s="1"/>
  <c r="BO129" i="6"/>
  <c r="BP129" i="6" s="1"/>
  <c r="BM130" i="6" s="1"/>
  <c r="BG108" i="7"/>
  <c r="BD109" i="7" s="1"/>
  <c r="BF109" i="7" s="1"/>
  <c r="BX190" i="1"/>
  <c r="BY190" i="1" s="1"/>
  <c r="BV191" i="1" s="1"/>
  <c r="BX191" i="1" s="1"/>
  <c r="AO208" i="4"/>
  <c r="AL209" i="4" s="1"/>
  <c r="AM209" i="4" s="1"/>
  <c r="BW150" i="8"/>
  <c r="BY150" i="8" s="1"/>
  <c r="BV151" i="8" s="1"/>
  <c r="AW90" i="8"/>
  <c r="AX90" i="8" s="1"/>
  <c r="AU91" i="8" s="1"/>
  <c r="AV91" i="8" s="1"/>
  <c r="AM69" i="4"/>
  <c r="AO69" i="4" s="1"/>
  <c r="AL70" i="4" s="1"/>
  <c r="BX210" i="1"/>
  <c r="BW210" i="1"/>
  <c r="AX67" i="8"/>
  <c r="AU68" i="8" s="1"/>
  <c r="AW68" i="8" s="1"/>
  <c r="AV129" i="7"/>
  <c r="AX129" i="7" s="1"/>
  <c r="AU130" i="7" s="1"/>
  <c r="AW130" i="7" s="1"/>
  <c r="BN207" i="6"/>
  <c r="BP207" i="6" s="1"/>
  <c r="BM208" i="6" s="1"/>
  <c r="BN168" i="4"/>
  <c r="BP168" i="4" s="1"/>
  <c r="BM169" i="4" s="1"/>
  <c r="BG107" i="8"/>
  <c r="BD108" i="8" s="1"/>
  <c r="BE169" i="8"/>
  <c r="BF169" i="8"/>
  <c r="AW129" i="8"/>
  <c r="AV129" i="8"/>
  <c r="BW89" i="7"/>
  <c r="BX89" i="7"/>
  <c r="BP67" i="8"/>
  <c r="BM68" i="8" s="1"/>
  <c r="BN68" i="8" s="1"/>
  <c r="BX189" i="8"/>
  <c r="BN90" i="8"/>
  <c r="BP90" i="8" s="1"/>
  <c r="BM91" i="8" s="1"/>
  <c r="BN91" i="8" s="1"/>
  <c r="BX107" i="6"/>
  <c r="BW107" i="6"/>
  <c r="BY107" i="6" s="1"/>
  <c r="BV108" i="6" s="1"/>
  <c r="BN130" i="1"/>
  <c r="BO130" i="1"/>
  <c r="BP146" i="6"/>
  <c r="BM147" i="6" s="1"/>
  <c r="AW188" i="8"/>
  <c r="AV188" i="8"/>
  <c r="BX211" i="8"/>
  <c r="BY211" i="8" s="1"/>
  <c r="BV212" i="8" s="1"/>
  <c r="AM148" i="1"/>
  <c r="AO148" i="1" s="1"/>
  <c r="AL149" i="1" s="1"/>
  <c r="AM149" i="1" s="1"/>
  <c r="BP168" i="6"/>
  <c r="BM169" i="6" s="1"/>
  <c r="BO169" i="6" s="1"/>
  <c r="BW129" i="7"/>
  <c r="BY129" i="7" s="1"/>
  <c r="BV130" i="7" s="1"/>
  <c r="BX130" i="7" s="1"/>
  <c r="AX207" i="7"/>
  <c r="AU208" i="7" s="1"/>
  <c r="AW208" i="7" s="1"/>
  <c r="AX147" i="8"/>
  <c r="AU148" i="8" s="1"/>
  <c r="BX130" i="8"/>
  <c r="BY130" i="8" s="1"/>
  <c r="BV131" i="8" s="1"/>
  <c r="BX131" i="8" s="1"/>
  <c r="AO208" i="8"/>
  <c r="AL209" i="8" s="1"/>
  <c r="AM209" i="8" s="1"/>
  <c r="BP128" i="8"/>
  <c r="BM129" i="8" s="1"/>
  <c r="BG89" i="6"/>
  <c r="BD90" i="6" s="1"/>
  <c r="BF90" i="6" s="1"/>
  <c r="BG148" i="6"/>
  <c r="BD149" i="6" s="1"/>
  <c r="BF149" i="6" s="1"/>
  <c r="BE212" i="6"/>
  <c r="BF212" i="6"/>
  <c r="BF129" i="7"/>
  <c r="BG129" i="7" s="1"/>
  <c r="BD130" i="7" s="1"/>
  <c r="AO88" i="7"/>
  <c r="AL89" i="7" s="1"/>
  <c r="AN89" i="7" s="1"/>
  <c r="BX149" i="1"/>
  <c r="BW149" i="1"/>
  <c r="BP69" i="1"/>
  <c r="BM70" i="1" s="1"/>
  <c r="BN107" i="8"/>
  <c r="BO107" i="8"/>
  <c r="BN168" i="7"/>
  <c r="BO168" i="7"/>
  <c r="AN188" i="8"/>
  <c r="AO188" i="8" s="1"/>
  <c r="AL189" i="8" s="1"/>
  <c r="AN189" i="8" s="1"/>
  <c r="AO107" i="6"/>
  <c r="AL108" i="6" s="1"/>
  <c r="AN108" i="6" s="1"/>
  <c r="AM107" i="8"/>
  <c r="AO107" i="8" s="1"/>
  <c r="AL108" i="8" s="1"/>
  <c r="AM108" i="8" s="1"/>
  <c r="BF209" i="4"/>
  <c r="BE209" i="4"/>
  <c r="AO167" i="4"/>
  <c r="AL168" i="4" s="1"/>
  <c r="AN168" i="4" s="1"/>
  <c r="BW170" i="8"/>
  <c r="BY170" i="8" s="1"/>
  <c r="BV171" i="8" s="1"/>
  <c r="BW171" i="8" s="1"/>
  <c r="BX171" i="7"/>
  <c r="BY171" i="7" s="1"/>
  <c r="BV172" i="7" s="1"/>
  <c r="BY130" i="1"/>
  <c r="BV131" i="1" s="1"/>
  <c r="AV109" i="6"/>
  <c r="AW109" i="6"/>
  <c r="BX109" i="7"/>
  <c r="BW109" i="7"/>
  <c r="AW189" i="4"/>
  <c r="AV189" i="4"/>
  <c r="AV170" i="6"/>
  <c r="AW170" i="6"/>
  <c r="BO129" i="7"/>
  <c r="BN129" i="7"/>
  <c r="BF71" i="6"/>
  <c r="BE71" i="6"/>
  <c r="BO70" i="6"/>
  <c r="BN70" i="6"/>
  <c r="AN69" i="6"/>
  <c r="AM69" i="6"/>
  <c r="AV69" i="7"/>
  <c r="AW69" i="7"/>
  <c r="BO111" i="1"/>
  <c r="BP111" i="1" s="1"/>
  <c r="BM112" i="1" s="1"/>
  <c r="BN190" i="8"/>
  <c r="BP190" i="8" s="1"/>
  <c r="BM191" i="8" s="1"/>
  <c r="AW148" i="6"/>
  <c r="AV148" i="6"/>
  <c r="AO127" i="7"/>
  <c r="AL128" i="7" s="1"/>
  <c r="AN188" i="6"/>
  <c r="AM188" i="6"/>
  <c r="AO67" i="7"/>
  <c r="AL68" i="7" s="1"/>
  <c r="AN89" i="6"/>
  <c r="AM89" i="6"/>
  <c r="AN207" i="1"/>
  <c r="AM207" i="1"/>
  <c r="AM168" i="6"/>
  <c r="AN168" i="6"/>
  <c r="AM68" i="8"/>
  <c r="AN68" i="8"/>
  <c r="AN147" i="7"/>
  <c r="AM147" i="7"/>
  <c r="AN127" i="6"/>
  <c r="AM127" i="6"/>
  <c r="AM68" i="1"/>
  <c r="AN68" i="1"/>
  <c r="BE108" i="1"/>
  <c r="BF108" i="1"/>
  <c r="AV128" i="6"/>
  <c r="AW128" i="6"/>
  <c r="AX188" i="1" l="1"/>
  <c r="AU189" i="1" s="1"/>
  <c r="AM169" i="1"/>
  <c r="AX88" i="1"/>
  <c r="AU89" i="1" s="1"/>
  <c r="AV189" i="1"/>
  <c r="AW189" i="1"/>
  <c r="AX189" i="1" s="1"/>
  <c r="AU190" i="1" s="1"/>
  <c r="AW190" i="1" s="1"/>
  <c r="AW148" i="1"/>
  <c r="AV148" i="1"/>
  <c r="AX148" i="1" s="1"/>
  <c r="AU149" i="1" s="1"/>
  <c r="AW149" i="1" s="1"/>
  <c r="AN129" i="1"/>
  <c r="AO129" i="1" s="1"/>
  <c r="AL130" i="1" s="1"/>
  <c r="AM130" i="1" s="1"/>
  <c r="BP208" i="4"/>
  <c r="BM209" i="4" s="1"/>
  <c r="BN209" i="4" s="1"/>
  <c r="AW88" i="4"/>
  <c r="BO149" i="4"/>
  <c r="BP149" i="4" s="1"/>
  <c r="BM150" i="4" s="1"/>
  <c r="BN150" i="4" s="1"/>
  <c r="BG188" i="4"/>
  <c r="BD189" i="4" s="1"/>
  <c r="BE189" i="4" s="1"/>
  <c r="BX110" i="1"/>
  <c r="BY110" i="1" s="1"/>
  <c r="BV111" i="1" s="1"/>
  <c r="AW89" i="1"/>
  <c r="AV89" i="1"/>
  <c r="AX89" i="1" s="1"/>
  <c r="AU90" i="1" s="1"/>
  <c r="BY169" i="1"/>
  <c r="BV170" i="1" s="1"/>
  <c r="BX170" i="1" s="1"/>
  <c r="AW110" i="1"/>
  <c r="AV110" i="1"/>
  <c r="BF72" i="1"/>
  <c r="AM190" i="1"/>
  <c r="AO190" i="1" s="1"/>
  <c r="AL191" i="1" s="1"/>
  <c r="AM191" i="1" s="1"/>
  <c r="BE191" i="1"/>
  <c r="BG191" i="1" s="1"/>
  <c r="BD192" i="1" s="1"/>
  <c r="BF192" i="1" s="1"/>
  <c r="BO171" i="1"/>
  <c r="BP171" i="1" s="1"/>
  <c r="BM172" i="1" s="1"/>
  <c r="BN172" i="1" s="1"/>
  <c r="AW69" i="1"/>
  <c r="AV69" i="1"/>
  <c r="AM109" i="1"/>
  <c r="AO109" i="1" s="1"/>
  <c r="AL110" i="1" s="1"/>
  <c r="AN110" i="1" s="1"/>
  <c r="BF90" i="4"/>
  <c r="BX110" i="4"/>
  <c r="BY110" i="4" s="1"/>
  <c r="BV111" i="4" s="1"/>
  <c r="BW111" i="4" s="1"/>
  <c r="BO209" i="7"/>
  <c r="BP209" i="7" s="1"/>
  <c r="BM210" i="7" s="1"/>
  <c r="BN210" i="7" s="1"/>
  <c r="BG150" i="8"/>
  <c r="BD151" i="8" s="1"/>
  <c r="BF151" i="8" s="1"/>
  <c r="BE130" i="4"/>
  <c r="BG130" i="4" s="1"/>
  <c r="BD131" i="4" s="1"/>
  <c r="BF131" i="4" s="1"/>
  <c r="BE150" i="8"/>
  <c r="AO108" i="7"/>
  <c r="AL109" i="7" s="1"/>
  <c r="AM109" i="7" s="1"/>
  <c r="BP108" i="6"/>
  <c r="BM109" i="6" s="1"/>
  <c r="BN109" i="6" s="1"/>
  <c r="AV169" i="1"/>
  <c r="AX169" i="1" s="1"/>
  <c r="AU170" i="1" s="1"/>
  <c r="BX130" i="4"/>
  <c r="BY130" i="4" s="1"/>
  <c r="BV131" i="4" s="1"/>
  <c r="BX129" i="6"/>
  <c r="BN129" i="4"/>
  <c r="BP129" i="4" s="1"/>
  <c r="BM130" i="4" s="1"/>
  <c r="BN130" i="4" s="1"/>
  <c r="AW108" i="4"/>
  <c r="AX108" i="4" s="1"/>
  <c r="AU109" i="4" s="1"/>
  <c r="AW109" i="4" s="1"/>
  <c r="AM129" i="8"/>
  <c r="BE170" i="1"/>
  <c r="BG170" i="1" s="1"/>
  <c r="BD171" i="1" s="1"/>
  <c r="BE171" i="1" s="1"/>
  <c r="BG70" i="8"/>
  <c r="BD71" i="8" s="1"/>
  <c r="BF71" i="8" s="1"/>
  <c r="BW68" i="1"/>
  <c r="BY68" i="1" s="1"/>
  <c r="BV69" i="1" s="1"/>
  <c r="BX68" i="1"/>
  <c r="BX209" i="7"/>
  <c r="BW209" i="7"/>
  <c r="BW171" i="6"/>
  <c r="BX171" i="6"/>
  <c r="BY171" i="6"/>
  <c r="BV172" i="6" s="1"/>
  <c r="BW172" i="6" s="1"/>
  <c r="BW209" i="6"/>
  <c r="BY209" i="6" s="1"/>
  <c r="BV210" i="6" s="1"/>
  <c r="BX210" i="6" s="1"/>
  <c r="BO151" i="8"/>
  <c r="BP189" i="6"/>
  <c r="BM190" i="6" s="1"/>
  <c r="AV68" i="8"/>
  <c r="AW208" i="1"/>
  <c r="AX208" i="1" s="1"/>
  <c r="AU209" i="1" s="1"/>
  <c r="AW209" i="1" s="1"/>
  <c r="BW109" i="8"/>
  <c r="BY109" i="8" s="1"/>
  <c r="BV110" i="8" s="1"/>
  <c r="BW110" i="8" s="1"/>
  <c r="BW188" i="6"/>
  <c r="BY188" i="6" s="1"/>
  <c r="BV189" i="6" s="1"/>
  <c r="AV190" i="7"/>
  <c r="AX190" i="7" s="1"/>
  <c r="AU191" i="7" s="1"/>
  <c r="AV191" i="7" s="1"/>
  <c r="BE149" i="1"/>
  <c r="BG149" i="1" s="1"/>
  <c r="BD150" i="1" s="1"/>
  <c r="BG208" i="1"/>
  <c r="BD209" i="1" s="1"/>
  <c r="BF209" i="1" s="1"/>
  <c r="AW170" i="8"/>
  <c r="AX170" i="8" s="1"/>
  <c r="AU171" i="8" s="1"/>
  <c r="AW171" i="8" s="1"/>
  <c r="BO90" i="7"/>
  <c r="BP90" i="7" s="1"/>
  <c r="BM91" i="7" s="1"/>
  <c r="BW150" i="6"/>
  <c r="BY150" i="6" s="1"/>
  <c r="BV151" i="6" s="1"/>
  <c r="AW150" i="4"/>
  <c r="AX150" i="4" s="1"/>
  <c r="AU151" i="4" s="1"/>
  <c r="AW151" i="4" s="1"/>
  <c r="BE210" i="8"/>
  <c r="BF210" i="8"/>
  <c r="BO109" i="6"/>
  <c r="BW88" i="4"/>
  <c r="BY88" i="4" s="1"/>
  <c r="BV89" i="4" s="1"/>
  <c r="AM130" i="4"/>
  <c r="AO130" i="4" s="1"/>
  <c r="AL131" i="4" s="1"/>
  <c r="BG90" i="4"/>
  <c r="BD91" i="4" s="1"/>
  <c r="BE91" i="4" s="1"/>
  <c r="BF169" i="7"/>
  <c r="BG169" i="7" s="1"/>
  <c r="BD170" i="7" s="1"/>
  <c r="BW70" i="4"/>
  <c r="BY70" i="4" s="1"/>
  <c r="BV71" i="4" s="1"/>
  <c r="BW71" i="4" s="1"/>
  <c r="AV71" i="4"/>
  <c r="AX71" i="4" s="1"/>
  <c r="AU72" i="4" s="1"/>
  <c r="AW72" i="4" s="1"/>
  <c r="AX168" i="7"/>
  <c r="AU169" i="7" s="1"/>
  <c r="AV169" i="7" s="1"/>
  <c r="AX148" i="7"/>
  <c r="AU149" i="7" s="1"/>
  <c r="AV149" i="7" s="1"/>
  <c r="BN168" i="8"/>
  <c r="BP168" i="8" s="1"/>
  <c r="BM169" i="8" s="1"/>
  <c r="BN169" i="8" s="1"/>
  <c r="AO147" i="8"/>
  <c r="AL148" i="8" s="1"/>
  <c r="AW89" i="6"/>
  <c r="AV89" i="6"/>
  <c r="AX89" i="6" s="1"/>
  <c r="AU90" i="6" s="1"/>
  <c r="BO189" i="4"/>
  <c r="BP189" i="4" s="1"/>
  <c r="BM190" i="4" s="1"/>
  <c r="BO190" i="4" s="1"/>
  <c r="AV70" i="6"/>
  <c r="AX70" i="6" s="1"/>
  <c r="AU71" i="6" s="1"/>
  <c r="BO190" i="7"/>
  <c r="BP190" i="7" s="1"/>
  <c r="BM191" i="7" s="1"/>
  <c r="BN191" i="7" s="1"/>
  <c r="BF190" i="8"/>
  <c r="BG190" i="8" s="1"/>
  <c r="BD191" i="8" s="1"/>
  <c r="BE191" i="8" s="1"/>
  <c r="BE149" i="4"/>
  <c r="BF149" i="4"/>
  <c r="BX151" i="8"/>
  <c r="BW151" i="8"/>
  <c r="BN69" i="7"/>
  <c r="BO69" i="7"/>
  <c r="AN87" i="4"/>
  <c r="AO87" i="4" s="1"/>
  <c r="AL88" i="4" s="1"/>
  <c r="AM88" i="4" s="1"/>
  <c r="BW170" i="4"/>
  <c r="BY170" i="4" s="1"/>
  <c r="BV171" i="4" s="1"/>
  <c r="BX171" i="4" s="1"/>
  <c r="BO209" i="8"/>
  <c r="BP209" i="8" s="1"/>
  <c r="BM210" i="8" s="1"/>
  <c r="BO90" i="4"/>
  <c r="BP90" i="4" s="1"/>
  <c r="BM91" i="4" s="1"/>
  <c r="BO91" i="4" s="1"/>
  <c r="BW148" i="7"/>
  <c r="BY148" i="7" s="1"/>
  <c r="BV149" i="7" s="1"/>
  <c r="BX149" i="7" s="1"/>
  <c r="BO172" i="1"/>
  <c r="BP172" i="1" s="1"/>
  <c r="BM173" i="1" s="1"/>
  <c r="BO173" i="1" s="1"/>
  <c r="AX129" i="8"/>
  <c r="AU130" i="8" s="1"/>
  <c r="AW130" i="8" s="1"/>
  <c r="BE129" i="1"/>
  <c r="BF129" i="1"/>
  <c r="BX172" i="6"/>
  <c r="BY172" i="6" s="1"/>
  <c r="BV173" i="6" s="1"/>
  <c r="AM209" i="7"/>
  <c r="AV170" i="4"/>
  <c r="AX170" i="4" s="1"/>
  <c r="AU171" i="4" s="1"/>
  <c r="AV171" i="4" s="1"/>
  <c r="AW90" i="7"/>
  <c r="AX90" i="7" s="1"/>
  <c r="AU91" i="7" s="1"/>
  <c r="AO147" i="7"/>
  <c r="AL148" i="7" s="1"/>
  <c r="AM148" i="7" s="1"/>
  <c r="BP89" i="1"/>
  <c r="BM90" i="1" s="1"/>
  <c r="BO90" i="1" s="1"/>
  <c r="BY69" i="7"/>
  <c r="BV70" i="7" s="1"/>
  <c r="BX189" i="7"/>
  <c r="BW189" i="7"/>
  <c r="BY189" i="7" s="1"/>
  <c r="BV190" i="7" s="1"/>
  <c r="BW190" i="7" s="1"/>
  <c r="BN88" i="6"/>
  <c r="BO88" i="6"/>
  <c r="BP88" i="6" s="1"/>
  <c r="BM89" i="6" s="1"/>
  <c r="AN188" i="7"/>
  <c r="AM188" i="7"/>
  <c r="AV110" i="8"/>
  <c r="AW110" i="8"/>
  <c r="AM149" i="4"/>
  <c r="AN149" i="4"/>
  <c r="BN190" i="1"/>
  <c r="BO190" i="1"/>
  <c r="BN210" i="1"/>
  <c r="BP210" i="1" s="1"/>
  <c r="BM211" i="1" s="1"/>
  <c r="BO211" i="1" s="1"/>
  <c r="AN209" i="4"/>
  <c r="AO209" i="4" s="1"/>
  <c r="AL210" i="4" s="1"/>
  <c r="BY210" i="1"/>
  <c r="BV211" i="1" s="1"/>
  <c r="BW211" i="1" s="1"/>
  <c r="BG148" i="7"/>
  <c r="BD149" i="7" s="1"/>
  <c r="BF149" i="7" s="1"/>
  <c r="BF190" i="6"/>
  <c r="BG190" i="6" s="1"/>
  <c r="BD191" i="6" s="1"/>
  <c r="AN168" i="7"/>
  <c r="AO168" i="7" s="1"/>
  <c r="AL169" i="7" s="1"/>
  <c r="BF170" i="4"/>
  <c r="BG170" i="4" s="1"/>
  <c r="BD171" i="4" s="1"/>
  <c r="BF171" i="4" s="1"/>
  <c r="AN149" i="1"/>
  <c r="AO149" i="1" s="1"/>
  <c r="AL150" i="1" s="1"/>
  <c r="BG169" i="8"/>
  <c r="BD170" i="8" s="1"/>
  <c r="BE170" i="8" s="1"/>
  <c r="AN109" i="7"/>
  <c r="BY109" i="7"/>
  <c r="BV110" i="7" s="1"/>
  <c r="BX110" i="7" s="1"/>
  <c r="AN189" i="4"/>
  <c r="AO189" i="4" s="1"/>
  <c r="AL190" i="4" s="1"/>
  <c r="AM190" i="4" s="1"/>
  <c r="AW109" i="7"/>
  <c r="AX109" i="7" s="1"/>
  <c r="AU110" i="7" s="1"/>
  <c r="BP108" i="4"/>
  <c r="BM109" i="4" s="1"/>
  <c r="BN109" i="4" s="1"/>
  <c r="BO209" i="4"/>
  <c r="BP209" i="4" s="1"/>
  <c r="BM210" i="4" s="1"/>
  <c r="BY90" i="1"/>
  <c r="BV91" i="1" s="1"/>
  <c r="BW91" i="1" s="1"/>
  <c r="AX88" i="4"/>
  <c r="AU89" i="4" s="1"/>
  <c r="BO191" i="8"/>
  <c r="BN191" i="8"/>
  <c r="BP191" i="8" s="1"/>
  <c r="BM192" i="8" s="1"/>
  <c r="BN192" i="8" s="1"/>
  <c r="BO91" i="7"/>
  <c r="BN91" i="7"/>
  <c r="BF110" i="4"/>
  <c r="BE110" i="4"/>
  <c r="BF89" i="8"/>
  <c r="BE89" i="8"/>
  <c r="BY189" i="8"/>
  <c r="BV190" i="8" s="1"/>
  <c r="BX190" i="8" s="1"/>
  <c r="AW208" i="8"/>
  <c r="AV208" i="8"/>
  <c r="BX212" i="4"/>
  <c r="BY212" i="4" s="1"/>
  <c r="BV213" i="4" s="1"/>
  <c r="BX213" i="4" s="1"/>
  <c r="AO69" i="6"/>
  <c r="AL70" i="6" s="1"/>
  <c r="AM70" i="6" s="1"/>
  <c r="BG209" i="4"/>
  <c r="BD210" i="4" s="1"/>
  <c r="BF210" i="4" s="1"/>
  <c r="BE110" i="6"/>
  <c r="BG110" i="6" s="1"/>
  <c r="BD111" i="6" s="1"/>
  <c r="BF111" i="6" s="1"/>
  <c r="BW130" i="7"/>
  <c r="BY130" i="7" s="1"/>
  <c r="BV131" i="7" s="1"/>
  <c r="BX89" i="8"/>
  <c r="BY89" i="8" s="1"/>
  <c r="BV90" i="8" s="1"/>
  <c r="BW90" i="8" s="1"/>
  <c r="AM110" i="4"/>
  <c r="AO110" i="4" s="1"/>
  <c r="AL111" i="4" s="1"/>
  <c r="AN111" i="4" s="1"/>
  <c r="BO109" i="7"/>
  <c r="BP109" i="7" s="1"/>
  <c r="BM110" i="7" s="1"/>
  <c r="BE90" i="1"/>
  <c r="BG90" i="1" s="1"/>
  <c r="BD91" i="1" s="1"/>
  <c r="AN168" i="8"/>
  <c r="AO168" i="8" s="1"/>
  <c r="AL169" i="8" s="1"/>
  <c r="AM149" i="6"/>
  <c r="AO149" i="6" s="1"/>
  <c r="AL150" i="6" s="1"/>
  <c r="BW150" i="4"/>
  <c r="BY150" i="4" s="1"/>
  <c r="BV151" i="4" s="1"/>
  <c r="BN169" i="6"/>
  <c r="BP169" i="6" s="1"/>
  <c r="BM170" i="6" s="1"/>
  <c r="BE129" i="8"/>
  <c r="BF129" i="8"/>
  <c r="AX189" i="4"/>
  <c r="AU190" i="4" s="1"/>
  <c r="AV190" i="4" s="1"/>
  <c r="BE90" i="6"/>
  <c r="BG90" i="6" s="1"/>
  <c r="BD91" i="6" s="1"/>
  <c r="AO89" i="8"/>
  <c r="AL90" i="8" s="1"/>
  <c r="AN90" i="8" s="1"/>
  <c r="BY67" i="8"/>
  <c r="BV68" i="8" s="1"/>
  <c r="BO130" i="6"/>
  <c r="BN130" i="6"/>
  <c r="BN151" i="7"/>
  <c r="BO151" i="7"/>
  <c r="BW108" i="6"/>
  <c r="BX108" i="6"/>
  <c r="BO169" i="4"/>
  <c r="BN169" i="4"/>
  <c r="BW90" i="6"/>
  <c r="BX90" i="6"/>
  <c r="BO208" i="6"/>
  <c r="BN208" i="6"/>
  <c r="BP208" i="6" s="1"/>
  <c r="BM209" i="6" s="1"/>
  <c r="BO209" i="6" s="1"/>
  <c r="BG72" i="1"/>
  <c r="BD73" i="1" s="1"/>
  <c r="BF73" i="1" s="1"/>
  <c r="AW191" i="6"/>
  <c r="AX191" i="6" s="1"/>
  <c r="AU192" i="6" s="1"/>
  <c r="AW192" i="6" s="1"/>
  <c r="BE149" i="6"/>
  <c r="BG149" i="6" s="1"/>
  <c r="BD150" i="6" s="1"/>
  <c r="BE150" i="6" s="1"/>
  <c r="AW149" i="7"/>
  <c r="AX149" i="7" s="1"/>
  <c r="AU150" i="7" s="1"/>
  <c r="AW150" i="7" s="1"/>
  <c r="BW191" i="1"/>
  <c r="BY191" i="1" s="1"/>
  <c r="BV192" i="1" s="1"/>
  <c r="AX188" i="8"/>
  <c r="AU189" i="8" s="1"/>
  <c r="AV189" i="8" s="1"/>
  <c r="BE189" i="7"/>
  <c r="BF189" i="7"/>
  <c r="AO169" i="1"/>
  <c r="AL170" i="1" s="1"/>
  <c r="AM170" i="1" s="1"/>
  <c r="BE109" i="7"/>
  <c r="BG109" i="7" s="1"/>
  <c r="BD110" i="7" s="1"/>
  <c r="BX211" i="1"/>
  <c r="BE130" i="6"/>
  <c r="BG130" i="6" s="1"/>
  <c r="BD131" i="6" s="1"/>
  <c r="BO150" i="4"/>
  <c r="BP150" i="4" s="1"/>
  <c r="BM151" i="4" s="1"/>
  <c r="BN151" i="4" s="1"/>
  <c r="AO129" i="8"/>
  <c r="AL130" i="8" s="1"/>
  <c r="AN130" i="8" s="1"/>
  <c r="AX148" i="6"/>
  <c r="AU149" i="6" s="1"/>
  <c r="AW149" i="6" s="1"/>
  <c r="AV130" i="7"/>
  <c r="AX130" i="7" s="1"/>
  <c r="AU131" i="7" s="1"/>
  <c r="AW131" i="7" s="1"/>
  <c r="BF108" i="8"/>
  <c r="BE108" i="8"/>
  <c r="AO88" i="1"/>
  <c r="AL89" i="1" s="1"/>
  <c r="BF130" i="7"/>
  <c r="BE130" i="7"/>
  <c r="BX212" i="8"/>
  <c r="BW212" i="8"/>
  <c r="AO68" i="1"/>
  <c r="AL69" i="1" s="1"/>
  <c r="AM69" i="1" s="1"/>
  <c r="AX109" i="6"/>
  <c r="AU110" i="6" s="1"/>
  <c r="AV110" i="6" s="1"/>
  <c r="BO91" i="8"/>
  <c r="BP91" i="8" s="1"/>
  <c r="BM92" i="8" s="1"/>
  <c r="AN209" i="8"/>
  <c r="AO209" i="8" s="1"/>
  <c r="AL210" i="8" s="1"/>
  <c r="AV208" i="7"/>
  <c r="AX208" i="7" s="1"/>
  <c r="AU209" i="7" s="1"/>
  <c r="AW209" i="7" s="1"/>
  <c r="BP107" i="8"/>
  <c r="BM108" i="8" s="1"/>
  <c r="BO108" i="8" s="1"/>
  <c r="BP130" i="1"/>
  <c r="BM131" i="1" s="1"/>
  <c r="BO68" i="8"/>
  <c r="BP68" i="8" s="1"/>
  <c r="BM69" i="8" s="1"/>
  <c r="BG108" i="1"/>
  <c r="BD109" i="1" s="1"/>
  <c r="BE109" i="1" s="1"/>
  <c r="BF169" i="6"/>
  <c r="BE169" i="6"/>
  <c r="AV148" i="8"/>
  <c r="AW148" i="8"/>
  <c r="BF70" i="7"/>
  <c r="BE70" i="7"/>
  <c r="BG70" i="7" s="1"/>
  <c r="BD71" i="7" s="1"/>
  <c r="BN147" i="6"/>
  <c r="BO147" i="6"/>
  <c r="BO151" i="1"/>
  <c r="BP151" i="1" s="1"/>
  <c r="BM152" i="1" s="1"/>
  <c r="BY89" i="7"/>
  <c r="BV90" i="7" s="1"/>
  <c r="AW91" i="8"/>
  <c r="AX91" i="8" s="1"/>
  <c r="AU92" i="8" s="1"/>
  <c r="AV92" i="8" s="1"/>
  <c r="AM209" i="6"/>
  <c r="AO209" i="6" s="1"/>
  <c r="AL210" i="6" s="1"/>
  <c r="AM168" i="4"/>
  <c r="AO168" i="4" s="1"/>
  <c r="AL169" i="4" s="1"/>
  <c r="AN169" i="4" s="1"/>
  <c r="BW189" i="4"/>
  <c r="BX189" i="4"/>
  <c r="BN129" i="8"/>
  <c r="BO129" i="8"/>
  <c r="AO127" i="6"/>
  <c r="AL128" i="6" s="1"/>
  <c r="AM128" i="6" s="1"/>
  <c r="BP70" i="6"/>
  <c r="BM71" i="6" s="1"/>
  <c r="BN71" i="6" s="1"/>
  <c r="BX69" i="6"/>
  <c r="BW69" i="6"/>
  <c r="BX111" i="1"/>
  <c r="BW111" i="1"/>
  <c r="BN70" i="4"/>
  <c r="BO70" i="4"/>
  <c r="BW172" i="7"/>
  <c r="BX172" i="7"/>
  <c r="BX171" i="8"/>
  <c r="BY171" i="8" s="1"/>
  <c r="BV172" i="8" s="1"/>
  <c r="BX172" i="8" s="1"/>
  <c r="BP168" i="7"/>
  <c r="BM169" i="7" s="1"/>
  <c r="BF89" i="7"/>
  <c r="BE89" i="7"/>
  <c r="AV211" i="6"/>
  <c r="AX211" i="6" s="1"/>
  <c r="AU212" i="6" s="1"/>
  <c r="BE212" i="7"/>
  <c r="BG212" i="7" s="1"/>
  <c r="BD213" i="7" s="1"/>
  <c r="BE213" i="7" s="1"/>
  <c r="BE71" i="8"/>
  <c r="BG71" i="8" s="1"/>
  <c r="BD72" i="8" s="1"/>
  <c r="BW131" i="8"/>
  <c r="BY131" i="8" s="1"/>
  <c r="BV132" i="8" s="1"/>
  <c r="BW132" i="8" s="1"/>
  <c r="AO168" i="6"/>
  <c r="AL169" i="6" s="1"/>
  <c r="AM169" i="6" s="1"/>
  <c r="AM189" i="8"/>
  <c r="AO189" i="8" s="1"/>
  <c r="AL190" i="8" s="1"/>
  <c r="AN108" i="8"/>
  <c r="AO108" i="8" s="1"/>
  <c r="AL109" i="8" s="1"/>
  <c r="BY129" i="6"/>
  <c r="BV130" i="6" s="1"/>
  <c r="BW130" i="6" s="1"/>
  <c r="AV210" i="4"/>
  <c r="AW210" i="4"/>
  <c r="AM89" i="7"/>
  <c r="AO89" i="7" s="1"/>
  <c r="AL90" i="7" s="1"/>
  <c r="AN90" i="7" s="1"/>
  <c r="AM108" i="6"/>
  <c r="AO108" i="6" s="1"/>
  <c r="AL109" i="6" s="1"/>
  <c r="BF69" i="4"/>
  <c r="BE69" i="4"/>
  <c r="BG212" i="6"/>
  <c r="BD213" i="6" s="1"/>
  <c r="BN70" i="1"/>
  <c r="BO70" i="1"/>
  <c r="BX131" i="1"/>
  <c r="BW131" i="1"/>
  <c r="AO207" i="1"/>
  <c r="AL208" i="1" s="1"/>
  <c r="AN208" i="1" s="1"/>
  <c r="AO188" i="6"/>
  <c r="AL189" i="6" s="1"/>
  <c r="AN189" i="6" s="1"/>
  <c r="AX170" i="6"/>
  <c r="AU171" i="6" s="1"/>
  <c r="BY149" i="1"/>
  <c r="BV150" i="1" s="1"/>
  <c r="BP151" i="8"/>
  <c r="BM152" i="8" s="1"/>
  <c r="BO112" i="1"/>
  <c r="BN112" i="1"/>
  <c r="AN70" i="4"/>
  <c r="AM70" i="4"/>
  <c r="AX69" i="7"/>
  <c r="AU70" i="7" s="1"/>
  <c r="AW129" i="1"/>
  <c r="AV129" i="1"/>
  <c r="BG71" i="6"/>
  <c r="BD72" i="6" s="1"/>
  <c r="BP129" i="7"/>
  <c r="BM130" i="7" s="1"/>
  <c r="AM68" i="7"/>
  <c r="AN68" i="7"/>
  <c r="AO209" i="7"/>
  <c r="AL210" i="7" s="1"/>
  <c r="BO210" i="7"/>
  <c r="BP210" i="7" s="1"/>
  <c r="BM211" i="7" s="1"/>
  <c r="AV130" i="4"/>
  <c r="AW130" i="4"/>
  <c r="AN128" i="7"/>
  <c r="AM128" i="7"/>
  <c r="AX128" i="6"/>
  <c r="AU129" i="6" s="1"/>
  <c r="AN148" i="7"/>
  <c r="AO68" i="8"/>
  <c r="AL69" i="8" s="1"/>
  <c r="AO89" i="6"/>
  <c r="AL90" i="6" s="1"/>
  <c r="AX68" i="8"/>
  <c r="AU69" i="8" s="1"/>
  <c r="AV190" i="1" l="1"/>
  <c r="AX190" i="1" s="1"/>
  <c r="AU191" i="1" s="1"/>
  <c r="AV191" i="1" s="1"/>
  <c r="BX89" i="4"/>
  <c r="BW89" i="4"/>
  <c r="BG149" i="4"/>
  <c r="BD150" i="4" s="1"/>
  <c r="BF189" i="4"/>
  <c r="BG189" i="4" s="1"/>
  <c r="BD190" i="4" s="1"/>
  <c r="BE190" i="4" s="1"/>
  <c r="BX111" i="4"/>
  <c r="BY111" i="4" s="1"/>
  <c r="BV112" i="4" s="1"/>
  <c r="BX112" i="4" s="1"/>
  <c r="AW171" i="4"/>
  <c r="AX171" i="4" s="1"/>
  <c r="AU172" i="4" s="1"/>
  <c r="BW170" i="1"/>
  <c r="BY170" i="1" s="1"/>
  <c r="BV171" i="1" s="1"/>
  <c r="BX171" i="1" s="1"/>
  <c r="AX110" i="1"/>
  <c r="AU111" i="1" s="1"/>
  <c r="AW111" i="1" s="1"/>
  <c r="AV90" i="1"/>
  <c r="AW90" i="1"/>
  <c r="BE209" i="1"/>
  <c r="AV149" i="1"/>
  <c r="AX149" i="1" s="1"/>
  <c r="AU150" i="1" s="1"/>
  <c r="AW150" i="1" s="1"/>
  <c r="AN191" i="1"/>
  <c r="AO191" i="1" s="1"/>
  <c r="AL192" i="1" s="1"/>
  <c r="AN192" i="1" s="1"/>
  <c r="AM110" i="1"/>
  <c r="AO110" i="1" s="1"/>
  <c r="AL111" i="1" s="1"/>
  <c r="AN111" i="1" s="1"/>
  <c r="AX69" i="1"/>
  <c r="AU70" i="1" s="1"/>
  <c r="AW170" i="1"/>
  <c r="AV170" i="1"/>
  <c r="BF150" i="1"/>
  <c r="BE150" i="1"/>
  <c r="BP190" i="1"/>
  <c r="BM191" i="1" s="1"/>
  <c r="BN191" i="1" s="1"/>
  <c r="BO130" i="4"/>
  <c r="BP130" i="4" s="1"/>
  <c r="BM131" i="4" s="1"/>
  <c r="BO131" i="4" s="1"/>
  <c r="BE151" i="8"/>
  <c r="BG151" i="8" s="1"/>
  <c r="BD152" i="8" s="1"/>
  <c r="BE152" i="8" s="1"/>
  <c r="BP109" i="6"/>
  <c r="BM110" i="6" s="1"/>
  <c r="BN110" i="6" s="1"/>
  <c r="BP91" i="7"/>
  <c r="BM92" i="7" s="1"/>
  <c r="AV72" i="4"/>
  <c r="AX72" i="4" s="1"/>
  <c r="AU73" i="4" s="1"/>
  <c r="AW73" i="4" s="1"/>
  <c r="BF170" i="8"/>
  <c r="AV109" i="4"/>
  <c r="AX109" i="4" s="1"/>
  <c r="AU110" i="4" s="1"/>
  <c r="BP69" i="7"/>
  <c r="BM70" i="7" s="1"/>
  <c r="BN70" i="7" s="1"/>
  <c r="AN170" i="1"/>
  <c r="AO170" i="1" s="1"/>
  <c r="AL171" i="1" s="1"/>
  <c r="AM171" i="1" s="1"/>
  <c r="BG210" i="8"/>
  <c r="BD211" i="8" s="1"/>
  <c r="BE211" i="8" s="1"/>
  <c r="BX151" i="6"/>
  <c r="BW151" i="6"/>
  <c r="BN90" i="1"/>
  <c r="BP90" i="1" s="1"/>
  <c r="BM91" i="1" s="1"/>
  <c r="AV151" i="4"/>
  <c r="AX151" i="4" s="1"/>
  <c r="AU152" i="4" s="1"/>
  <c r="AV152" i="4" s="1"/>
  <c r="AW169" i="7"/>
  <c r="AX169" i="7" s="1"/>
  <c r="AU170" i="7" s="1"/>
  <c r="BY209" i="7"/>
  <c r="BV210" i="7" s="1"/>
  <c r="BW210" i="6"/>
  <c r="BY210" i="6" s="1"/>
  <c r="BV211" i="6" s="1"/>
  <c r="BX211" i="6" s="1"/>
  <c r="BO190" i="6"/>
  <c r="BN190" i="6"/>
  <c r="BF91" i="4"/>
  <c r="BG91" i="4" s="1"/>
  <c r="BD92" i="4" s="1"/>
  <c r="BE92" i="4" s="1"/>
  <c r="AV150" i="7"/>
  <c r="AX150" i="7" s="1"/>
  <c r="AU151" i="7" s="1"/>
  <c r="AV151" i="7" s="1"/>
  <c r="BN190" i="4"/>
  <c r="BP190" i="4" s="1"/>
  <c r="BM191" i="4" s="1"/>
  <c r="BN191" i="4" s="1"/>
  <c r="BX110" i="8"/>
  <c r="BY110" i="8" s="1"/>
  <c r="BV111" i="8" s="1"/>
  <c r="BW111" i="8" s="1"/>
  <c r="BF170" i="7"/>
  <c r="BE170" i="7"/>
  <c r="BW173" i="6"/>
  <c r="BX173" i="6"/>
  <c r="BF150" i="4"/>
  <c r="BE150" i="4"/>
  <c r="BG150" i="4" s="1"/>
  <c r="BD151" i="4" s="1"/>
  <c r="BW190" i="8"/>
  <c r="BY190" i="8" s="1"/>
  <c r="BV191" i="8" s="1"/>
  <c r="BF213" i="7"/>
  <c r="BG213" i="7" s="1"/>
  <c r="BD214" i="7" s="1"/>
  <c r="BF214" i="7" s="1"/>
  <c r="BO169" i="8"/>
  <c r="BP169" i="8" s="1"/>
  <c r="BM170" i="8" s="1"/>
  <c r="BE210" i="4"/>
  <c r="AW90" i="6"/>
  <c r="AV90" i="6"/>
  <c r="AX110" i="8"/>
  <c r="AU111" i="8" s="1"/>
  <c r="AW111" i="8" s="1"/>
  <c r="AM148" i="8"/>
  <c r="AN148" i="8"/>
  <c r="AO148" i="8" s="1"/>
  <c r="AL149" i="8" s="1"/>
  <c r="BF191" i="8"/>
  <c r="BG191" i="8" s="1"/>
  <c r="BD192" i="8" s="1"/>
  <c r="BE192" i="8" s="1"/>
  <c r="AV130" i="8"/>
  <c r="AX130" i="8" s="1"/>
  <c r="AU131" i="8" s="1"/>
  <c r="BG89" i="8"/>
  <c r="BD90" i="8" s="1"/>
  <c r="BE90" i="8" s="1"/>
  <c r="AN70" i="6"/>
  <c r="AO70" i="6" s="1"/>
  <c r="AL71" i="6" s="1"/>
  <c r="AN71" i="6" s="1"/>
  <c r="AW191" i="7"/>
  <c r="AX191" i="7" s="1"/>
  <c r="AU192" i="7" s="1"/>
  <c r="AV192" i="7" s="1"/>
  <c r="BY111" i="1"/>
  <c r="BV112" i="1" s="1"/>
  <c r="BX112" i="1" s="1"/>
  <c r="BG110" i="4"/>
  <c r="BD111" i="4" s="1"/>
  <c r="BF111" i="4" s="1"/>
  <c r="AO149" i="4"/>
  <c r="AL150" i="4" s="1"/>
  <c r="BG129" i="1"/>
  <c r="BD130" i="1" s="1"/>
  <c r="BE130" i="1" s="1"/>
  <c r="BY151" i="8"/>
  <c r="BV152" i="8" s="1"/>
  <c r="BX152" i="8" s="1"/>
  <c r="BN210" i="8"/>
  <c r="BP210" i="8" s="1"/>
  <c r="BM211" i="8" s="1"/>
  <c r="BO210" i="8"/>
  <c r="AV110" i="7"/>
  <c r="AW110" i="7"/>
  <c r="AM131" i="4"/>
  <c r="AN131" i="4"/>
  <c r="BF130" i="1"/>
  <c r="AN88" i="4"/>
  <c r="AO88" i="4" s="1"/>
  <c r="AL89" i="4" s="1"/>
  <c r="AW191" i="1"/>
  <c r="AX191" i="1" s="1"/>
  <c r="AU192" i="1" s="1"/>
  <c r="BX70" i="7"/>
  <c r="BW70" i="7"/>
  <c r="BY70" i="7" s="1"/>
  <c r="BV71" i="7" s="1"/>
  <c r="AO148" i="7"/>
  <c r="AL149" i="7" s="1"/>
  <c r="AM149" i="7" s="1"/>
  <c r="BX91" i="1"/>
  <c r="BY91" i="1" s="1"/>
  <c r="BV92" i="1" s="1"/>
  <c r="BX92" i="1" s="1"/>
  <c r="BY212" i="8"/>
  <c r="BV213" i="8" s="1"/>
  <c r="BW213" i="8" s="1"/>
  <c r="AO188" i="7"/>
  <c r="AL189" i="7" s="1"/>
  <c r="AN189" i="7" s="1"/>
  <c r="BE131" i="4"/>
  <c r="BG131" i="4" s="1"/>
  <c r="BD132" i="4" s="1"/>
  <c r="BF132" i="4" s="1"/>
  <c r="AV149" i="6"/>
  <c r="AX149" i="6" s="1"/>
  <c r="AU150" i="6" s="1"/>
  <c r="AN130" i="1"/>
  <c r="AO130" i="1" s="1"/>
  <c r="AL131" i="1" s="1"/>
  <c r="AM131" i="1" s="1"/>
  <c r="BX190" i="7"/>
  <c r="BY190" i="7" s="1"/>
  <c r="BV191" i="7" s="1"/>
  <c r="BN173" i="1"/>
  <c r="BP173" i="1" s="1"/>
  <c r="BM174" i="1" s="1"/>
  <c r="AV209" i="1"/>
  <c r="AX209" i="1" s="1"/>
  <c r="AU210" i="1" s="1"/>
  <c r="AV210" i="1" s="1"/>
  <c r="BW149" i="7"/>
  <c r="BY149" i="7" s="1"/>
  <c r="BV150" i="7" s="1"/>
  <c r="BW150" i="7" s="1"/>
  <c r="BX189" i="6"/>
  <c r="BW189" i="6"/>
  <c r="AW190" i="4"/>
  <c r="AX190" i="4" s="1"/>
  <c r="AU191" i="4" s="1"/>
  <c r="BP130" i="6"/>
  <c r="BM131" i="6" s="1"/>
  <c r="BE149" i="7"/>
  <c r="BG149" i="7" s="1"/>
  <c r="BD150" i="7" s="1"/>
  <c r="BF150" i="7" s="1"/>
  <c r="AO109" i="7"/>
  <c r="AL110" i="7" s="1"/>
  <c r="AM110" i="7" s="1"/>
  <c r="AV73" i="4"/>
  <c r="BX131" i="7"/>
  <c r="BW131" i="7"/>
  <c r="AM210" i="4"/>
  <c r="AN210" i="4"/>
  <c r="BW110" i="7"/>
  <c r="BY110" i="7" s="1"/>
  <c r="BV111" i="7" s="1"/>
  <c r="BW111" i="7" s="1"/>
  <c r="AM208" i="1"/>
  <c r="AO208" i="1" s="1"/>
  <c r="AL209" i="1" s="1"/>
  <c r="AW89" i="4"/>
  <c r="AV89" i="4"/>
  <c r="BE171" i="4"/>
  <c r="BG171" i="4" s="1"/>
  <c r="BD172" i="4" s="1"/>
  <c r="BE172" i="4" s="1"/>
  <c r="AX148" i="8"/>
  <c r="AU149" i="8" s="1"/>
  <c r="AV149" i="8" s="1"/>
  <c r="BY89" i="4"/>
  <c r="BV90" i="4" s="1"/>
  <c r="BX90" i="4" s="1"/>
  <c r="BG129" i="8"/>
  <c r="BD130" i="8" s="1"/>
  <c r="BF171" i="1"/>
  <c r="BG171" i="1" s="1"/>
  <c r="BD172" i="1" s="1"/>
  <c r="BF172" i="1" s="1"/>
  <c r="BY131" i="1"/>
  <c r="BV132" i="1" s="1"/>
  <c r="BW132" i="1" s="1"/>
  <c r="BN91" i="4"/>
  <c r="BP91" i="4" s="1"/>
  <c r="BM92" i="4" s="1"/>
  <c r="BO92" i="4" s="1"/>
  <c r="BY211" i="1"/>
  <c r="BV212" i="1" s="1"/>
  <c r="BX212" i="1" s="1"/>
  <c r="BY90" i="6"/>
  <c r="BV91" i="6" s="1"/>
  <c r="BX91" i="6" s="1"/>
  <c r="AV91" i="7"/>
  <c r="AW91" i="7"/>
  <c r="BF109" i="1"/>
  <c r="BG109" i="1" s="1"/>
  <c r="BD110" i="1" s="1"/>
  <c r="BX130" i="6"/>
  <c r="BY130" i="6" s="1"/>
  <c r="BV131" i="6" s="1"/>
  <c r="BW131" i="6" s="1"/>
  <c r="BO109" i="4"/>
  <c r="BP109" i="4" s="1"/>
  <c r="BM110" i="4" s="1"/>
  <c r="BO110" i="4" s="1"/>
  <c r="AV131" i="7"/>
  <c r="AX131" i="7" s="1"/>
  <c r="AU132" i="7" s="1"/>
  <c r="BO170" i="6"/>
  <c r="BN170" i="6"/>
  <c r="BF90" i="8"/>
  <c r="BN131" i="6"/>
  <c r="BO131" i="6"/>
  <c r="BE73" i="1"/>
  <c r="BG73" i="1" s="1"/>
  <c r="BD74" i="1" s="1"/>
  <c r="BF74" i="1" s="1"/>
  <c r="BG108" i="8"/>
  <c r="BD109" i="8" s="1"/>
  <c r="BE109" i="8" s="1"/>
  <c r="BP169" i="4"/>
  <c r="BM170" i="4" s="1"/>
  <c r="BO170" i="4" s="1"/>
  <c r="AM169" i="4"/>
  <c r="AO169" i="4" s="1"/>
  <c r="AL170" i="4" s="1"/>
  <c r="BE192" i="1"/>
  <c r="BG192" i="1" s="1"/>
  <c r="BD193" i="1" s="1"/>
  <c r="BE193" i="1" s="1"/>
  <c r="BG169" i="6"/>
  <c r="BD170" i="6" s="1"/>
  <c r="BF170" i="6" s="1"/>
  <c r="BG130" i="7"/>
  <c r="BD131" i="7" s="1"/>
  <c r="BE131" i="7" s="1"/>
  <c r="BE111" i="6"/>
  <c r="BG111" i="6" s="1"/>
  <c r="BD112" i="6" s="1"/>
  <c r="BW151" i="4"/>
  <c r="BX151" i="4"/>
  <c r="BN131" i="4"/>
  <c r="BP131" i="4" s="1"/>
  <c r="BM132" i="4" s="1"/>
  <c r="BN132" i="4" s="1"/>
  <c r="BO92" i="7"/>
  <c r="BN92" i="7"/>
  <c r="BF152" i="8"/>
  <c r="BG152" i="8" s="1"/>
  <c r="BD153" i="8" s="1"/>
  <c r="BE153" i="8" s="1"/>
  <c r="BW213" i="4"/>
  <c r="BY213" i="4" s="1"/>
  <c r="BV214" i="4" s="1"/>
  <c r="BW214" i="4" s="1"/>
  <c r="AM130" i="8"/>
  <c r="AO130" i="8" s="1"/>
  <c r="AL131" i="8" s="1"/>
  <c r="AM131" i="8" s="1"/>
  <c r="AM90" i="8"/>
  <c r="AO90" i="8" s="1"/>
  <c r="AL91" i="8" s="1"/>
  <c r="AN91" i="8" s="1"/>
  <c r="AN128" i="6"/>
  <c r="AO128" i="6" s="1"/>
  <c r="AL129" i="6" s="1"/>
  <c r="AV171" i="8"/>
  <c r="AX171" i="8" s="1"/>
  <c r="AU172" i="8" s="1"/>
  <c r="AX208" i="8"/>
  <c r="AU209" i="8" s="1"/>
  <c r="AM111" i="4"/>
  <c r="AO111" i="4" s="1"/>
  <c r="AL112" i="4" s="1"/>
  <c r="BX71" i="4"/>
  <c r="BY71" i="4" s="1"/>
  <c r="BV72" i="4" s="1"/>
  <c r="BW72" i="4" s="1"/>
  <c r="BY108" i="6"/>
  <c r="BV109" i="6" s="1"/>
  <c r="BX109" i="6" s="1"/>
  <c r="BP70" i="4"/>
  <c r="BM71" i="4" s="1"/>
  <c r="BN71" i="4" s="1"/>
  <c r="BG189" i="7"/>
  <c r="BD190" i="7" s="1"/>
  <c r="BE190" i="7" s="1"/>
  <c r="BW68" i="8"/>
  <c r="BX68" i="8"/>
  <c r="BX90" i="8"/>
  <c r="BY90" i="8" s="1"/>
  <c r="BV91" i="8" s="1"/>
  <c r="BW91" i="8" s="1"/>
  <c r="BF110" i="7"/>
  <c r="BE110" i="7"/>
  <c r="BG110" i="7" s="1"/>
  <c r="BD111" i="7" s="1"/>
  <c r="BF111" i="7" s="1"/>
  <c r="BO92" i="8"/>
  <c r="BN92" i="8"/>
  <c r="AV172" i="4"/>
  <c r="AW172" i="4"/>
  <c r="AX172" i="4" s="1"/>
  <c r="AU173" i="4" s="1"/>
  <c r="AN210" i="6"/>
  <c r="AM210" i="6"/>
  <c r="AO210" i="6" s="1"/>
  <c r="AL211" i="6" s="1"/>
  <c r="AN211" i="6" s="1"/>
  <c r="BN108" i="8"/>
  <c r="BP108" i="8" s="1"/>
  <c r="BM109" i="8" s="1"/>
  <c r="AV192" i="6"/>
  <c r="AX192" i="6" s="1"/>
  <c r="AU193" i="6" s="1"/>
  <c r="AO128" i="7"/>
  <c r="AL129" i="7" s="1"/>
  <c r="AN129" i="7" s="1"/>
  <c r="BF150" i="6"/>
  <c r="BG150" i="6" s="1"/>
  <c r="BD151" i="6" s="1"/>
  <c r="BE151" i="6" s="1"/>
  <c r="BP129" i="8"/>
  <c r="BM130" i="8" s="1"/>
  <c r="BN130" i="8" s="1"/>
  <c r="AM90" i="7"/>
  <c r="AO90" i="7" s="1"/>
  <c r="AL91" i="7" s="1"/>
  <c r="AM91" i="7" s="1"/>
  <c r="AM89" i="1"/>
  <c r="AN89" i="1"/>
  <c r="BE131" i="6"/>
  <c r="BF131" i="6"/>
  <c r="AX129" i="1"/>
  <c r="AU130" i="1" s="1"/>
  <c r="AW130" i="1" s="1"/>
  <c r="BN209" i="6"/>
  <c r="BP209" i="6" s="1"/>
  <c r="BM210" i="6" s="1"/>
  <c r="BO210" i="6" s="1"/>
  <c r="AN190" i="4"/>
  <c r="AO190" i="4" s="1"/>
  <c r="AL191" i="4" s="1"/>
  <c r="AN191" i="4" s="1"/>
  <c r="BG210" i="4"/>
  <c r="BD211" i="4" s="1"/>
  <c r="BF211" i="4" s="1"/>
  <c r="BO110" i="6"/>
  <c r="BP110" i="6" s="1"/>
  <c r="BM111" i="6" s="1"/>
  <c r="BY69" i="6"/>
  <c r="BV70" i="6" s="1"/>
  <c r="BW70" i="6" s="1"/>
  <c r="BY189" i="4"/>
  <c r="BV190" i="4" s="1"/>
  <c r="BX190" i="4" s="1"/>
  <c r="AW189" i="8"/>
  <c r="AX189" i="8" s="1"/>
  <c r="AU190" i="8" s="1"/>
  <c r="BP151" i="7"/>
  <c r="BM152" i="7" s="1"/>
  <c r="BP147" i="6"/>
  <c r="BM148" i="6" s="1"/>
  <c r="BO148" i="6" s="1"/>
  <c r="BO210" i="4"/>
  <c r="BN210" i="4"/>
  <c r="BW171" i="1"/>
  <c r="BW172" i="8"/>
  <c r="BY172" i="8" s="1"/>
  <c r="BV173" i="8" s="1"/>
  <c r="BX173" i="8" s="1"/>
  <c r="BG69" i="4"/>
  <c r="BD70" i="4" s="1"/>
  <c r="BF70" i="4" s="1"/>
  <c r="BG89" i="7"/>
  <c r="BD90" i="7" s="1"/>
  <c r="BF90" i="7" s="1"/>
  <c r="AM109" i="8"/>
  <c r="AN109" i="8"/>
  <c r="AM210" i="8"/>
  <c r="AN210" i="8"/>
  <c r="BO152" i="1"/>
  <c r="BN152" i="1"/>
  <c r="BN69" i="8"/>
  <c r="BO69" i="8"/>
  <c r="AN69" i="1"/>
  <c r="AO69" i="1" s="1"/>
  <c r="AL70" i="1" s="1"/>
  <c r="AM70" i="1" s="1"/>
  <c r="AM169" i="8"/>
  <c r="AN169" i="8"/>
  <c r="AW92" i="8"/>
  <c r="AX92" i="8" s="1"/>
  <c r="AU93" i="8" s="1"/>
  <c r="AW93" i="8" s="1"/>
  <c r="BO71" i="6"/>
  <c r="BP71" i="6" s="1"/>
  <c r="BM72" i="6" s="1"/>
  <c r="BO72" i="6" s="1"/>
  <c r="AW110" i="6"/>
  <c r="AX110" i="6" s="1"/>
  <c r="AU111" i="6" s="1"/>
  <c r="BO89" i="6"/>
  <c r="BN89" i="6"/>
  <c r="BG170" i="8"/>
  <c r="BD171" i="8" s="1"/>
  <c r="BX70" i="6"/>
  <c r="BF71" i="7"/>
  <c r="BE71" i="7"/>
  <c r="AV209" i="7"/>
  <c r="AX209" i="7" s="1"/>
  <c r="AU210" i="7" s="1"/>
  <c r="BO191" i="7"/>
  <c r="BP191" i="7" s="1"/>
  <c r="BM192" i="7" s="1"/>
  <c r="BN110" i="7"/>
  <c r="BO110" i="7"/>
  <c r="BF211" i="8"/>
  <c r="AW71" i="6"/>
  <c r="AV71" i="6"/>
  <c r="BO151" i="4"/>
  <c r="BP151" i="4" s="1"/>
  <c r="BM152" i="4" s="1"/>
  <c r="BW171" i="4"/>
  <c r="BY171" i="4" s="1"/>
  <c r="BV172" i="4" s="1"/>
  <c r="BE91" i="1"/>
  <c r="BF91" i="1"/>
  <c r="BX90" i="7"/>
  <c r="BW90" i="7"/>
  <c r="AX130" i="4"/>
  <c r="AU131" i="4" s="1"/>
  <c r="AV131" i="4" s="1"/>
  <c r="BN131" i="1"/>
  <c r="BO131" i="1"/>
  <c r="BE72" i="8"/>
  <c r="BF72" i="8"/>
  <c r="AV212" i="6"/>
  <c r="AW212" i="6"/>
  <c r="BF92" i="4"/>
  <c r="BF151" i="6"/>
  <c r="AM190" i="8"/>
  <c r="AN190" i="8"/>
  <c r="AM109" i="6"/>
  <c r="AN109" i="6"/>
  <c r="BW192" i="1"/>
  <c r="BX192" i="1"/>
  <c r="AO70" i="4"/>
  <c r="AL71" i="4" s="1"/>
  <c r="AM71" i="4" s="1"/>
  <c r="AV171" i="6"/>
  <c r="AW171" i="6"/>
  <c r="AM189" i="6"/>
  <c r="AO189" i="6" s="1"/>
  <c r="AL190" i="6" s="1"/>
  <c r="AM190" i="6" s="1"/>
  <c r="AN150" i="1"/>
  <c r="AM150" i="1"/>
  <c r="BY172" i="7"/>
  <c r="BV173" i="7" s="1"/>
  <c r="BG209" i="1"/>
  <c r="BD210" i="1" s="1"/>
  <c r="BE210" i="1" s="1"/>
  <c r="AW192" i="7"/>
  <c r="AX192" i="7" s="1"/>
  <c r="AU193" i="7" s="1"/>
  <c r="BN211" i="1"/>
  <c r="BP211" i="1" s="1"/>
  <c r="BM212" i="1" s="1"/>
  <c r="BO212" i="1" s="1"/>
  <c r="BO152" i="8"/>
  <c r="BN152" i="8"/>
  <c r="BF91" i="6"/>
  <c r="BE91" i="6"/>
  <c r="BO192" i="8"/>
  <c r="BP192" i="8" s="1"/>
  <c r="BM193" i="8" s="1"/>
  <c r="BO193" i="8" s="1"/>
  <c r="AX210" i="4"/>
  <c r="AU211" i="4" s="1"/>
  <c r="BN169" i="7"/>
  <c r="BO169" i="7"/>
  <c r="BF131" i="7"/>
  <c r="BG131" i="7" s="1"/>
  <c r="BD132" i="7" s="1"/>
  <c r="AN169" i="6"/>
  <c r="AO169" i="6" s="1"/>
  <c r="AL170" i="6" s="1"/>
  <c r="BP70" i="1"/>
  <c r="BM71" i="1" s="1"/>
  <c r="BE213" i="6"/>
  <c r="BF213" i="6"/>
  <c r="AO68" i="7"/>
  <c r="AL69" i="7" s="1"/>
  <c r="AM69" i="7" s="1"/>
  <c r="BW150" i="1"/>
  <c r="BX150" i="1"/>
  <c r="AM90" i="6"/>
  <c r="AN90" i="6"/>
  <c r="BN211" i="7"/>
  <c r="BO211" i="7"/>
  <c r="BX132" i="8"/>
  <c r="BY132" i="8" s="1"/>
  <c r="BV133" i="8" s="1"/>
  <c r="AW69" i="8"/>
  <c r="AV69" i="8"/>
  <c r="AW129" i="6"/>
  <c r="AV129" i="6"/>
  <c r="AN210" i="7"/>
  <c r="AM210" i="7"/>
  <c r="AN169" i="7"/>
  <c r="AM169" i="7"/>
  <c r="AM69" i="8"/>
  <c r="AN69" i="8"/>
  <c r="BN130" i="7"/>
  <c r="BO130" i="7"/>
  <c r="BF191" i="6"/>
  <c r="BE191" i="6"/>
  <c r="BF72" i="6"/>
  <c r="BE72" i="6"/>
  <c r="BW69" i="1"/>
  <c r="BX69" i="1"/>
  <c r="BX131" i="4"/>
  <c r="BW131" i="4"/>
  <c r="AM150" i="6"/>
  <c r="AN150" i="6"/>
  <c r="BY171" i="1"/>
  <c r="BV172" i="1" s="1"/>
  <c r="AW70" i="7"/>
  <c r="AV70" i="7"/>
  <c r="BP112" i="1"/>
  <c r="BM113" i="1" s="1"/>
  <c r="AV150" i="1" l="1"/>
  <c r="AN131" i="1"/>
  <c r="AV111" i="1"/>
  <c r="AX111" i="1" s="1"/>
  <c r="AU112" i="1" s="1"/>
  <c r="AW112" i="1" s="1"/>
  <c r="AX150" i="1"/>
  <c r="AU151" i="1" s="1"/>
  <c r="AV151" i="1" s="1"/>
  <c r="AX90" i="1"/>
  <c r="AU91" i="1" s="1"/>
  <c r="AV91" i="1" s="1"/>
  <c r="AM192" i="1"/>
  <c r="AO192" i="1" s="1"/>
  <c r="AL193" i="1" s="1"/>
  <c r="AN193" i="1" s="1"/>
  <c r="BF190" i="4"/>
  <c r="BG190" i="4" s="1"/>
  <c r="BD191" i="4" s="1"/>
  <c r="BE191" i="4" s="1"/>
  <c r="BG191" i="4" s="1"/>
  <c r="BD192" i="4" s="1"/>
  <c r="AM191" i="4"/>
  <c r="AN171" i="1"/>
  <c r="AO171" i="1" s="1"/>
  <c r="AL172" i="1" s="1"/>
  <c r="AN172" i="1" s="1"/>
  <c r="AM111" i="1"/>
  <c r="AO111" i="1" s="1"/>
  <c r="AL112" i="1" s="1"/>
  <c r="AW151" i="1"/>
  <c r="BW112" i="1"/>
  <c r="BY112" i="1" s="1"/>
  <c r="BV113" i="1" s="1"/>
  <c r="BG150" i="1"/>
  <c r="BD151" i="1" s="1"/>
  <c r="BE151" i="1" s="1"/>
  <c r="AW70" i="1"/>
  <c r="AV70" i="1"/>
  <c r="AX170" i="1"/>
  <c r="AU171" i="1" s="1"/>
  <c r="AV171" i="1" s="1"/>
  <c r="BW212" i="1"/>
  <c r="BY212" i="1" s="1"/>
  <c r="BV213" i="1" s="1"/>
  <c r="BO191" i="1"/>
  <c r="BP191" i="1" s="1"/>
  <c r="BM192" i="1" s="1"/>
  <c r="BN192" i="1" s="1"/>
  <c r="AW152" i="4"/>
  <c r="AX90" i="6"/>
  <c r="AU91" i="6" s="1"/>
  <c r="AV91" i="6" s="1"/>
  <c r="AX91" i="6" s="1"/>
  <c r="AU92" i="6" s="1"/>
  <c r="BY151" i="6"/>
  <c r="BV152" i="6" s="1"/>
  <c r="AM129" i="7"/>
  <c r="BO70" i="7"/>
  <c r="BP70" i="7" s="1"/>
  <c r="BM71" i="7" s="1"/>
  <c r="BP190" i="6"/>
  <c r="BM191" i="6" s="1"/>
  <c r="BE150" i="7"/>
  <c r="BG150" i="7" s="1"/>
  <c r="BD151" i="7" s="1"/>
  <c r="BE151" i="7" s="1"/>
  <c r="BG90" i="8"/>
  <c r="BD91" i="8" s="1"/>
  <c r="BE91" i="8" s="1"/>
  <c r="BF192" i="8"/>
  <c r="BG192" i="8" s="1"/>
  <c r="BD193" i="8" s="1"/>
  <c r="BO191" i="4"/>
  <c r="BP191" i="4" s="1"/>
  <c r="BM192" i="4" s="1"/>
  <c r="BN192" i="4" s="1"/>
  <c r="AW210" i="1"/>
  <c r="AX210" i="1" s="1"/>
  <c r="AU211" i="1" s="1"/>
  <c r="BW91" i="6"/>
  <c r="BY91" i="6" s="1"/>
  <c r="BV92" i="6" s="1"/>
  <c r="BX92" i="6" s="1"/>
  <c r="BY131" i="7"/>
  <c r="BV132" i="7" s="1"/>
  <c r="BW132" i="7" s="1"/>
  <c r="AW170" i="7"/>
  <c r="AV170" i="7"/>
  <c r="AX170" i="7" s="1"/>
  <c r="AU171" i="7" s="1"/>
  <c r="AN149" i="7"/>
  <c r="AO149" i="7" s="1"/>
  <c r="AL150" i="7" s="1"/>
  <c r="AV111" i="8"/>
  <c r="AX111" i="8" s="1"/>
  <c r="AU112" i="8" s="1"/>
  <c r="AW112" i="8" s="1"/>
  <c r="BE111" i="4"/>
  <c r="BG111" i="4" s="1"/>
  <c r="BD112" i="4" s="1"/>
  <c r="BF112" i="4" s="1"/>
  <c r="BW211" i="6"/>
  <c r="BY211" i="6" s="1"/>
  <c r="BV212" i="6" s="1"/>
  <c r="BX212" i="6" s="1"/>
  <c r="BX111" i="8"/>
  <c r="BY111" i="8" s="1"/>
  <c r="BV112" i="8" s="1"/>
  <c r="AN91" i="7"/>
  <c r="AO109" i="8"/>
  <c r="AL110" i="8" s="1"/>
  <c r="AM110" i="8" s="1"/>
  <c r="BO71" i="4"/>
  <c r="BP71" i="4" s="1"/>
  <c r="BM72" i="4" s="1"/>
  <c r="BY173" i="6"/>
  <c r="BV174" i="6" s="1"/>
  <c r="BW174" i="6" s="1"/>
  <c r="BP131" i="6"/>
  <c r="BM132" i="6" s="1"/>
  <c r="BN132" i="6" s="1"/>
  <c r="BW210" i="7"/>
  <c r="BX210" i="7"/>
  <c r="BY210" i="7" s="1"/>
  <c r="BV211" i="7" s="1"/>
  <c r="AV130" i="1"/>
  <c r="AX130" i="1" s="1"/>
  <c r="AU131" i="1" s="1"/>
  <c r="AW131" i="1" s="1"/>
  <c r="BX132" i="1"/>
  <c r="BY132" i="1" s="1"/>
  <c r="BV133" i="1" s="1"/>
  <c r="BG130" i="1"/>
  <c r="BD131" i="1" s="1"/>
  <c r="BF131" i="1" s="1"/>
  <c r="BG170" i="7"/>
  <c r="BD171" i="7" s="1"/>
  <c r="BO71" i="7"/>
  <c r="BN71" i="7"/>
  <c r="BN170" i="8"/>
  <c r="BO170" i="8"/>
  <c r="BN211" i="8"/>
  <c r="BO211" i="8"/>
  <c r="AV131" i="8"/>
  <c r="AW131" i="8"/>
  <c r="AW91" i="6"/>
  <c r="AW149" i="8"/>
  <c r="AX149" i="8" s="1"/>
  <c r="AU150" i="8" s="1"/>
  <c r="AW150" i="8" s="1"/>
  <c r="AN110" i="7"/>
  <c r="AO110" i="7" s="1"/>
  <c r="AL111" i="7" s="1"/>
  <c r="BX213" i="8"/>
  <c r="BY213" i="8" s="1"/>
  <c r="BV214" i="8" s="1"/>
  <c r="BX214" i="8" s="1"/>
  <c r="BF190" i="7"/>
  <c r="BG190" i="7" s="1"/>
  <c r="BD191" i="7" s="1"/>
  <c r="BE191" i="7" s="1"/>
  <c r="BW152" i="8"/>
  <c r="BY152" i="8" s="1"/>
  <c r="BV153" i="8" s="1"/>
  <c r="BY189" i="6"/>
  <c r="BV190" i="6" s="1"/>
  <c r="BW190" i="6" s="1"/>
  <c r="BE151" i="4"/>
  <c r="BF151" i="4"/>
  <c r="AO210" i="4"/>
  <c r="AL211" i="4" s="1"/>
  <c r="AM211" i="4" s="1"/>
  <c r="BF172" i="4"/>
  <c r="BG172" i="4" s="1"/>
  <c r="BD173" i="4" s="1"/>
  <c r="BE173" i="4" s="1"/>
  <c r="BW112" i="4"/>
  <c r="BY112" i="4" s="1"/>
  <c r="BV113" i="4" s="1"/>
  <c r="BN72" i="6"/>
  <c r="BP72" i="6" s="1"/>
  <c r="BM73" i="6" s="1"/>
  <c r="AN150" i="4"/>
  <c r="AM150" i="4"/>
  <c r="AX73" i="4"/>
  <c r="AU74" i="4" s="1"/>
  <c r="AV74" i="4" s="1"/>
  <c r="AW151" i="7"/>
  <c r="AO131" i="4"/>
  <c r="AL132" i="4" s="1"/>
  <c r="AM132" i="4" s="1"/>
  <c r="AN149" i="8"/>
  <c r="AM149" i="8"/>
  <c r="AM189" i="7"/>
  <c r="AO189" i="7" s="1"/>
  <c r="AL190" i="7" s="1"/>
  <c r="AM190" i="7" s="1"/>
  <c r="BN110" i="4"/>
  <c r="BP110" i="4" s="1"/>
  <c r="BM111" i="4" s="1"/>
  <c r="BY68" i="8"/>
  <c r="BV69" i="8" s="1"/>
  <c r="BX69" i="8" s="1"/>
  <c r="AX110" i="7"/>
  <c r="AU111" i="7" s="1"/>
  <c r="AV111" i="7" s="1"/>
  <c r="BX191" i="7"/>
  <c r="BW191" i="7"/>
  <c r="AW192" i="1"/>
  <c r="AV192" i="1"/>
  <c r="BF191" i="4"/>
  <c r="BN170" i="4"/>
  <c r="BP170" i="4" s="1"/>
  <c r="BM171" i="4" s="1"/>
  <c r="BN171" i="4" s="1"/>
  <c r="AN190" i="6"/>
  <c r="AO190" i="6" s="1"/>
  <c r="AL191" i="6" s="1"/>
  <c r="BN210" i="6"/>
  <c r="BP210" i="6" s="1"/>
  <c r="BM211" i="6" s="1"/>
  <c r="AX71" i="6"/>
  <c r="AU72" i="6" s="1"/>
  <c r="AW72" i="6" s="1"/>
  <c r="BX91" i="8"/>
  <c r="BX71" i="7"/>
  <c r="BW71" i="7"/>
  <c r="BG211" i="8"/>
  <c r="BD212" i="8" s="1"/>
  <c r="BE212" i="8" s="1"/>
  <c r="BE132" i="4"/>
  <c r="BG132" i="4" s="1"/>
  <c r="BD133" i="4" s="1"/>
  <c r="BE133" i="4" s="1"/>
  <c r="AX91" i="7"/>
  <c r="AU92" i="7" s="1"/>
  <c r="AV92" i="7" s="1"/>
  <c r="BX150" i="7"/>
  <c r="BY150" i="7" s="1"/>
  <c r="BV151" i="7" s="1"/>
  <c r="BW151" i="7" s="1"/>
  <c r="AX152" i="4"/>
  <c r="AU153" i="4" s="1"/>
  <c r="AW153" i="4" s="1"/>
  <c r="BO109" i="8"/>
  <c r="BN109" i="8"/>
  <c r="BF112" i="6"/>
  <c r="BE112" i="6"/>
  <c r="BG112" i="6" s="1"/>
  <c r="BD113" i="6" s="1"/>
  <c r="BF113" i="6" s="1"/>
  <c r="AW92" i="7"/>
  <c r="BY90" i="7"/>
  <c r="BV91" i="7" s="1"/>
  <c r="BW91" i="7" s="1"/>
  <c r="BP210" i="4"/>
  <c r="BM211" i="4" s="1"/>
  <c r="BN211" i="4" s="1"/>
  <c r="BW90" i="4"/>
  <c r="BY90" i="4" s="1"/>
  <c r="BV91" i="4" s="1"/>
  <c r="BP170" i="6"/>
  <c r="BM171" i="6" s="1"/>
  <c r="BF130" i="8"/>
  <c r="BE130" i="8"/>
  <c r="BE211" i="4"/>
  <c r="BG211" i="4" s="1"/>
  <c r="BD212" i="4" s="1"/>
  <c r="BE212" i="4" s="1"/>
  <c r="AW132" i="7"/>
  <c r="AV132" i="7"/>
  <c r="BO130" i="8"/>
  <c r="BP130" i="8" s="1"/>
  <c r="BM131" i="8" s="1"/>
  <c r="BY91" i="8"/>
  <c r="BV92" i="8" s="1"/>
  <c r="BW92" i="8" s="1"/>
  <c r="BY151" i="4"/>
  <c r="BV152" i="4" s="1"/>
  <c r="BW152" i="4" s="1"/>
  <c r="BP131" i="1"/>
  <c r="BM132" i="1" s="1"/>
  <c r="BN132" i="1" s="1"/>
  <c r="BE170" i="6"/>
  <c r="BG170" i="6" s="1"/>
  <c r="BD171" i="6" s="1"/>
  <c r="AO91" i="7"/>
  <c r="AL92" i="7" s="1"/>
  <c r="AM92" i="7" s="1"/>
  <c r="AV110" i="4"/>
  <c r="AW110" i="4"/>
  <c r="AX171" i="6"/>
  <c r="AU172" i="6" s="1"/>
  <c r="AV172" i="6" s="1"/>
  <c r="BP92" i="7"/>
  <c r="BM93" i="7" s="1"/>
  <c r="BO93" i="7" s="1"/>
  <c r="AX89" i="4"/>
  <c r="AU90" i="4" s="1"/>
  <c r="AV172" i="8"/>
  <c r="AW172" i="8"/>
  <c r="AM129" i="6"/>
  <c r="AN129" i="6"/>
  <c r="BN212" i="1"/>
  <c r="BP212" i="1" s="1"/>
  <c r="BM213" i="1" s="1"/>
  <c r="BO213" i="1" s="1"/>
  <c r="BE74" i="1"/>
  <c r="BG74" i="1" s="1"/>
  <c r="BD75" i="1" s="1"/>
  <c r="BF75" i="1" s="1"/>
  <c r="BP89" i="6"/>
  <c r="BM90" i="6" s="1"/>
  <c r="BO90" i="6" s="1"/>
  <c r="BG151" i="6"/>
  <c r="BD152" i="6" s="1"/>
  <c r="BE152" i="6" s="1"/>
  <c r="AM91" i="8"/>
  <c r="AO91" i="8" s="1"/>
  <c r="AL92" i="8" s="1"/>
  <c r="BF91" i="8"/>
  <c r="BN92" i="4"/>
  <c r="BP92" i="4" s="1"/>
  <c r="BM93" i="4" s="1"/>
  <c r="BW109" i="6"/>
  <c r="BY109" i="6" s="1"/>
  <c r="BV110" i="6" s="1"/>
  <c r="BN148" i="6"/>
  <c r="BP148" i="6" s="1"/>
  <c r="BM149" i="6" s="1"/>
  <c r="BO149" i="6" s="1"/>
  <c r="AM71" i="6"/>
  <c r="AO71" i="6" s="1"/>
  <c r="AL72" i="6" s="1"/>
  <c r="BW92" i="1"/>
  <c r="BY92" i="1" s="1"/>
  <c r="BV93" i="1" s="1"/>
  <c r="BE90" i="7"/>
  <c r="BG90" i="7" s="1"/>
  <c r="BD91" i="7" s="1"/>
  <c r="BE70" i="4"/>
  <c r="BG70" i="4" s="1"/>
  <c r="BD71" i="4" s="1"/>
  <c r="BE71" i="4" s="1"/>
  <c r="BG131" i="6"/>
  <c r="BD132" i="6" s="1"/>
  <c r="BP92" i="8"/>
  <c r="BM93" i="8" s="1"/>
  <c r="BN93" i="8" s="1"/>
  <c r="AW209" i="8"/>
  <c r="AV209" i="8"/>
  <c r="BP152" i="1"/>
  <c r="BM153" i="1" s="1"/>
  <c r="BN153" i="1" s="1"/>
  <c r="BX111" i="7"/>
  <c r="BY111" i="7" s="1"/>
  <c r="BV112" i="7" s="1"/>
  <c r="AX70" i="7"/>
  <c r="AU71" i="7" s="1"/>
  <c r="AV71" i="7" s="1"/>
  <c r="BF109" i="8"/>
  <c r="BG109" i="8" s="1"/>
  <c r="BD110" i="8" s="1"/>
  <c r="BP211" i="7"/>
  <c r="BM212" i="7" s="1"/>
  <c r="BN212" i="7" s="1"/>
  <c r="BG71" i="7"/>
  <c r="BD72" i="7" s="1"/>
  <c r="BE72" i="7" s="1"/>
  <c r="BP69" i="8"/>
  <c r="BM70" i="8" s="1"/>
  <c r="BO70" i="8" s="1"/>
  <c r="AO89" i="1"/>
  <c r="AL90" i="1" s="1"/>
  <c r="AM90" i="1" s="1"/>
  <c r="BN91" i="1"/>
  <c r="BO91" i="1"/>
  <c r="AV111" i="6"/>
  <c r="AW111" i="6"/>
  <c r="AW173" i="4"/>
  <c r="AV173" i="4"/>
  <c r="AV193" i="6"/>
  <c r="AW193" i="6"/>
  <c r="AW190" i="8"/>
  <c r="AV190" i="8"/>
  <c r="AN70" i="1"/>
  <c r="AO70" i="1" s="1"/>
  <c r="AL71" i="1" s="1"/>
  <c r="BX131" i="6"/>
  <c r="BY131" i="6" s="1"/>
  <c r="BV132" i="6" s="1"/>
  <c r="BW132" i="6" s="1"/>
  <c r="BE111" i="7"/>
  <c r="BG111" i="7" s="1"/>
  <c r="BD112" i="7" s="1"/>
  <c r="BF112" i="7" s="1"/>
  <c r="AV93" i="8"/>
  <c r="AX93" i="8" s="1"/>
  <c r="AU94" i="8" s="1"/>
  <c r="AV94" i="8" s="1"/>
  <c r="BY131" i="4"/>
  <c r="BV132" i="4" s="1"/>
  <c r="BW132" i="4" s="1"/>
  <c r="AN131" i="8"/>
  <c r="AO131" i="8" s="1"/>
  <c r="AL132" i="8" s="1"/>
  <c r="BP152" i="8"/>
  <c r="BM153" i="8" s="1"/>
  <c r="BN153" i="8" s="1"/>
  <c r="BG213" i="6"/>
  <c r="BD214" i="6" s="1"/>
  <c r="BE214" i="6" s="1"/>
  <c r="BP110" i="7"/>
  <c r="BM111" i="7" s="1"/>
  <c r="BN111" i="7" s="1"/>
  <c r="BX72" i="4"/>
  <c r="BY72" i="4" s="1"/>
  <c r="BV73" i="4" s="1"/>
  <c r="BX73" i="4" s="1"/>
  <c r="AM211" i="6"/>
  <c r="AO211" i="6" s="1"/>
  <c r="AL212" i="6" s="1"/>
  <c r="BW190" i="4"/>
  <c r="BY190" i="4" s="1"/>
  <c r="BV191" i="4" s="1"/>
  <c r="BX191" i="4" s="1"/>
  <c r="AO191" i="4"/>
  <c r="AL192" i="4" s="1"/>
  <c r="AM192" i="4" s="1"/>
  <c r="BY192" i="1"/>
  <c r="BV193" i="1" s="1"/>
  <c r="BW193" i="1" s="1"/>
  <c r="AO190" i="8"/>
  <c r="AL191" i="8" s="1"/>
  <c r="AN191" i="8" s="1"/>
  <c r="AX212" i="6"/>
  <c r="AU213" i="6" s="1"/>
  <c r="AW213" i="6" s="1"/>
  <c r="BO152" i="7"/>
  <c r="BN152" i="7"/>
  <c r="BE132" i="7"/>
  <c r="BF132" i="7"/>
  <c r="BN152" i="4"/>
  <c r="BO152" i="4"/>
  <c r="BF193" i="1"/>
  <c r="BG193" i="1" s="1"/>
  <c r="BD194" i="1" s="1"/>
  <c r="BF194" i="1" s="1"/>
  <c r="BX132" i="7"/>
  <c r="BY132" i="7" s="1"/>
  <c r="BV133" i="7" s="1"/>
  <c r="BE172" i="1"/>
  <c r="BG172" i="1" s="1"/>
  <c r="BD173" i="1" s="1"/>
  <c r="BY150" i="1"/>
  <c r="BV151" i="1" s="1"/>
  <c r="BX151" i="1" s="1"/>
  <c r="AO69" i="8"/>
  <c r="AL70" i="8" s="1"/>
  <c r="AN70" i="8" s="1"/>
  <c r="AO210" i="7"/>
  <c r="AL211" i="7" s="1"/>
  <c r="AN211" i="7" s="1"/>
  <c r="AO150" i="1"/>
  <c r="AL151" i="1" s="1"/>
  <c r="AM151" i="1" s="1"/>
  <c r="BG91" i="1"/>
  <c r="BD92" i="1" s="1"/>
  <c r="AO210" i="8"/>
  <c r="AL211" i="8" s="1"/>
  <c r="AW131" i="4"/>
  <c r="AX131" i="4" s="1"/>
  <c r="AU132" i="4" s="1"/>
  <c r="AW132" i="4" s="1"/>
  <c r="BO132" i="4"/>
  <c r="BP132" i="4" s="1"/>
  <c r="BM133" i="4" s="1"/>
  <c r="AN69" i="7"/>
  <c r="AO69" i="7" s="1"/>
  <c r="AL70" i="7" s="1"/>
  <c r="AN112" i="4"/>
  <c r="AM112" i="4"/>
  <c r="AO169" i="8"/>
  <c r="AL170" i="8" s="1"/>
  <c r="BE171" i="8"/>
  <c r="BF171" i="8"/>
  <c r="BW191" i="4"/>
  <c r="BN174" i="1"/>
  <c r="BO174" i="1"/>
  <c r="BY70" i="6"/>
  <c r="BV71" i="6" s="1"/>
  <c r="BW191" i="8"/>
  <c r="BX191" i="8"/>
  <c r="BX214" i="4"/>
  <c r="BY214" i="4" s="1"/>
  <c r="BV215" i="4" s="1"/>
  <c r="BX215" i="4" s="1"/>
  <c r="BW172" i="4"/>
  <c r="BX172" i="4"/>
  <c r="AN170" i="6"/>
  <c r="AM170" i="6"/>
  <c r="BE193" i="8"/>
  <c r="BF193" i="8"/>
  <c r="AV193" i="7"/>
  <c r="AW193" i="7"/>
  <c r="BY69" i="1"/>
  <c r="BV70" i="1" s="1"/>
  <c r="BW70" i="1" s="1"/>
  <c r="AN71" i="4"/>
  <c r="AO71" i="4" s="1"/>
  <c r="AL72" i="4" s="1"/>
  <c r="AO90" i="6"/>
  <c r="AL91" i="6" s="1"/>
  <c r="AM91" i="6" s="1"/>
  <c r="BN111" i="6"/>
  <c r="BO111" i="6"/>
  <c r="BN193" i="8"/>
  <c r="BP193" i="8" s="1"/>
  <c r="BM194" i="8" s="1"/>
  <c r="BO194" i="8" s="1"/>
  <c r="AX69" i="8"/>
  <c r="AU70" i="8" s="1"/>
  <c r="AV70" i="8" s="1"/>
  <c r="AO131" i="1"/>
  <c r="AL132" i="1" s="1"/>
  <c r="AW210" i="7"/>
  <c r="AV210" i="7"/>
  <c r="BG91" i="6"/>
  <c r="BD92" i="6" s="1"/>
  <c r="AO169" i="7"/>
  <c r="AL170" i="7" s="1"/>
  <c r="AN170" i="7" s="1"/>
  <c r="AO129" i="7"/>
  <c r="AL130" i="7" s="1"/>
  <c r="AM130" i="7" s="1"/>
  <c r="BO71" i="1"/>
  <c r="BN71" i="1"/>
  <c r="AW211" i="4"/>
  <c r="AV211" i="4"/>
  <c r="BN192" i="7"/>
  <c r="BO192" i="7"/>
  <c r="BW173" i="7"/>
  <c r="BX173" i="7"/>
  <c r="BO192" i="4"/>
  <c r="BP192" i="4" s="1"/>
  <c r="BM193" i="4" s="1"/>
  <c r="BN193" i="4" s="1"/>
  <c r="BP169" i="7"/>
  <c r="BM170" i="7" s="1"/>
  <c r="BG92" i="4"/>
  <c r="BD93" i="4" s="1"/>
  <c r="BW173" i="8"/>
  <c r="BY173" i="8" s="1"/>
  <c r="BV174" i="8" s="1"/>
  <c r="BX174" i="8" s="1"/>
  <c r="BF210" i="1"/>
  <c r="BG210" i="1" s="1"/>
  <c r="BD211" i="1" s="1"/>
  <c r="BG72" i="8"/>
  <c r="BD73" i="8" s="1"/>
  <c r="AO150" i="6"/>
  <c r="AL151" i="6" s="1"/>
  <c r="AN151" i="6" s="1"/>
  <c r="BP130" i="7"/>
  <c r="BM131" i="7" s="1"/>
  <c r="BN131" i="7" s="1"/>
  <c r="AX129" i="6"/>
  <c r="AU130" i="6" s="1"/>
  <c r="AV130" i="6" s="1"/>
  <c r="AW191" i="4"/>
  <c r="AV191" i="4"/>
  <c r="AV153" i="4"/>
  <c r="AO109" i="6"/>
  <c r="AL110" i="6" s="1"/>
  <c r="BE214" i="7"/>
  <c r="BG214" i="7" s="1"/>
  <c r="BD215" i="7" s="1"/>
  <c r="BW133" i="8"/>
  <c r="BX133" i="8"/>
  <c r="AN92" i="7"/>
  <c r="AN110" i="8"/>
  <c r="AM170" i="4"/>
  <c r="AN170" i="4"/>
  <c r="BE110" i="1"/>
  <c r="BF110" i="1"/>
  <c r="AM209" i="1"/>
  <c r="AN209" i="1"/>
  <c r="BG72" i="6"/>
  <c r="BD73" i="6" s="1"/>
  <c r="AV150" i="6"/>
  <c r="AW150" i="6"/>
  <c r="BO113" i="1"/>
  <c r="BN113" i="1"/>
  <c r="BF153" i="8"/>
  <c r="BG153" i="8" s="1"/>
  <c r="BD154" i="8" s="1"/>
  <c r="AM89" i="4"/>
  <c r="AN89" i="4"/>
  <c r="AX151" i="7"/>
  <c r="AU152" i="7" s="1"/>
  <c r="BX172" i="1"/>
  <c r="BW172" i="1"/>
  <c r="BG191" i="6"/>
  <c r="BD192" i="6" s="1"/>
  <c r="AM193" i="1" l="1"/>
  <c r="AO193" i="1" s="1"/>
  <c r="AL194" i="1" s="1"/>
  <c r="AM194" i="1" s="1"/>
  <c r="AX91" i="1"/>
  <c r="AU92" i="1" s="1"/>
  <c r="AW92" i="1" s="1"/>
  <c r="AW91" i="1"/>
  <c r="BE112" i="4"/>
  <c r="BG112" i="4" s="1"/>
  <c r="BD113" i="4" s="1"/>
  <c r="BE113" i="4" s="1"/>
  <c r="BO211" i="4"/>
  <c r="BF173" i="4"/>
  <c r="BG173" i="4" s="1"/>
  <c r="BD174" i="4" s="1"/>
  <c r="BX152" i="4"/>
  <c r="BY152" i="4" s="1"/>
  <c r="BV153" i="4" s="1"/>
  <c r="BW153" i="4" s="1"/>
  <c r="AV112" i="1"/>
  <c r="AX112" i="1" s="1"/>
  <c r="AU113" i="1" s="1"/>
  <c r="AW113" i="1" s="1"/>
  <c r="AW171" i="1"/>
  <c r="AX171" i="1" s="1"/>
  <c r="AU172" i="1" s="1"/>
  <c r="AV172" i="1" s="1"/>
  <c r="AV92" i="1"/>
  <c r="BX213" i="1"/>
  <c r="BW213" i="1"/>
  <c r="AX151" i="1"/>
  <c r="AU152" i="1" s="1"/>
  <c r="AV152" i="1" s="1"/>
  <c r="BO192" i="1"/>
  <c r="BP192" i="1" s="1"/>
  <c r="BM193" i="1" s="1"/>
  <c r="BO193" i="1" s="1"/>
  <c r="BF151" i="1"/>
  <c r="BG151" i="1" s="1"/>
  <c r="BD152" i="1" s="1"/>
  <c r="BF152" i="1" s="1"/>
  <c r="AX70" i="1"/>
  <c r="AU71" i="1" s="1"/>
  <c r="AV71" i="1" s="1"/>
  <c r="AV211" i="1"/>
  <c r="AW211" i="1"/>
  <c r="BO191" i="6"/>
  <c r="BN191" i="6"/>
  <c r="BP191" i="6" s="1"/>
  <c r="BM192" i="6" s="1"/>
  <c r="BX151" i="7"/>
  <c r="BY151" i="7" s="1"/>
  <c r="BV152" i="7" s="1"/>
  <c r="BW152" i="7" s="1"/>
  <c r="BP170" i="8"/>
  <c r="BM171" i="8" s="1"/>
  <c r="BF72" i="7"/>
  <c r="BF151" i="7"/>
  <c r="BG151" i="7" s="1"/>
  <c r="BD152" i="7" s="1"/>
  <c r="BE152" i="7" s="1"/>
  <c r="BE131" i="1"/>
  <c r="BG131" i="1" s="1"/>
  <c r="BD132" i="1" s="1"/>
  <c r="BE132" i="1" s="1"/>
  <c r="BW69" i="8"/>
  <c r="BY69" i="8" s="1"/>
  <c r="BV70" i="8" s="1"/>
  <c r="BX70" i="8" s="1"/>
  <c r="BO132" i="6"/>
  <c r="BY71" i="7"/>
  <c r="BV72" i="7" s="1"/>
  <c r="BG151" i="4"/>
  <c r="BD152" i="4" s="1"/>
  <c r="BE152" i="4" s="1"/>
  <c r="BP71" i="7"/>
  <c r="BM72" i="7" s="1"/>
  <c r="BO72" i="7" s="1"/>
  <c r="BX152" i="6"/>
  <c r="BW152" i="6"/>
  <c r="BY152" i="6" s="1"/>
  <c r="BV153" i="6" s="1"/>
  <c r="BO132" i="1"/>
  <c r="BP132" i="1" s="1"/>
  <c r="BM133" i="1" s="1"/>
  <c r="BO133" i="1" s="1"/>
  <c r="AW172" i="6"/>
  <c r="BX91" i="7"/>
  <c r="BW112" i="8"/>
  <c r="BX112" i="8"/>
  <c r="AV92" i="6"/>
  <c r="AW92" i="6"/>
  <c r="BW133" i="1"/>
  <c r="BX133" i="1"/>
  <c r="BE171" i="7"/>
  <c r="BF171" i="7"/>
  <c r="BG171" i="7" s="1"/>
  <c r="BD172" i="7" s="1"/>
  <c r="BF172" i="7" s="1"/>
  <c r="BE75" i="1"/>
  <c r="BG75" i="1" s="1"/>
  <c r="BD76" i="1" s="1"/>
  <c r="BE76" i="1" s="1"/>
  <c r="AV112" i="8"/>
  <c r="AX112" i="8" s="1"/>
  <c r="AU113" i="8" s="1"/>
  <c r="AV113" i="8" s="1"/>
  <c r="AX113" i="8" s="1"/>
  <c r="AU114" i="8" s="1"/>
  <c r="BP211" i="8"/>
  <c r="BM212" i="8" s="1"/>
  <c r="BX211" i="7"/>
  <c r="BW211" i="7"/>
  <c r="BX190" i="6"/>
  <c r="BY190" i="6" s="1"/>
  <c r="BV191" i="6" s="1"/>
  <c r="BN70" i="8"/>
  <c r="BP70" i="8" s="1"/>
  <c r="BM71" i="8" s="1"/>
  <c r="BO71" i="8" s="1"/>
  <c r="BW212" i="6"/>
  <c r="BY212" i="6" s="1"/>
  <c r="BV213" i="6" s="1"/>
  <c r="BX213" i="6" s="1"/>
  <c r="AO149" i="8"/>
  <c r="AL150" i="8" s="1"/>
  <c r="BW92" i="6"/>
  <c r="BY92" i="6" s="1"/>
  <c r="BV93" i="6" s="1"/>
  <c r="BW93" i="6" s="1"/>
  <c r="AX192" i="1"/>
  <c r="AU193" i="1" s="1"/>
  <c r="AV193" i="1" s="1"/>
  <c r="BX174" i="6"/>
  <c r="BY174" i="6" s="1"/>
  <c r="BV175" i="6" s="1"/>
  <c r="BX175" i="6" s="1"/>
  <c r="AW74" i="4"/>
  <c r="AX74" i="4" s="1"/>
  <c r="AU75" i="4" s="1"/>
  <c r="AW75" i="4" s="1"/>
  <c r="AN150" i="8"/>
  <c r="AM150" i="8"/>
  <c r="BF133" i="4"/>
  <c r="BG133" i="4" s="1"/>
  <c r="BD134" i="4" s="1"/>
  <c r="BF134" i="4" s="1"/>
  <c r="AM172" i="1"/>
  <c r="AO172" i="1" s="1"/>
  <c r="AL173" i="1" s="1"/>
  <c r="AM173" i="1" s="1"/>
  <c r="BW214" i="8"/>
  <c r="BO153" i="1"/>
  <c r="BP153" i="1" s="1"/>
  <c r="BM154" i="1" s="1"/>
  <c r="BN154" i="1" s="1"/>
  <c r="AW111" i="7"/>
  <c r="AX111" i="7" s="1"/>
  <c r="AU112" i="7" s="1"/>
  <c r="BF113" i="4"/>
  <c r="BG113" i="4" s="1"/>
  <c r="BD114" i="4" s="1"/>
  <c r="BE114" i="4" s="1"/>
  <c r="BP109" i="8"/>
  <c r="BM110" i="8" s="1"/>
  <c r="BO110" i="8" s="1"/>
  <c r="AX131" i="8"/>
  <c r="AU132" i="8" s="1"/>
  <c r="BW113" i="4"/>
  <c r="BX113" i="4"/>
  <c r="AV72" i="6"/>
  <c r="AX72" i="6" s="1"/>
  <c r="AU73" i="6" s="1"/>
  <c r="AV73" i="6" s="1"/>
  <c r="BP132" i="6"/>
  <c r="BM133" i="6" s="1"/>
  <c r="BN133" i="6" s="1"/>
  <c r="BW153" i="8"/>
  <c r="BY153" i="8" s="1"/>
  <c r="BV154" i="8" s="1"/>
  <c r="BX153" i="8"/>
  <c r="AX92" i="7"/>
  <c r="AU93" i="7" s="1"/>
  <c r="AV93" i="7" s="1"/>
  <c r="BO111" i="7"/>
  <c r="BF212" i="8"/>
  <c r="BG212" i="8" s="1"/>
  <c r="BD213" i="8" s="1"/>
  <c r="BE213" i="8" s="1"/>
  <c r="AX172" i="8"/>
  <c r="AU173" i="8" s="1"/>
  <c r="AW173" i="8" s="1"/>
  <c r="AN132" i="4"/>
  <c r="AO132" i="4" s="1"/>
  <c r="AL133" i="4" s="1"/>
  <c r="AM133" i="4" s="1"/>
  <c r="BG91" i="8"/>
  <c r="BD92" i="8" s="1"/>
  <c r="BF92" i="8" s="1"/>
  <c r="AN211" i="4"/>
  <c r="AO211" i="4" s="1"/>
  <c r="AL212" i="4" s="1"/>
  <c r="AM212" i="4" s="1"/>
  <c r="AO150" i="4"/>
  <c r="AL151" i="4" s="1"/>
  <c r="BN93" i="4"/>
  <c r="BO93" i="4"/>
  <c r="BO211" i="6"/>
  <c r="BN211" i="6"/>
  <c r="BP211" i="6" s="1"/>
  <c r="BM212" i="6" s="1"/>
  <c r="AX111" i="6"/>
  <c r="AU112" i="6" s="1"/>
  <c r="AV112" i="6" s="1"/>
  <c r="AO170" i="6"/>
  <c r="AL171" i="6" s="1"/>
  <c r="BP174" i="1"/>
  <c r="BM175" i="1" s="1"/>
  <c r="BN175" i="1" s="1"/>
  <c r="BW72" i="7"/>
  <c r="BX72" i="7"/>
  <c r="BF191" i="7"/>
  <c r="BG191" i="7" s="1"/>
  <c r="BD192" i="7" s="1"/>
  <c r="BE192" i="7" s="1"/>
  <c r="BE113" i="6"/>
  <c r="BG113" i="6" s="1"/>
  <c r="BD114" i="6" s="1"/>
  <c r="BE114" i="6" s="1"/>
  <c r="BY191" i="7"/>
  <c r="BV192" i="7" s="1"/>
  <c r="AM70" i="8"/>
  <c r="AO70" i="8" s="1"/>
  <c r="AL71" i="8" s="1"/>
  <c r="BN149" i="6"/>
  <c r="BF152" i="7"/>
  <c r="BG152" i="7" s="1"/>
  <c r="BD153" i="7" s="1"/>
  <c r="BE153" i="7" s="1"/>
  <c r="BW213" i="6"/>
  <c r="BY213" i="6" s="1"/>
  <c r="BV214" i="6" s="1"/>
  <c r="BX214" i="6" s="1"/>
  <c r="BP192" i="7"/>
  <c r="BM193" i="7" s="1"/>
  <c r="BO193" i="7" s="1"/>
  <c r="BP211" i="4"/>
  <c r="BM212" i="4" s="1"/>
  <c r="BO212" i="4" s="1"/>
  <c r="BX93" i="1"/>
  <c r="BW93" i="1"/>
  <c r="BX91" i="4"/>
  <c r="BW91" i="4"/>
  <c r="AV173" i="8"/>
  <c r="AV131" i="1"/>
  <c r="AX131" i="1" s="1"/>
  <c r="AU132" i="1" s="1"/>
  <c r="AW132" i="1" s="1"/>
  <c r="BW151" i="1"/>
  <c r="BY151" i="1" s="1"/>
  <c r="BV152" i="1" s="1"/>
  <c r="BN93" i="7"/>
  <c r="BP93" i="7" s="1"/>
  <c r="BM94" i="7" s="1"/>
  <c r="AX110" i="4"/>
  <c r="AU111" i="4" s="1"/>
  <c r="BG130" i="8"/>
  <c r="BD131" i="8" s="1"/>
  <c r="AW130" i="6"/>
  <c r="AX130" i="6" s="1"/>
  <c r="AU131" i="6" s="1"/>
  <c r="AN111" i="7"/>
  <c r="AM111" i="7"/>
  <c r="AX211" i="4"/>
  <c r="AU212" i="4" s="1"/>
  <c r="AW212" i="4" s="1"/>
  <c r="AX190" i="8"/>
  <c r="AU191" i="8" s="1"/>
  <c r="AV191" i="8" s="1"/>
  <c r="AX173" i="4"/>
  <c r="AU174" i="4" s="1"/>
  <c r="AW174" i="4" s="1"/>
  <c r="AV90" i="4"/>
  <c r="AW90" i="4"/>
  <c r="BO171" i="6"/>
  <c r="BN171" i="6"/>
  <c r="AW171" i="7"/>
  <c r="AV171" i="7"/>
  <c r="AO89" i="4"/>
  <c r="AL90" i="4" s="1"/>
  <c r="AM90" i="4" s="1"/>
  <c r="BF152" i="6"/>
  <c r="BG152" i="6" s="1"/>
  <c r="BD153" i="6" s="1"/>
  <c r="BE153" i="6" s="1"/>
  <c r="AN192" i="4"/>
  <c r="AO192" i="4" s="1"/>
  <c r="AL193" i="4" s="1"/>
  <c r="AM193" i="4" s="1"/>
  <c r="BP152" i="7"/>
  <c r="BM153" i="7" s="1"/>
  <c r="BN153" i="7" s="1"/>
  <c r="AN90" i="1"/>
  <c r="AO90" i="1" s="1"/>
  <c r="AL91" i="1" s="1"/>
  <c r="AM91" i="1" s="1"/>
  <c r="AO129" i="6"/>
  <c r="AL130" i="6" s="1"/>
  <c r="AM130" i="6" s="1"/>
  <c r="AX132" i="7"/>
  <c r="AU133" i="7" s="1"/>
  <c r="BF212" i="4"/>
  <c r="BG212" i="4" s="1"/>
  <c r="BD213" i="4" s="1"/>
  <c r="BX92" i="8"/>
  <c r="BY92" i="8" s="1"/>
  <c r="BV93" i="8" s="1"/>
  <c r="BW93" i="8" s="1"/>
  <c r="BP111" i="6"/>
  <c r="BM112" i="6" s="1"/>
  <c r="BN112" i="6" s="1"/>
  <c r="BO171" i="4"/>
  <c r="BP171" i="4" s="1"/>
  <c r="BM172" i="4" s="1"/>
  <c r="AM72" i="6"/>
  <c r="AN72" i="6"/>
  <c r="AW113" i="8"/>
  <c r="BF214" i="6"/>
  <c r="BG214" i="6" s="1"/>
  <c r="BD215" i="6" s="1"/>
  <c r="BO212" i="7"/>
  <c r="BP212" i="7" s="1"/>
  <c r="BM213" i="7" s="1"/>
  <c r="BN213" i="7" s="1"/>
  <c r="AW94" i="8"/>
  <c r="AX94" i="8" s="1"/>
  <c r="AU95" i="8" s="1"/>
  <c r="AV95" i="8" s="1"/>
  <c r="AN190" i="7"/>
  <c r="AO190" i="7" s="1"/>
  <c r="AL191" i="7" s="1"/>
  <c r="BO93" i="8"/>
  <c r="BP93" i="8" s="1"/>
  <c r="BM94" i="8" s="1"/>
  <c r="BO94" i="8" s="1"/>
  <c r="BW73" i="4"/>
  <c r="BY191" i="8"/>
  <c r="BV192" i="8" s="1"/>
  <c r="BX192" i="8" s="1"/>
  <c r="BN90" i="6"/>
  <c r="BP90" i="6" s="1"/>
  <c r="BM91" i="6" s="1"/>
  <c r="BN91" i="6" s="1"/>
  <c r="BP111" i="7"/>
  <c r="BM112" i="7" s="1"/>
  <c r="BO112" i="7" s="1"/>
  <c r="AX209" i="8"/>
  <c r="AU210" i="8" s="1"/>
  <c r="BY91" i="7"/>
  <c r="BV92" i="7" s="1"/>
  <c r="BX92" i="7" s="1"/>
  <c r="BP91" i="1"/>
  <c r="BM92" i="1" s="1"/>
  <c r="AM211" i="7"/>
  <c r="AO211" i="7" s="1"/>
  <c r="AL212" i="7" s="1"/>
  <c r="AM212" i="7" s="1"/>
  <c r="AM151" i="6"/>
  <c r="AO151" i="6" s="1"/>
  <c r="AL152" i="6" s="1"/>
  <c r="AX153" i="4"/>
  <c r="AU154" i="4" s="1"/>
  <c r="AW154" i="4" s="1"/>
  <c r="BE112" i="7"/>
  <c r="BG112" i="7" s="1"/>
  <c r="BD113" i="7" s="1"/>
  <c r="BF113" i="7" s="1"/>
  <c r="AX193" i="6"/>
  <c r="AU194" i="6" s="1"/>
  <c r="AV194" i="6" s="1"/>
  <c r="BG193" i="8"/>
  <c r="BD194" i="8" s="1"/>
  <c r="BE194" i="8" s="1"/>
  <c r="BE132" i="6"/>
  <c r="BF132" i="6"/>
  <c r="AN91" i="6"/>
  <c r="AO91" i="6" s="1"/>
  <c r="AL92" i="6" s="1"/>
  <c r="AW71" i="7"/>
  <c r="AX71" i="7" s="1"/>
  <c r="AU72" i="7" s="1"/>
  <c r="BX70" i="1"/>
  <c r="BY70" i="1" s="1"/>
  <c r="BV71" i="1" s="1"/>
  <c r="BF71" i="4"/>
  <c r="BG71" i="4" s="1"/>
  <c r="BD72" i="4" s="1"/>
  <c r="BE72" i="4" s="1"/>
  <c r="BG132" i="7"/>
  <c r="BD133" i="7" s="1"/>
  <c r="BE133" i="7" s="1"/>
  <c r="AO92" i="7"/>
  <c r="AL93" i="7" s="1"/>
  <c r="AN93" i="7" s="1"/>
  <c r="AM132" i="8"/>
  <c r="AN132" i="8"/>
  <c r="AN212" i="6"/>
  <c r="AM212" i="6"/>
  <c r="AM191" i="8"/>
  <c r="AO191" i="8" s="1"/>
  <c r="AL192" i="8" s="1"/>
  <c r="AN192" i="8" s="1"/>
  <c r="BX132" i="4"/>
  <c r="BY132" i="4" s="1"/>
  <c r="BV133" i="4" s="1"/>
  <c r="AV213" i="6"/>
  <c r="AX213" i="6" s="1"/>
  <c r="AU214" i="6" s="1"/>
  <c r="BY173" i="7"/>
  <c r="BV174" i="7" s="1"/>
  <c r="BW174" i="7" s="1"/>
  <c r="BO153" i="8"/>
  <c r="BP153" i="8" s="1"/>
  <c r="BM154" i="8" s="1"/>
  <c r="AN92" i="8"/>
  <c r="AM92" i="8"/>
  <c r="AX193" i="7"/>
  <c r="AU194" i="7" s="1"/>
  <c r="AW194" i="7" s="1"/>
  <c r="AN151" i="1"/>
  <c r="AO151" i="1" s="1"/>
  <c r="AL152" i="1" s="1"/>
  <c r="BX193" i="1"/>
  <c r="BY193" i="1" s="1"/>
  <c r="BV194" i="1" s="1"/>
  <c r="AV150" i="8"/>
  <c r="AX150" i="8" s="1"/>
  <c r="AU151" i="8" s="1"/>
  <c r="AW151" i="8" s="1"/>
  <c r="BE110" i="8"/>
  <c r="BF110" i="8"/>
  <c r="BE194" i="1"/>
  <c r="BG194" i="1" s="1"/>
  <c r="BD195" i="1" s="1"/>
  <c r="AX172" i="6"/>
  <c r="AU173" i="6" s="1"/>
  <c r="AW173" i="6" s="1"/>
  <c r="AO112" i="4"/>
  <c r="AL113" i="4" s="1"/>
  <c r="AN113" i="4" s="1"/>
  <c r="BY213" i="1"/>
  <c r="BV214" i="1" s="1"/>
  <c r="BW192" i="8"/>
  <c r="BX133" i="7"/>
  <c r="BW133" i="7"/>
  <c r="BY133" i="7" s="1"/>
  <c r="BV134" i="7" s="1"/>
  <c r="BW134" i="7" s="1"/>
  <c r="AN70" i="7"/>
  <c r="AM70" i="7"/>
  <c r="BN133" i="4"/>
  <c r="BO133" i="4"/>
  <c r="AO170" i="4"/>
  <c r="AL171" i="4" s="1"/>
  <c r="AM171" i="4" s="1"/>
  <c r="AW73" i="6"/>
  <c r="AX73" i="6" s="1"/>
  <c r="AU74" i="6" s="1"/>
  <c r="AV74" i="6" s="1"/>
  <c r="BX71" i="6"/>
  <c r="BW71" i="6"/>
  <c r="BG171" i="8"/>
  <c r="BD172" i="8" s="1"/>
  <c r="BN131" i="8"/>
  <c r="BO131" i="8"/>
  <c r="BX113" i="1"/>
  <c r="BW113" i="1"/>
  <c r="BF171" i="6"/>
  <c r="BE171" i="6"/>
  <c r="AM170" i="7"/>
  <c r="AO170" i="7" s="1"/>
  <c r="AL171" i="7" s="1"/>
  <c r="BN213" i="1"/>
  <c r="BP213" i="1" s="1"/>
  <c r="BM214" i="1" s="1"/>
  <c r="BP71" i="1"/>
  <c r="BM72" i="1" s="1"/>
  <c r="BN72" i="1" s="1"/>
  <c r="BY172" i="4"/>
  <c r="BV173" i="4" s="1"/>
  <c r="AM170" i="8"/>
  <c r="AN170" i="8"/>
  <c r="BO72" i="4"/>
  <c r="BN72" i="4"/>
  <c r="AN194" i="1"/>
  <c r="AO194" i="1" s="1"/>
  <c r="AL195" i="1" s="1"/>
  <c r="AM195" i="1" s="1"/>
  <c r="BY214" i="8"/>
  <c r="BV215" i="8" s="1"/>
  <c r="BW215" i="8" s="1"/>
  <c r="BY191" i="4"/>
  <c r="BV192" i="4" s="1"/>
  <c r="BP149" i="6"/>
  <c r="BM150" i="6" s="1"/>
  <c r="BG72" i="7"/>
  <c r="BD73" i="7" s="1"/>
  <c r="BP152" i="4"/>
  <c r="BM153" i="4" s="1"/>
  <c r="BE92" i="1"/>
  <c r="BF92" i="1"/>
  <c r="BX132" i="6"/>
  <c r="BY132" i="6" s="1"/>
  <c r="BV133" i="6" s="1"/>
  <c r="BW133" i="6" s="1"/>
  <c r="AN211" i="8"/>
  <c r="AM211" i="8"/>
  <c r="BW175" i="6"/>
  <c r="BF211" i="1"/>
  <c r="BE211" i="1"/>
  <c r="AN72" i="4"/>
  <c r="AM72" i="4"/>
  <c r="AV75" i="4"/>
  <c r="AN112" i="1"/>
  <c r="AM112" i="1"/>
  <c r="BF93" i="4"/>
  <c r="BE93" i="4"/>
  <c r="BW174" i="8"/>
  <c r="BY174" i="8" s="1"/>
  <c r="BV175" i="8" s="1"/>
  <c r="BN194" i="8"/>
  <c r="BP194" i="8" s="1"/>
  <c r="BM195" i="8" s="1"/>
  <c r="BN195" i="8" s="1"/>
  <c r="BP113" i="1"/>
  <c r="BM114" i="1" s="1"/>
  <c r="BO114" i="1" s="1"/>
  <c r="AV132" i="4"/>
  <c r="AX132" i="4" s="1"/>
  <c r="AU133" i="4" s="1"/>
  <c r="AV133" i="4" s="1"/>
  <c r="BE91" i="7"/>
  <c r="BF91" i="7"/>
  <c r="BX110" i="6"/>
  <c r="BW110" i="6"/>
  <c r="BY112" i="8"/>
  <c r="BV113" i="8" s="1"/>
  <c r="BW113" i="8" s="1"/>
  <c r="AM132" i="1"/>
  <c r="AN132" i="1"/>
  <c r="BW215" i="4"/>
  <c r="BY215" i="4" s="1"/>
  <c r="BV216" i="4" s="1"/>
  <c r="BW216" i="4" s="1"/>
  <c r="AW70" i="8"/>
  <c r="AX70" i="8" s="1"/>
  <c r="AU71" i="8" s="1"/>
  <c r="BN73" i="6"/>
  <c r="BO73" i="6"/>
  <c r="BF92" i="6"/>
  <c r="BE92" i="6"/>
  <c r="BO193" i="4"/>
  <c r="BP193" i="4" s="1"/>
  <c r="BM194" i="4" s="1"/>
  <c r="AN130" i="7"/>
  <c r="AO130" i="7" s="1"/>
  <c r="AL131" i="7" s="1"/>
  <c r="BO131" i="7"/>
  <c r="BP131" i="7" s="1"/>
  <c r="BM132" i="7" s="1"/>
  <c r="BN170" i="7"/>
  <c r="BO170" i="7"/>
  <c r="BW112" i="7"/>
  <c r="BX112" i="7"/>
  <c r="AN110" i="6"/>
  <c r="AM110" i="6"/>
  <c r="AO110" i="6" s="1"/>
  <c r="AL111" i="6" s="1"/>
  <c r="AX191" i="4"/>
  <c r="AU192" i="4" s="1"/>
  <c r="BF73" i="8"/>
  <c r="BE73" i="8"/>
  <c r="AX210" i="7"/>
  <c r="AU211" i="7" s="1"/>
  <c r="BY73" i="4"/>
  <c r="BV74" i="4" s="1"/>
  <c r="BE154" i="8"/>
  <c r="BF154" i="8"/>
  <c r="BE215" i="7"/>
  <c r="BF215" i="7"/>
  <c r="BE174" i="4"/>
  <c r="BF174" i="4"/>
  <c r="BF192" i="6"/>
  <c r="BE192" i="6"/>
  <c r="AW152" i="7"/>
  <c r="AV152" i="7"/>
  <c r="AX150" i="6"/>
  <c r="AU151" i="6" s="1"/>
  <c r="AN150" i="7"/>
  <c r="AM150" i="7"/>
  <c r="AN171" i="6"/>
  <c r="AM171" i="6"/>
  <c r="BY172" i="1"/>
  <c r="BV173" i="1" s="1"/>
  <c r="BF173" i="1"/>
  <c r="BE173" i="1"/>
  <c r="BF73" i="6"/>
  <c r="BE73" i="6"/>
  <c r="AM71" i="1"/>
  <c r="AN71" i="1"/>
  <c r="BY133" i="8"/>
  <c r="BV134" i="8" s="1"/>
  <c r="BN111" i="4"/>
  <c r="BO111" i="4"/>
  <c r="AO110" i="8"/>
  <c r="AL111" i="8" s="1"/>
  <c r="AN90" i="4"/>
  <c r="AO209" i="1"/>
  <c r="AL210" i="1" s="1"/>
  <c r="BG110" i="1"/>
  <c r="BD111" i="1" s="1"/>
  <c r="AM191" i="6"/>
  <c r="AN191" i="6"/>
  <c r="BE192" i="4"/>
  <c r="BF192" i="4"/>
  <c r="AV113" i="1" l="1"/>
  <c r="AW172" i="1"/>
  <c r="AW71" i="1"/>
  <c r="AX71" i="1" s="1"/>
  <c r="AU72" i="1" s="1"/>
  <c r="AX92" i="1"/>
  <c r="AU93" i="1" s="1"/>
  <c r="AV93" i="1" s="1"/>
  <c r="BF152" i="4"/>
  <c r="BY113" i="4"/>
  <c r="BV114" i="4" s="1"/>
  <c r="BW114" i="4" s="1"/>
  <c r="BP93" i="4"/>
  <c r="BM94" i="4" s="1"/>
  <c r="BG152" i="4"/>
  <c r="BD153" i="4" s="1"/>
  <c r="BF153" i="4" s="1"/>
  <c r="AW152" i="1"/>
  <c r="AX152" i="1" s="1"/>
  <c r="AU153" i="1" s="1"/>
  <c r="AX113" i="1"/>
  <c r="AU114" i="1" s="1"/>
  <c r="AX211" i="1"/>
  <c r="AU212" i="1" s="1"/>
  <c r="AV212" i="1" s="1"/>
  <c r="BY133" i="1"/>
  <c r="BV134" i="1" s="1"/>
  <c r="BX134" i="1" s="1"/>
  <c r="BE152" i="1"/>
  <c r="BG152" i="1" s="1"/>
  <c r="BD153" i="1" s="1"/>
  <c r="BF153" i="1" s="1"/>
  <c r="AW193" i="1"/>
  <c r="AX193" i="1" s="1"/>
  <c r="AU194" i="1" s="1"/>
  <c r="AW194" i="1" s="1"/>
  <c r="BO175" i="1"/>
  <c r="BP175" i="1" s="1"/>
  <c r="BM176" i="1" s="1"/>
  <c r="BO176" i="1" s="1"/>
  <c r="BE153" i="4"/>
  <c r="AO72" i="6"/>
  <c r="AL73" i="6" s="1"/>
  <c r="AN73" i="6" s="1"/>
  <c r="BN192" i="6"/>
  <c r="BO192" i="6"/>
  <c r="BP192" i="6" s="1"/>
  <c r="BM193" i="6" s="1"/>
  <c r="BX133" i="6"/>
  <c r="BO171" i="8"/>
  <c r="BP171" i="8" s="1"/>
  <c r="BM172" i="8" s="1"/>
  <c r="BN171" i="8"/>
  <c r="BX152" i="7"/>
  <c r="AX92" i="6"/>
  <c r="AU93" i="6" s="1"/>
  <c r="BX153" i="6"/>
  <c r="BW153" i="6"/>
  <c r="BY153" i="6" s="1"/>
  <c r="BV154" i="6" s="1"/>
  <c r="BF76" i="1"/>
  <c r="BG76" i="1" s="1"/>
  <c r="BI71" i="1" s="1"/>
  <c r="BN193" i="1"/>
  <c r="BP193" i="1" s="1"/>
  <c r="BM194" i="1" s="1"/>
  <c r="AW212" i="1"/>
  <c r="AX212" i="1" s="1"/>
  <c r="AU213" i="1" s="1"/>
  <c r="AW213" i="1" s="1"/>
  <c r="BO133" i="6"/>
  <c r="BP133" i="6" s="1"/>
  <c r="BM134" i="6" s="1"/>
  <c r="AO150" i="8"/>
  <c r="AL151" i="8" s="1"/>
  <c r="BN72" i="7"/>
  <c r="BP72" i="7" s="1"/>
  <c r="BM73" i="7" s="1"/>
  <c r="BO73" i="7" s="1"/>
  <c r="BX134" i="7"/>
  <c r="AV93" i="6"/>
  <c r="AW93" i="6"/>
  <c r="AX93" i="6" s="1"/>
  <c r="AU94" i="6" s="1"/>
  <c r="BW214" i="6"/>
  <c r="BY214" i="6" s="1"/>
  <c r="BV215" i="6" s="1"/>
  <c r="BW215" i="6" s="1"/>
  <c r="AX171" i="7"/>
  <c r="AU172" i="7" s="1"/>
  <c r="AW172" i="7" s="1"/>
  <c r="BY211" i="7"/>
  <c r="BV212" i="7" s="1"/>
  <c r="BO212" i="8"/>
  <c r="BN212" i="8"/>
  <c r="BW92" i="7"/>
  <c r="BE172" i="7"/>
  <c r="BG172" i="7" s="1"/>
  <c r="BD173" i="7" s="1"/>
  <c r="BF173" i="7" s="1"/>
  <c r="BF132" i="1"/>
  <c r="BG132" i="1" s="1"/>
  <c r="BD133" i="1" s="1"/>
  <c r="BN73" i="7"/>
  <c r="BP73" i="7" s="1"/>
  <c r="BM74" i="7" s="1"/>
  <c r="BN74" i="7" s="1"/>
  <c r="AO70" i="7"/>
  <c r="AL71" i="7" s="1"/>
  <c r="AM71" i="7" s="1"/>
  <c r="BX154" i="8"/>
  <c r="BW154" i="8"/>
  <c r="BN112" i="7"/>
  <c r="BP112" i="7" s="1"/>
  <c r="BM113" i="7" s="1"/>
  <c r="BN113" i="7" s="1"/>
  <c r="AO132" i="8"/>
  <c r="AL133" i="8" s="1"/>
  <c r="AM133" i="8" s="1"/>
  <c r="BW70" i="8"/>
  <c r="BY70" i="8" s="1"/>
  <c r="BV71" i="8" s="1"/>
  <c r="BW71" i="8" s="1"/>
  <c r="AN133" i="4"/>
  <c r="AO133" i="4" s="1"/>
  <c r="AL134" i="4" s="1"/>
  <c r="AM151" i="4"/>
  <c r="AN151" i="4"/>
  <c r="BE134" i="4"/>
  <c r="BG134" i="4" s="1"/>
  <c r="BD135" i="4" s="1"/>
  <c r="BF135" i="4" s="1"/>
  <c r="AN130" i="6"/>
  <c r="AO130" i="6" s="1"/>
  <c r="AL131" i="6" s="1"/>
  <c r="AN131" i="6" s="1"/>
  <c r="AW112" i="6"/>
  <c r="AX112" i="6" s="1"/>
  <c r="AU113" i="6" s="1"/>
  <c r="AW113" i="6" s="1"/>
  <c r="AN91" i="1"/>
  <c r="AO91" i="1" s="1"/>
  <c r="AL92" i="1" s="1"/>
  <c r="AM92" i="1" s="1"/>
  <c r="BF114" i="6"/>
  <c r="BG114" i="6" s="1"/>
  <c r="BD115" i="6" s="1"/>
  <c r="BY72" i="7"/>
  <c r="BV73" i="7" s="1"/>
  <c r="AV132" i="8"/>
  <c r="AW132" i="8"/>
  <c r="AW74" i="6"/>
  <c r="AX74" i="6" s="1"/>
  <c r="AU75" i="6" s="1"/>
  <c r="AV75" i="6" s="1"/>
  <c r="AO211" i="8"/>
  <c r="AL212" i="8" s="1"/>
  <c r="AM212" i="8" s="1"/>
  <c r="BE113" i="7"/>
  <c r="BG113" i="7" s="1"/>
  <c r="BD114" i="7" s="1"/>
  <c r="BF114" i="4"/>
  <c r="BG114" i="4" s="1"/>
  <c r="BD115" i="4" s="1"/>
  <c r="BF115" i="4" s="1"/>
  <c r="BN110" i="8"/>
  <c r="BP110" i="8" s="1"/>
  <c r="BM111" i="8" s="1"/>
  <c r="BN212" i="4"/>
  <c r="BP212" i="4" s="1"/>
  <c r="BM213" i="4" s="1"/>
  <c r="BN213" i="4" s="1"/>
  <c r="BE92" i="8"/>
  <c r="AW93" i="7"/>
  <c r="AX93" i="7" s="1"/>
  <c r="AU94" i="7" s="1"/>
  <c r="AW94" i="7" s="1"/>
  <c r="AX90" i="4"/>
  <c r="AU91" i="4" s="1"/>
  <c r="AW91" i="4" s="1"/>
  <c r="AN212" i="4"/>
  <c r="AO212" i="4" s="1"/>
  <c r="AL213" i="4" s="1"/>
  <c r="AM213" i="4" s="1"/>
  <c r="AN151" i="8"/>
  <c r="AM151" i="8"/>
  <c r="BO213" i="7"/>
  <c r="BP213" i="7" s="1"/>
  <c r="BM214" i="7" s="1"/>
  <c r="BO214" i="7" s="1"/>
  <c r="BG171" i="6"/>
  <c r="BD172" i="6" s="1"/>
  <c r="BY93" i="1"/>
  <c r="BV94" i="1" s="1"/>
  <c r="BX94" i="1" s="1"/>
  <c r="BN94" i="7"/>
  <c r="BO94" i="7"/>
  <c r="BF195" i="1"/>
  <c r="BE195" i="1"/>
  <c r="BW73" i="7"/>
  <c r="BX73" i="7"/>
  <c r="AM92" i="6"/>
  <c r="AN92" i="6"/>
  <c r="BN212" i="6"/>
  <c r="BO212" i="6"/>
  <c r="BP212" i="6" s="1"/>
  <c r="BM213" i="6" s="1"/>
  <c r="BO112" i="6"/>
  <c r="BP112" i="6" s="1"/>
  <c r="BM113" i="6" s="1"/>
  <c r="BN94" i="8"/>
  <c r="BP94" i="8" s="1"/>
  <c r="BM95" i="8" s="1"/>
  <c r="BN95" i="8" s="1"/>
  <c r="BX174" i="7"/>
  <c r="BY174" i="7" s="1"/>
  <c r="BV175" i="7" s="1"/>
  <c r="BW175" i="7" s="1"/>
  <c r="AW194" i="6"/>
  <c r="AX194" i="6" s="1"/>
  <c r="AU195" i="6" s="1"/>
  <c r="AW195" i="6" s="1"/>
  <c r="BP72" i="4"/>
  <c r="BM73" i="4" s="1"/>
  <c r="BN73" i="4" s="1"/>
  <c r="BX153" i="4"/>
  <c r="BY153" i="4" s="1"/>
  <c r="BV154" i="4" s="1"/>
  <c r="BP171" i="6"/>
  <c r="BM172" i="6" s="1"/>
  <c r="BN172" i="6" s="1"/>
  <c r="BN71" i="8"/>
  <c r="BP71" i="8" s="1"/>
  <c r="BM72" i="8" s="1"/>
  <c r="BO72" i="8" s="1"/>
  <c r="BW191" i="6"/>
  <c r="BX191" i="6"/>
  <c r="BN193" i="7"/>
  <c r="BP193" i="7" s="1"/>
  <c r="BM194" i="7" s="1"/>
  <c r="BN194" i="7" s="1"/>
  <c r="BG132" i="6"/>
  <c r="BD133" i="6" s="1"/>
  <c r="BE133" i="6" s="1"/>
  <c r="BF153" i="7"/>
  <c r="BG153" i="7" s="1"/>
  <c r="BD154" i="7" s="1"/>
  <c r="BE154" i="7" s="1"/>
  <c r="BO153" i="7"/>
  <c r="BP153" i="7" s="1"/>
  <c r="BM154" i="7" s="1"/>
  <c r="BY152" i="7"/>
  <c r="BV153" i="7" s="1"/>
  <c r="BX153" i="7" s="1"/>
  <c r="AV132" i="1"/>
  <c r="AX132" i="1" s="1"/>
  <c r="AU133" i="1" s="1"/>
  <c r="AV133" i="1" s="1"/>
  <c r="BG73" i="8"/>
  <c r="BD74" i="8" s="1"/>
  <c r="BE74" i="8" s="1"/>
  <c r="AO212" i="6"/>
  <c r="AL213" i="6" s="1"/>
  <c r="AM213" i="6" s="1"/>
  <c r="AO111" i="7"/>
  <c r="AL112" i="7" s="1"/>
  <c r="AM112" i="7" s="1"/>
  <c r="BW192" i="7"/>
  <c r="BX192" i="7"/>
  <c r="BX71" i="1"/>
  <c r="BW71" i="1"/>
  <c r="BN172" i="4"/>
  <c r="BO172" i="4"/>
  <c r="BF153" i="6"/>
  <c r="BG153" i="6" s="1"/>
  <c r="BD154" i="6" s="1"/>
  <c r="BF154" i="6" s="1"/>
  <c r="BX93" i="8"/>
  <c r="BY93" i="8" s="1"/>
  <c r="BV94" i="8" s="1"/>
  <c r="AN212" i="7"/>
  <c r="AO212" i="7" s="1"/>
  <c r="AL213" i="7" s="1"/>
  <c r="AM73" i="6"/>
  <c r="AO73" i="6" s="1"/>
  <c r="AL74" i="6" s="1"/>
  <c r="AN74" i="6" s="1"/>
  <c r="BO72" i="1"/>
  <c r="BP72" i="1" s="1"/>
  <c r="BM73" i="1" s="1"/>
  <c r="AV133" i="7"/>
  <c r="AW133" i="7"/>
  <c r="AM93" i="7"/>
  <c r="AO93" i="7" s="1"/>
  <c r="AL94" i="7" s="1"/>
  <c r="AX75" i="4"/>
  <c r="AU76" i="4" s="1"/>
  <c r="AV76" i="4" s="1"/>
  <c r="AV174" i="4"/>
  <c r="AX174" i="4" s="1"/>
  <c r="AU175" i="4" s="1"/>
  <c r="BG92" i="6"/>
  <c r="BD93" i="6" s="1"/>
  <c r="BF93" i="6" s="1"/>
  <c r="BF131" i="8"/>
  <c r="BE131" i="8"/>
  <c r="AV111" i="4"/>
  <c r="AW111" i="4"/>
  <c r="BY91" i="4"/>
  <c r="BV92" i="4" s="1"/>
  <c r="AW191" i="8"/>
  <c r="AX191" i="8" s="1"/>
  <c r="AU192" i="8" s="1"/>
  <c r="BY112" i="7"/>
  <c r="BV113" i="7" s="1"/>
  <c r="BW113" i="7" s="1"/>
  <c r="AV212" i="4"/>
  <c r="AX212" i="4" s="1"/>
  <c r="AU213" i="4" s="1"/>
  <c r="AW213" i="4" s="1"/>
  <c r="BF194" i="8"/>
  <c r="BG194" i="8" s="1"/>
  <c r="BD195" i="8" s="1"/>
  <c r="AV154" i="4"/>
  <c r="AX154" i="4" s="1"/>
  <c r="AU155" i="4" s="1"/>
  <c r="AW155" i="4" s="1"/>
  <c r="BF213" i="8"/>
  <c r="BG213" i="8" s="1"/>
  <c r="BD214" i="8" s="1"/>
  <c r="AX173" i="8"/>
  <c r="AU174" i="8" s="1"/>
  <c r="BE215" i="6"/>
  <c r="BF215" i="6"/>
  <c r="AV114" i="8"/>
  <c r="AW114" i="8"/>
  <c r="BG110" i="8"/>
  <c r="BD111" i="8" s="1"/>
  <c r="BP94" i="7"/>
  <c r="BM95" i="7" s="1"/>
  <c r="AW210" i="8"/>
  <c r="AV210" i="8"/>
  <c r="BG73" i="6"/>
  <c r="BD74" i="6" s="1"/>
  <c r="BF74" i="6" s="1"/>
  <c r="BN133" i="1"/>
  <c r="BP133" i="1" s="1"/>
  <c r="BM134" i="1" s="1"/>
  <c r="AM192" i="8"/>
  <c r="AO192" i="8" s="1"/>
  <c r="AL193" i="8" s="1"/>
  <c r="AN193" i="8" s="1"/>
  <c r="BF133" i="7"/>
  <c r="BG133" i="7" s="1"/>
  <c r="BD134" i="7" s="1"/>
  <c r="BY192" i="8"/>
  <c r="BV193" i="8" s="1"/>
  <c r="BW193" i="8" s="1"/>
  <c r="BF192" i="7"/>
  <c r="BG192" i="7" s="1"/>
  <c r="BD193" i="7" s="1"/>
  <c r="AN193" i="4"/>
  <c r="AO193" i="4" s="1"/>
  <c r="AL194" i="4" s="1"/>
  <c r="AM194" i="4" s="1"/>
  <c r="BX93" i="6"/>
  <c r="BY93" i="6" s="1"/>
  <c r="BV94" i="6" s="1"/>
  <c r="BW94" i="6" s="1"/>
  <c r="BG211" i="1"/>
  <c r="BD212" i="1" s="1"/>
  <c r="BE212" i="1" s="1"/>
  <c r="BO91" i="6"/>
  <c r="BP91" i="6" s="1"/>
  <c r="BM92" i="6" s="1"/>
  <c r="AW95" i="8"/>
  <c r="AX95" i="8" s="1"/>
  <c r="AU96" i="8" s="1"/>
  <c r="AV96" i="8" s="1"/>
  <c r="BO154" i="1"/>
  <c r="BP154" i="1" s="1"/>
  <c r="BM155" i="1" s="1"/>
  <c r="BX215" i="8"/>
  <c r="BY215" i="8" s="1"/>
  <c r="BV216" i="8" s="1"/>
  <c r="BX216" i="8" s="1"/>
  <c r="AV194" i="7"/>
  <c r="AX194" i="7" s="1"/>
  <c r="AU195" i="7" s="1"/>
  <c r="AV195" i="7" s="1"/>
  <c r="BP133" i="4"/>
  <c r="BM134" i="4" s="1"/>
  <c r="BO134" i="4" s="1"/>
  <c r="BO92" i="1"/>
  <c r="BN92" i="1"/>
  <c r="BG92" i="8"/>
  <c r="BD93" i="8" s="1"/>
  <c r="AW214" i="6"/>
  <c r="AV214" i="6"/>
  <c r="AM152" i="1"/>
  <c r="AN152" i="1"/>
  <c r="AV151" i="8"/>
  <c r="AX151" i="8" s="1"/>
  <c r="AU152" i="8" s="1"/>
  <c r="AV152" i="8" s="1"/>
  <c r="BO195" i="8"/>
  <c r="BP195" i="8" s="1"/>
  <c r="BM196" i="8" s="1"/>
  <c r="BO196" i="8" s="1"/>
  <c r="AX152" i="7"/>
  <c r="AU153" i="7" s="1"/>
  <c r="AW153" i="7" s="1"/>
  <c r="BY71" i="6"/>
  <c r="BV72" i="6" s="1"/>
  <c r="BW72" i="6" s="1"/>
  <c r="BX214" i="1"/>
  <c r="BW214" i="1"/>
  <c r="AO92" i="8"/>
  <c r="AL93" i="8" s="1"/>
  <c r="AM113" i="4"/>
  <c r="AO113" i="4" s="1"/>
  <c r="AL114" i="4" s="1"/>
  <c r="AN114" i="4" s="1"/>
  <c r="BF72" i="4"/>
  <c r="BG72" i="4" s="1"/>
  <c r="BD73" i="4" s="1"/>
  <c r="AV173" i="6"/>
  <c r="AX173" i="6" s="1"/>
  <c r="AU174" i="6" s="1"/>
  <c r="AW174" i="6" s="1"/>
  <c r="BY175" i="6"/>
  <c r="BV176" i="6" s="1"/>
  <c r="BX176" i="6" s="1"/>
  <c r="BO214" i="1"/>
  <c r="BN214" i="1"/>
  <c r="BN134" i="6"/>
  <c r="BO134" i="6"/>
  <c r="AO150" i="7"/>
  <c r="AL151" i="7" s="1"/>
  <c r="AM151" i="7" s="1"/>
  <c r="AN171" i="4"/>
  <c r="AO171" i="4" s="1"/>
  <c r="AL172" i="4" s="1"/>
  <c r="BE73" i="7"/>
  <c r="BF73" i="7"/>
  <c r="BW192" i="4"/>
  <c r="BX192" i="4"/>
  <c r="BP131" i="8"/>
  <c r="BM132" i="8" s="1"/>
  <c r="BG92" i="1"/>
  <c r="BD93" i="1" s="1"/>
  <c r="BP111" i="4"/>
  <c r="BM112" i="4" s="1"/>
  <c r="BN112" i="4" s="1"/>
  <c r="BG192" i="6"/>
  <c r="BD193" i="6" s="1"/>
  <c r="BF193" i="6" s="1"/>
  <c r="AN173" i="1"/>
  <c r="AO173" i="1" s="1"/>
  <c r="AL174" i="1" s="1"/>
  <c r="BG93" i="4"/>
  <c r="BD94" i="4" s="1"/>
  <c r="BE94" i="4" s="1"/>
  <c r="BY92" i="7"/>
  <c r="BV93" i="7" s="1"/>
  <c r="BW173" i="4"/>
  <c r="BX173" i="4"/>
  <c r="BE172" i="6"/>
  <c r="BF172" i="6"/>
  <c r="BN94" i="4"/>
  <c r="BO94" i="4"/>
  <c r="BN150" i="6"/>
  <c r="BO150" i="6"/>
  <c r="BF172" i="8"/>
  <c r="BE172" i="8"/>
  <c r="AX172" i="1"/>
  <c r="AU173" i="1" s="1"/>
  <c r="BX113" i="8"/>
  <c r="BY113" i="8" s="1"/>
  <c r="BV114" i="8" s="1"/>
  <c r="BP170" i="7"/>
  <c r="BM171" i="7" s="1"/>
  <c r="BN171" i="7" s="1"/>
  <c r="BN153" i="4"/>
  <c r="BO153" i="4"/>
  <c r="AO170" i="8"/>
  <c r="AL171" i="8" s="1"/>
  <c r="BY113" i="1"/>
  <c r="BV114" i="1" s="1"/>
  <c r="BO194" i="4"/>
  <c r="BN194" i="4"/>
  <c r="BW175" i="8"/>
  <c r="BX175" i="8"/>
  <c r="AN111" i="6"/>
  <c r="AM111" i="6"/>
  <c r="BW216" i="8"/>
  <c r="AW71" i="8"/>
  <c r="AV71" i="8"/>
  <c r="BY134" i="7"/>
  <c r="BV135" i="7" s="1"/>
  <c r="BX135" i="7" s="1"/>
  <c r="BG174" i="4"/>
  <c r="BD175" i="4" s="1"/>
  <c r="BF175" i="4" s="1"/>
  <c r="AV112" i="7"/>
  <c r="AW112" i="7"/>
  <c r="BX216" i="4"/>
  <c r="BY216" i="4" s="1"/>
  <c r="CA210" i="4" s="1"/>
  <c r="BG192" i="4"/>
  <c r="BD193" i="4" s="1"/>
  <c r="BF193" i="4" s="1"/>
  <c r="BW74" i="4"/>
  <c r="BX74" i="4"/>
  <c r="BE213" i="4"/>
  <c r="BF213" i="4"/>
  <c r="AV211" i="7"/>
  <c r="AW211" i="7"/>
  <c r="AO171" i="6"/>
  <c r="AL172" i="6" s="1"/>
  <c r="AM172" i="6" s="1"/>
  <c r="BY133" i="6"/>
  <c r="BV134" i="6" s="1"/>
  <c r="AW192" i="4"/>
  <c r="AV192" i="4"/>
  <c r="BP73" i="6"/>
  <c r="BM74" i="6" s="1"/>
  <c r="AO112" i="1"/>
  <c r="AL113" i="1" s="1"/>
  <c r="AO132" i="1"/>
  <c r="AL133" i="1" s="1"/>
  <c r="AW133" i="4"/>
  <c r="AX133" i="4" s="1"/>
  <c r="AU134" i="4" s="1"/>
  <c r="BN114" i="1"/>
  <c r="BP114" i="1" s="1"/>
  <c r="BM115" i="1" s="1"/>
  <c r="BW194" i="1"/>
  <c r="BX194" i="1"/>
  <c r="BN154" i="8"/>
  <c r="BO154" i="8"/>
  <c r="BG91" i="7"/>
  <c r="BD92" i="7" s="1"/>
  <c r="BY110" i="6"/>
  <c r="BV111" i="6" s="1"/>
  <c r="BX152" i="1"/>
  <c r="BW152" i="1"/>
  <c r="AO72" i="4"/>
  <c r="AL73" i="4" s="1"/>
  <c r="BN214" i="7"/>
  <c r="AN111" i="8"/>
  <c r="AM111" i="8"/>
  <c r="BX134" i="8"/>
  <c r="BW134" i="8"/>
  <c r="AM191" i="7"/>
  <c r="AN191" i="7"/>
  <c r="AN152" i="6"/>
  <c r="AM152" i="6"/>
  <c r="AM71" i="8"/>
  <c r="AN71" i="8"/>
  <c r="BN132" i="7"/>
  <c r="BO132" i="7"/>
  <c r="AV72" i="7"/>
  <c r="AW72" i="7"/>
  <c r="AW131" i="6"/>
  <c r="AV131" i="6"/>
  <c r="BX133" i="4"/>
  <c r="BW133" i="4"/>
  <c r="AO71" i="1"/>
  <c r="AL72" i="1" s="1"/>
  <c r="BG173" i="1"/>
  <c r="BD174" i="1" s="1"/>
  <c r="AN71" i="7"/>
  <c r="AM171" i="7"/>
  <c r="AN171" i="7"/>
  <c r="AO191" i="6"/>
  <c r="AL192" i="6" s="1"/>
  <c r="BG154" i="8"/>
  <c r="BD155" i="8" s="1"/>
  <c r="AM210" i="1"/>
  <c r="AN210" i="1"/>
  <c r="AV151" i="6"/>
  <c r="AW151" i="6"/>
  <c r="AN195" i="1"/>
  <c r="AO195" i="1" s="1"/>
  <c r="AL196" i="1" s="1"/>
  <c r="AM196" i="1" s="1"/>
  <c r="AN131" i="7"/>
  <c r="AM131" i="7"/>
  <c r="BX173" i="1"/>
  <c r="BW173" i="1"/>
  <c r="BG215" i="7"/>
  <c r="BD216" i="7" s="1"/>
  <c r="BE111" i="1"/>
  <c r="BF111" i="1"/>
  <c r="AO90" i="4"/>
  <c r="AL91" i="4" s="1"/>
  <c r="AO92" i="6"/>
  <c r="AL93" i="6" s="1"/>
  <c r="AW93" i="1" l="1"/>
  <c r="AX93" i="1" s="1"/>
  <c r="AU94" i="1" s="1"/>
  <c r="AV94" i="1" s="1"/>
  <c r="AV72" i="1"/>
  <c r="AW72" i="1"/>
  <c r="AX72" i="1" s="1"/>
  <c r="AU73" i="1" s="1"/>
  <c r="AW94" i="1"/>
  <c r="BG153" i="4"/>
  <c r="BD154" i="4" s="1"/>
  <c r="BE154" i="4" s="1"/>
  <c r="BX114" i="4"/>
  <c r="BO73" i="4"/>
  <c r="BP73" i="4" s="1"/>
  <c r="BM74" i="4" s="1"/>
  <c r="AV153" i="1"/>
  <c r="AX153" i="1" s="1"/>
  <c r="AU154" i="1" s="1"/>
  <c r="AV154" i="1" s="1"/>
  <c r="AW153" i="1"/>
  <c r="BE153" i="1"/>
  <c r="BG153" i="1" s="1"/>
  <c r="BD154" i="1" s="1"/>
  <c r="BW134" i="1"/>
  <c r="BY134" i="1" s="1"/>
  <c r="BV135" i="1" s="1"/>
  <c r="BW135" i="1" s="1"/>
  <c r="AV114" i="1"/>
  <c r="AW114" i="1"/>
  <c r="BW94" i="1"/>
  <c r="BO194" i="1"/>
  <c r="BN194" i="1"/>
  <c r="BO172" i="8"/>
  <c r="BN172" i="8"/>
  <c r="BE173" i="7"/>
  <c r="BO74" i="7"/>
  <c r="BP74" i="7" s="1"/>
  <c r="BM75" i="7" s="1"/>
  <c r="AX210" i="8"/>
  <c r="AU211" i="8" s="1"/>
  <c r="AV211" i="8" s="1"/>
  <c r="BG195" i="1"/>
  <c r="BD196" i="1" s="1"/>
  <c r="BE196" i="1" s="1"/>
  <c r="BI70" i="1"/>
  <c r="AV91" i="4"/>
  <c r="AX91" i="4" s="1"/>
  <c r="AU92" i="4" s="1"/>
  <c r="BW153" i="7"/>
  <c r="AV194" i="1"/>
  <c r="AX194" i="1" s="1"/>
  <c r="AU195" i="1" s="1"/>
  <c r="BY114" i="4"/>
  <c r="BV115" i="4" s="1"/>
  <c r="BX115" i="4" s="1"/>
  <c r="BN193" i="6"/>
  <c r="BO193" i="6"/>
  <c r="BP193" i="6" s="1"/>
  <c r="BM194" i="6" s="1"/>
  <c r="BX154" i="6"/>
  <c r="BW154" i="6"/>
  <c r="BY154" i="6" s="1"/>
  <c r="BV155" i="6" s="1"/>
  <c r="AN172" i="6"/>
  <c r="BX215" i="6"/>
  <c r="BY215" i="6" s="1"/>
  <c r="BV216" i="6" s="1"/>
  <c r="BX216" i="6" s="1"/>
  <c r="AN213" i="4"/>
  <c r="AO213" i="4" s="1"/>
  <c r="AL214" i="4" s="1"/>
  <c r="AV172" i="7"/>
  <c r="AX172" i="7" s="1"/>
  <c r="AU173" i="7" s="1"/>
  <c r="AO151" i="8"/>
  <c r="AL152" i="8" s="1"/>
  <c r="BP212" i="8"/>
  <c r="BM213" i="8" s="1"/>
  <c r="AN213" i="6"/>
  <c r="AV94" i="6"/>
  <c r="AW94" i="6"/>
  <c r="BG131" i="8"/>
  <c r="BD132" i="8" s="1"/>
  <c r="BF132" i="8" s="1"/>
  <c r="AN212" i="8"/>
  <c r="AO212" i="8" s="1"/>
  <c r="AL213" i="8" s="1"/>
  <c r="AV153" i="7"/>
  <c r="AV113" i="6"/>
  <c r="AX113" i="6" s="1"/>
  <c r="AU114" i="6" s="1"/>
  <c r="AW114" i="6" s="1"/>
  <c r="AV94" i="7"/>
  <c r="AX94" i="7" s="1"/>
  <c r="AU95" i="7" s="1"/>
  <c r="AX132" i="8"/>
  <c r="AU133" i="8" s="1"/>
  <c r="AV133" i="8" s="1"/>
  <c r="BX212" i="7"/>
  <c r="BW212" i="7"/>
  <c r="AN133" i="8"/>
  <c r="AO133" i="8" s="1"/>
  <c r="AL134" i="8" s="1"/>
  <c r="AM134" i="8" s="1"/>
  <c r="BY71" i="1"/>
  <c r="BV72" i="1" s="1"/>
  <c r="BW72" i="1" s="1"/>
  <c r="BO73" i="1"/>
  <c r="BN73" i="1"/>
  <c r="AN152" i="8"/>
  <c r="AM152" i="8"/>
  <c r="BF115" i="6"/>
  <c r="BE115" i="6"/>
  <c r="BG115" i="6"/>
  <c r="BD116" i="6" s="1"/>
  <c r="BF116" i="6" s="1"/>
  <c r="AM134" i="4"/>
  <c r="AN134" i="4"/>
  <c r="AO213" i="6"/>
  <c r="AL214" i="6" s="1"/>
  <c r="BO111" i="8"/>
  <c r="BN111" i="8"/>
  <c r="BO213" i="4"/>
  <c r="BP213" i="4" s="1"/>
  <c r="BM214" i="4" s="1"/>
  <c r="BO214" i="4" s="1"/>
  <c r="BO112" i="4"/>
  <c r="BP112" i="4" s="1"/>
  <c r="BM113" i="4" s="1"/>
  <c r="BN113" i="4" s="1"/>
  <c r="BO95" i="8"/>
  <c r="BY154" i="8"/>
  <c r="BV155" i="8" s="1"/>
  <c r="AN112" i="7"/>
  <c r="AO112" i="7" s="1"/>
  <c r="AL113" i="7" s="1"/>
  <c r="BY73" i="7"/>
  <c r="BV74" i="7" s="1"/>
  <c r="BW74" i="7" s="1"/>
  <c r="BP172" i="4"/>
  <c r="BM173" i="4" s="1"/>
  <c r="BN173" i="4" s="1"/>
  <c r="BE115" i="4"/>
  <c r="BG115" i="4" s="1"/>
  <c r="BD116" i="4" s="1"/>
  <c r="BF116" i="4" s="1"/>
  <c r="BP134" i="6"/>
  <c r="BM135" i="6" s="1"/>
  <c r="BO135" i="6" s="1"/>
  <c r="AW75" i="6"/>
  <c r="AX75" i="6" s="1"/>
  <c r="AU76" i="6" s="1"/>
  <c r="AV76" i="6" s="1"/>
  <c r="BF154" i="7"/>
  <c r="BG154" i="7" s="1"/>
  <c r="BD155" i="7" s="1"/>
  <c r="BE93" i="6"/>
  <c r="BG93" i="6" s="1"/>
  <c r="BD94" i="6" s="1"/>
  <c r="BE94" i="6" s="1"/>
  <c r="AX71" i="8"/>
  <c r="AU72" i="8" s="1"/>
  <c r="AO151" i="4"/>
  <c r="AL152" i="4" s="1"/>
  <c r="BY191" i="6"/>
  <c r="BV192" i="6" s="1"/>
  <c r="BX192" i="6" s="1"/>
  <c r="AX114" i="8"/>
  <c r="AU115" i="8" s="1"/>
  <c r="AV115" i="8" s="1"/>
  <c r="AM131" i="6"/>
  <c r="AO131" i="6" s="1"/>
  <c r="AL132" i="6" s="1"/>
  <c r="BE74" i="6"/>
  <c r="AV195" i="6"/>
  <c r="BO194" i="7"/>
  <c r="BP194" i="7" s="1"/>
  <c r="BM195" i="7" s="1"/>
  <c r="BN195" i="7" s="1"/>
  <c r="BF74" i="8"/>
  <c r="BG74" i="8" s="1"/>
  <c r="BD75" i="8" s="1"/>
  <c r="BF75" i="8" s="1"/>
  <c r="BX71" i="8"/>
  <c r="BY71" i="8" s="1"/>
  <c r="BV72" i="8" s="1"/>
  <c r="BX72" i="8" s="1"/>
  <c r="AX192" i="4"/>
  <c r="AU193" i="4" s="1"/>
  <c r="AW193" i="4" s="1"/>
  <c r="AN92" i="1"/>
  <c r="AO92" i="1" s="1"/>
  <c r="AL93" i="1" s="1"/>
  <c r="AM93" i="1" s="1"/>
  <c r="AX133" i="7"/>
  <c r="AU134" i="7" s="1"/>
  <c r="AV134" i="7" s="1"/>
  <c r="BE133" i="1"/>
  <c r="BF133" i="1"/>
  <c r="BO172" i="6"/>
  <c r="BP172" i="6" s="1"/>
  <c r="BM173" i="6" s="1"/>
  <c r="AN194" i="4"/>
  <c r="AO194" i="4" s="1"/>
  <c r="AL195" i="4" s="1"/>
  <c r="BN134" i="4"/>
  <c r="BP134" i="4" s="1"/>
  <c r="BM135" i="4" s="1"/>
  <c r="BN135" i="4" s="1"/>
  <c r="BF133" i="6"/>
  <c r="BG133" i="6" s="1"/>
  <c r="BD134" i="6" s="1"/>
  <c r="BY192" i="7"/>
  <c r="BV193" i="7" s="1"/>
  <c r="AO71" i="8"/>
  <c r="AL72" i="8" s="1"/>
  <c r="AM72" i="8" s="1"/>
  <c r="BG172" i="8"/>
  <c r="BD173" i="8" s="1"/>
  <c r="BE173" i="8" s="1"/>
  <c r="AX214" i="6"/>
  <c r="AU215" i="6" s="1"/>
  <c r="AV215" i="6" s="1"/>
  <c r="BP92" i="1"/>
  <c r="BM93" i="1" s="1"/>
  <c r="BO93" i="1" s="1"/>
  <c r="AW175" i="4"/>
  <c r="AV175" i="4"/>
  <c r="AN214" i="6"/>
  <c r="AM214" i="6"/>
  <c r="AN94" i="7"/>
  <c r="AM94" i="7"/>
  <c r="AM213" i="7"/>
  <c r="AN213" i="7"/>
  <c r="AV192" i="8"/>
  <c r="AW192" i="8"/>
  <c r="BX113" i="7"/>
  <c r="BY113" i="7" s="1"/>
  <c r="BV114" i="7" s="1"/>
  <c r="BX114" i="7" s="1"/>
  <c r="AX111" i="4"/>
  <c r="AU112" i="4" s="1"/>
  <c r="BY192" i="4"/>
  <c r="BV193" i="4" s="1"/>
  <c r="BW193" i="4" s="1"/>
  <c r="BF212" i="1"/>
  <c r="BG212" i="1" s="1"/>
  <c r="BD213" i="1" s="1"/>
  <c r="AV213" i="4"/>
  <c r="AX213" i="4" s="1"/>
  <c r="AU214" i="4" s="1"/>
  <c r="AW134" i="7"/>
  <c r="AW76" i="4"/>
  <c r="AX76" i="4" s="1"/>
  <c r="AZ71" i="4" s="1"/>
  <c r="AM193" i="8"/>
  <c r="BN72" i="8"/>
  <c r="BP72" i="8" s="1"/>
  <c r="BM73" i="8" s="1"/>
  <c r="AO152" i="1"/>
  <c r="AL153" i="1" s="1"/>
  <c r="AV174" i="8"/>
  <c r="AW174" i="8"/>
  <c r="AO111" i="6"/>
  <c r="AL112" i="6" s="1"/>
  <c r="AN112" i="6" s="1"/>
  <c r="BY214" i="1"/>
  <c r="BV215" i="1" s="1"/>
  <c r="BX215" i="1" s="1"/>
  <c r="BX92" i="4"/>
  <c r="BW92" i="4"/>
  <c r="BG173" i="7"/>
  <c r="BD174" i="7" s="1"/>
  <c r="BF193" i="7"/>
  <c r="BE193" i="7"/>
  <c r="BX175" i="7"/>
  <c r="BY175" i="7" s="1"/>
  <c r="BV176" i="7" s="1"/>
  <c r="BW176" i="7" s="1"/>
  <c r="AV114" i="6"/>
  <c r="AX114" i="6" s="1"/>
  <c r="AU115" i="6" s="1"/>
  <c r="AW115" i="6" s="1"/>
  <c r="AN151" i="7"/>
  <c r="AO151" i="7" s="1"/>
  <c r="AL152" i="7" s="1"/>
  <c r="AN152" i="7" s="1"/>
  <c r="BF93" i="8"/>
  <c r="BE93" i="8"/>
  <c r="BE111" i="8"/>
  <c r="BF111" i="8"/>
  <c r="BE134" i="6"/>
  <c r="BF134" i="6"/>
  <c r="AV155" i="4"/>
  <c r="AX155" i="4" s="1"/>
  <c r="AU156" i="4" s="1"/>
  <c r="AW156" i="4" s="1"/>
  <c r="BG215" i="6"/>
  <c r="BD216" i="6" s="1"/>
  <c r="BY133" i="4"/>
  <c r="BV134" i="4" s="1"/>
  <c r="BW134" i="4" s="1"/>
  <c r="BX193" i="8"/>
  <c r="BY193" i="8" s="1"/>
  <c r="BV194" i="8" s="1"/>
  <c r="AV213" i="1"/>
  <c r="AX213" i="1" s="1"/>
  <c r="AU214" i="1" s="1"/>
  <c r="BG73" i="7"/>
  <c r="BD74" i="7" s="1"/>
  <c r="BF74" i="7" s="1"/>
  <c r="BP214" i="1"/>
  <c r="BM215" i="1" s="1"/>
  <c r="BN215" i="1" s="1"/>
  <c r="BE135" i="4"/>
  <c r="BG135" i="4" s="1"/>
  <c r="BD136" i="4" s="1"/>
  <c r="BE136" i="4" s="1"/>
  <c r="BN154" i="7"/>
  <c r="BO154" i="7"/>
  <c r="AW195" i="7"/>
  <c r="AX195" i="7" s="1"/>
  <c r="AU196" i="7" s="1"/>
  <c r="AW196" i="7" s="1"/>
  <c r="BW176" i="6"/>
  <c r="BY176" i="6" s="1"/>
  <c r="BX72" i="6"/>
  <c r="BY72" i="6" s="1"/>
  <c r="BV73" i="6" s="1"/>
  <c r="BX154" i="4"/>
  <c r="BW154" i="4"/>
  <c r="BE193" i="6"/>
  <c r="BG193" i="6" s="1"/>
  <c r="BD194" i="6" s="1"/>
  <c r="BE194" i="6" s="1"/>
  <c r="BY173" i="4"/>
  <c r="BV174" i="4" s="1"/>
  <c r="BX174" i="4" s="1"/>
  <c r="BN95" i="7"/>
  <c r="BO95" i="7"/>
  <c r="AN93" i="8"/>
  <c r="AM93" i="8"/>
  <c r="BY175" i="8"/>
  <c r="BV176" i="8" s="1"/>
  <c r="BX176" i="8" s="1"/>
  <c r="BO113" i="7"/>
  <c r="BP113" i="7" s="1"/>
  <c r="BM114" i="7" s="1"/>
  <c r="AX131" i="6"/>
  <c r="AU132" i="6" s="1"/>
  <c r="AW132" i="6" s="1"/>
  <c r="BX94" i="6"/>
  <c r="BY94" i="6" s="1"/>
  <c r="BV95" i="6" s="1"/>
  <c r="AM114" i="4"/>
  <c r="AO114" i="4" s="1"/>
  <c r="AL115" i="4" s="1"/>
  <c r="AM115" i="4" s="1"/>
  <c r="AW152" i="8"/>
  <c r="AX152" i="8" s="1"/>
  <c r="AU153" i="8" s="1"/>
  <c r="BP94" i="4"/>
  <c r="BM95" i="4" s="1"/>
  <c r="BO95" i="4" s="1"/>
  <c r="AX94" i="1"/>
  <c r="AU95" i="1" s="1"/>
  <c r="AW95" i="1" s="1"/>
  <c r="AM74" i="6"/>
  <c r="AO74" i="6" s="1"/>
  <c r="AL75" i="6" s="1"/>
  <c r="BO171" i="7"/>
  <c r="BP171" i="7" s="1"/>
  <c r="BM172" i="7" s="1"/>
  <c r="AX211" i="7"/>
  <c r="AU212" i="7" s="1"/>
  <c r="AV212" i="7" s="1"/>
  <c r="BY74" i="4"/>
  <c r="BV75" i="4" s="1"/>
  <c r="BW75" i="4" s="1"/>
  <c r="BP194" i="4"/>
  <c r="BM195" i="4" s="1"/>
  <c r="BN195" i="4" s="1"/>
  <c r="BN176" i="1"/>
  <c r="BP176" i="1" s="1"/>
  <c r="AO152" i="8"/>
  <c r="AL153" i="8" s="1"/>
  <c r="AO172" i="6"/>
  <c r="AL173" i="6" s="1"/>
  <c r="AN173" i="6" s="1"/>
  <c r="BP150" i="6"/>
  <c r="BM151" i="6" s="1"/>
  <c r="BN151" i="6" s="1"/>
  <c r="BG111" i="1"/>
  <c r="BD112" i="1" s="1"/>
  <c r="BF112" i="1" s="1"/>
  <c r="AM174" i="1"/>
  <c r="AN174" i="1"/>
  <c r="BE116" i="4"/>
  <c r="AM172" i="4"/>
  <c r="AN172" i="4"/>
  <c r="BX114" i="8"/>
  <c r="BW114" i="8"/>
  <c r="AV174" i="6"/>
  <c r="AX174" i="6" s="1"/>
  <c r="AU175" i="6" s="1"/>
  <c r="AO171" i="7"/>
  <c r="AL172" i="7" s="1"/>
  <c r="AN172" i="7" s="1"/>
  <c r="BE154" i="6"/>
  <c r="BG154" i="6" s="1"/>
  <c r="BD155" i="6" s="1"/>
  <c r="BF94" i="4"/>
  <c r="BG94" i="4" s="1"/>
  <c r="BD95" i="4" s="1"/>
  <c r="BN92" i="6"/>
  <c r="BO92" i="6"/>
  <c r="BF134" i="7"/>
  <c r="BE134" i="7"/>
  <c r="BX93" i="7"/>
  <c r="BW93" i="7"/>
  <c r="AO71" i="7"/>
  <c r="AL72" i="7" s="1"/>
  <c r="AM72" i="7" s="1"/>
  <c r="AO94" i="7"/>
  <c r="AL95" i="7" s="1"/>
  <c r="AM95" i="7" s="1"/>
  <c r="BY134" i="8"/>
  <c r="BV135" i="8" s="1"/>
  <c r="BX135" i="8" s="1"/>
  <c r="BY152" i="1"/>
  <c r="BV153" i="1" s="1"/>
  <c r="BW153" i="1" s="1"/>
  <c r="BX114" i="1"/>
  <c r="BW114" i="1"/>
  <c r="BO132" i="8"/>
  <c r="BN132" i="8"/>
  <c r="BN113" i="6"/>
  <c r="BO113" i="6"/>
  <c r="BP95" i="8"/>
  <c r="BM96" i="8" s="1"/>
  <c r="AV173" i="1"/>
  <c r="AW173" i="1"/>
  <c r="BG172" i="6"/>
  <c r="BD173" i="6" s="1"/>
  <c r="BW135" i="7"/>
  <c r="BY135" i="7" s="1"/>
  <c r="BV136" i="7" s="1"/>
  <c r="BW136" i="7" s="1"/>
  <c r="AW96" i="8"/>
  <c r="BN196" i="8"/>
  <c r="BP196" i="8" s="1"/>
  <c r="BE175" i="4"/>
  <c r="BG175" i="4" s="1"/>
  <c r="BD176" i="4" s="1"/>
  <c r="BF176" i="4" s="1"/>
  <c r="BE193" i="4"/>
  <c r="BG193" i="4" s="1"/>
  <c r="BD194" i="4" s="1"/>
  <c r="BF194" i="4" s="1"/>
  <c r="BY216" i="8"/>
  <c r="CA210" i="8" s="1"/>
  <c r="BF93" i="1"/>
  <c r="BE93" i="1"/>
  <c r="BE214" i="8"/>
  <c r="BF214" i="8"/>
  <c r="BN134" i="1"/>
  <c r="BO134" i="1"/>
  <c r="AM171" i="8"/>
  <c r="AN171" i="8"/>
  <c r="BG74" i="6"/>
  <c r="BD75" i="6" s="1"/>
  <c r="BE75" i="6" s="1"/>
  <c r="BP153" i="4"/>
  <c r="BM154" i="4" s="1"/>
  <c r="BF114" i="7"/>
  <c r="BE114" i="7"/>
  <c r="BN115" i="1"/>
  <c r="BO115" i="1"/>
  <c r="AM113" i="1"/>
  <c r="AN113" i="1"/>
  <c r="BX135" i="1"/>
  <c r="BY153" i="7"/>
  <c r="BV154" i="7" s="1"/>
  <c r="BX154" i="7" s="1"/>
  <c r="BF92" i="7"/>
  <c r="BE92" i="7"/>
  <c r="AO193" i="8"/>
  <c r="AL194" i="8" s="1"/>
  <c r="AN194" i="8" s="1"/>
  <c r="BX134" i="6"/>
  <c r="BW134" i="6"/>
  <c r="AX151" i="6"/>
  <c r="AU152" i="6" s="1"/>
  <c r="AV152" i="6" s="1"/>
  <c r="AX112" i="7"/>
  <c r="AU113" i="7" s="1"/>
  <c r="AO152" i="6"/>
  <c r="AL153" i="6" s="1"/>
  <c r="AN153" i="6" s="1"/>
  <c r="BY173" i="1"/>
  <c r="BV174" i="1" s="1"/>
  <c r="BX174" i="1" s="1"/>
  <c r="BN155" i="1"/>
  <c r="AW133" i="1"/>
  <c r="AX133" i="1" s="1"/>
  <c r="AU134" i="1" s="1"/>
  <c r="AV134" i="1" s="1"/>
  <c r="BW111" i="6"/>
  <c r="BX111" i="6"/>
  <c r="BE73" i="4"/>
  <c r="BF73" i="4"/>
  <c r="BW94" i="8"/>
  <c r="BX94" i="8"/>
  <c r="AN73" i="4"/>
  <c r="AM73" i="4"/>
  <c r="BP154" i="8"/>
  <c r="BM155" i="8" s="1"/>
  <c r="BN74" i="6"/>
  <c r="BO74" i="6"/>
  <c r="BG213" i="4"/>
  <c r="BD214" i="4" s="1"/>
  <c r="AX72" i="7"/>
  <c r="AU73" i="7" s="1"/>
  <c r="AW73" i="7" s="1"/>
  <c r="AX195" i="6"/>
  <c r="AU196" i="6" s="1"/>
  <c r="AW196" i="6" s="1"/>
  <c r="BO155" i="1"/>
  <c r="BN213" i="6"/>
  <c r="BO213" i="6"/>
  <c r="BP214" i="7"/>
  <c r="BM215" i="7" s="1"/>
  <c r="BO215" i="7" s="1"/>
  <c r="BY94" i="1"/>
  <c r="BV95" i="1" s="1"/>
  <c r="BY194" i="1"/>
  <c r="BV195" i="1" s="1"/>
  <c r="AM133" i="1"/>
  <c r="AN133" i="1"/>
  <c r="BE195" i="8"/>
  <c r="BF195" i="8"/>
  <c r="AM192" i="6"/>
  <c r="AN192" i="6"/>
  <c r="BE174" i="1"/>
  <c r="BF174" i="1"/>
  <c r="AO210" i="1"/>
  <c r="AL211" i="1" s="1"/>
  <c r="BF216" i="7"/>
  <c r="BE216" i="7"/>
  <c r="BN135" i="6"/>
  <c r="BP135" i="6" s="1"/>
  <c r="BM136" i="6" s="1"/>
  <c r="BN136" i="6" s="1"/>
  <c r="AN196" i="1"/>
  <c r="AO196" i="1" s="1"/>
  <c r="AN91" i="4"/>
  <c r="AM91" i="4"/>
  <c r="AW95" i="7"/>
  <c r="AV95" i="7"/>
  <c r="AM93" i="6"/>
  <c r="AN93" i="6"/>
  <c r="BE155" i="8"/>
  <c r="BF155" i="8"/>
  <c r="AO111" i="8"/>
  <c r="AL112" i="8" s="1"/>
  <c r="AM72" i="1"/>
  <c r="AN72" i="1"/>
  <c r="BP132" i="7"/>
  <c r="BM133" i="7" s="1"/>
  <c r="AV134" i="4"/>
  <c r="AW134" i="4"/>
  <c r="AX96" i="8"/>
  <c r="AZ90" i="8" s="1"/>
  <c r="AX153" i="7"/>
  <c r="AU154" i="7" s="1"/>
  <c r="AO131" i="7"/>
  <c r="AL132" i="7" s="1"/>
  <c r="AO191" i="7"/>
  <c r="AL192" i="7" s="1"/>
  <c r="AW72" i="8"/>
  <c r="AV72" i="8"/>
  <c r="AW73" i="1" l="1"/>
  <c r="AX73" i="1" s="1"/>
  <c r="AU74" i="1" s="1"/>
  <c r="AV73" i="1"/>
  <c r="AX114" i="1"/>
  <c r="AU115" i="1" s="1"/>
  <c r="AV115" i="1" s="1"/>
  <c r="BF154" i="4"/>
  <c r="BG154" i="4" s="1"/>
  <c r="BD155" i="4" s="1"/>
  <c r="BE155" i="4" s="1"/>
  <c r="BP194" i="1"/>
  <c r="BM195" i="1" s="1"/>
  <c r="BN195" i="1" s="1"/>
  <c r="BE154" i="1"/>
  <c r="BF154" i="1"/>
  <c r="BG154" i="1" s="1"/>
  <c r="BD155" i="1" s="1"/>
  <c r="AW154" i="1"/>
  <c r="AX154" i="1" s="1"/>
  <c r="AU155" i="1" s="1"/>
  <c r="AW155" i="1" s="1"/>
  <c r="BF196" i="1"/>
  <c r="BG196" i="1" s="1"/>
  <c r="BI191" i="1" s="1"/>
  <c r="AW115" i="1"/>
  <c r="BP73" i="1"/>
  <c r="BM74" i="1" s="1"/>
  <c r="BN74" i="1" s="1"/>
  <c r="BG133" i="1"/>
  <c r="BD134" i="1" s="1"/>
  <c r="BE134" i="1" s="1"/>
  <c r="AN93" i="1"/>
  <c r="AO93" i="1" s="1"/>
  <c r="AL94" i="1" s="1"/>
  <c r="BW155" i="6"/>
  <c r="BX155" i="6"/>
  <c r="BY155" i="6" s="1"/>
  <c r="BV156" i="6" s="1"/>
  <c r="BW156" i="6" s="1"/>
  <c r="AN134" i="8"/>
  <c r="AZ70" i="4"/>
  <c r="BY212" i="7"/>
  <c r="BV213" i="7" s="1"/>
  <c r="BP172" i="8"/>
  <c r="BM173" i="8" s="1"/>
  <c r="BO194" i="6"/>
  <c r="BN194" i="6"/>
  <c r="BP194" i="6" s="1"/>
  <c r="BM195" i="6" s="1"/>
  <c r="AW211" i="8"/>
  <c r="BW115" i="4"/>
  <c r="BY115" i="4" s="1"/>
  <c r="BV116" i="4" s="1"/>
  <c r="BX116" i="4" s="1"/>
  <c r="AX192" i="8"/>
  <c r="AU193" i="8" s="1"/>
  <c r="BP111" i="8"/>
  <c r="BM112" i="8" s="1"/>
  <c r="BX75" i="4"/>
  <c r="AO134" i="4"/>
  <c r="AL135" i="4" s="1"/>
  <c r="AM135" i="4" s="1"/>
  <c r="AV173" i="7"/>
  <c r="AW173" i="7"/>
  <c r="AX173" i="7" s="1"/>
  <c r="AU174" i="7" s="1"/>
  <c r="AV174" i="7" s="1"/>
  <c r="AM214" i="4"/>
  <c r="AN214" i="4"/>
  <c r="BW116" i="4"/>
  <c r="BX72" i="1"/>
  <c r="BY72" i="1" s="1"/>
  <c r="BV73" i="1" s="1"/>
  <c r="BX73" i="1" s="1"/>
  <c r="BW213" i="7"/>
  <c r="BY213" i="7" s="1"/>
  <c r="BV214" i="7" s="1"/>
  <c r="BX213" i="7"/>
  <c r="AX94" i="6"/>
  <c r="AU95" i="6" s="1"/>
  <c r="BF194" i="6"/>
  <c r="BE132" i="8"/>
  <c r="BG132" i="8" s="1"/>
  <c r="BD133" i="8" s="1"/>
  <c r="BF133" i="8" s="1"/>
  <c r="BN95" i="4"/>
  <c r="BP95" i="4" s="1"/>
  <c r="BM96" i="4" s="1"/>
  <c r="BO96" i="4" s="1"/>
  <c r="BY92" i="4"/>
  <c r="BV93" i="4" s="1"/>
  <c r="BW93" i="4" s="1"/>
  <c r="AW133" i="8"/>
  <c r="AX133" i="8" s="1"/>
  <c r="AU134" i="8" s="1"/>
  <c r="AV134" i="8" s="1"/>
  <c r="BN213" i="8"/>
  <c r="BO213" i="8"/>
  <c r="BE155" i="7"/>
  <c r="BF155" i="7"/>
  <c r="AM113" i="7"/>
  <c r="AN113" i="7"/>
  <c r="BW155" i="8"/>
  <c r="BX155" i="8"/>
  <c r="AV95" i="1"/>
  <c r="AX95" i="1" s="1"/>
  <c r="AU96" i="1" s="1"/>
  <c r="AW96" i="1" s="1"/>
  <c r="BF75" i="6"/>
  <c r="AM112" i="6"/>
  <c r="AO112" i="6" s="1"/>
  <c r="AL113" i="6" s="1"/>
  <c r="AM113" i="6" s="1"/>
  <c r="BG134" i="6"/>
  <c r="BD135" i="6" s="1"/>
  <c r="BF135" i="6" s="1"/>
  <c r="BW192" i="6"/>
  <c r="BY192" i="6" s="1"/>
  <c r="BV193" i="6" s="1"/>
  <c r="AM152" i="4"/>
  <c r="AN152" i="4"/>
  <c r="AO171" i="8"/>
  <c r="AL172" i="8" s="1"/>
  <c r="AM172" i="8" s="1"/>
  <c r="BE116" i="6"/>
  <c r="BG116" i="6" s="1"/>
  <c r="BI111" i="6" s="1"/>
  <c r="BP95" i="7"/>
  <c r="BM96" i="7" s="1"/>
  <c r="AW115" i="8"/>
  <c r="AX115" i="8" s="1"/>
  <c r="AU116" i="8" s="1"/>
  <c r="AV116" i="8" s="1"/>
  <c r="BX74" i="7"/>
  <c r="BY74" i="7" s="1"/>
  <c r="BV75" i="7" s="1"/>
  <c r="BO112" i="8"/>
  <c r="AX211" i="8"/>
  <c r="AU212" i="8" s="1"/>
  <c r="AV212" i="8" s="1"/>
  <c r="BO173" i="4"/>
  <c r="BP173" i="4" s="1"/>
  <c r="BM174" i="4" s="1"/>
  <c r="AV193" i="4"/>
  <c r="AX193" i="4" s="1"/>
  <c r="AU194" i="4" s="1"/>
  <c r="AW194" i="4" s="1"/>
  <c r="BF173" i="8"/>
  <c r="BG173" i="8" s="1"/>
  <c r="BD174" i="8" s="1"/>
  <c r="BN93" i="1"/>
  <c r="BP93" i="1" s="1"/>
  <c r="BM94" i="1" s="1"/>
  <c r="BO94" i="1" s="1"/>
  <c r="AX174" i="8"/>
  <c r="AU175" i="8" s="1"/>
  <c r="AW175" i="8" s="1"/>
  <c r="AX175" i="8" s="1"/>
  <c r="AU176" i="8" s="1"/>
  <c r="AX134" i="7"/>
  <c r="AU135" i="7" s="1"/>
  <c r="AV135" i="7" s="1"/>
  <c r="BE74" i="7"/>
  <c r="BG74" i="7" s="1"/>
  <c r="BD75" i="7" s="1"/>
  <c r="BF75" i="7" s="1"/>
  <c r="AO214" i="4"/>
  <c r="AL215" i="4" s="1"/>
  <c r="AN215" i="4" s="1"/>
  <c r="BO135" i="4"/>
  <c r="BP135" i="4" s="1"/>
  <c r="BM136" i="4" s="1"/>
  <c r="BN136" i="4" s="1"/>
  <c r="BW215" i="1"/>
  <c r="BY215" i="1" s="1"/>
  <c r="BV216" i="1" s="1"/>
  <c r="BX216" i="1" s="1"/>
  <c r="AX175" i="4"/>
  <c r="AU176" i="4" s="1"/>
  <c r="AW193" i="8"/>
  <c r="AV193" i="8"/>
  <c r="BP213" i="6"/>
  <c r="BM214" i="6" s="1"/>
  <c r="BN214" i="6" s="1"/>
  <c r="AW76" i="6"/>
  <c r="AX76" i="6" s="1"/>
  <c r="AZ70" i="6" s="1"/>
  <c r="BG193" i="7"/>
  <c r="BD194" i="7" s="1"/>
  <c r="BE194" i="7" s="1"/>
  <c r="AO214" i="6"/>
  <c r="AL215" i="6" s="1"/>
  <c r="AM215" i="6" s="1"/>
  <c r="BE75" i="8"/>
  <c r="BG75" i="8" s="1"/>
  <c r="BD76" i="8" s="1"/>
  <c r="BE76" i="8" s="1"/>
  <c r="BY135" i="1"/>
  <c r="BV136" i="1" s="1"/>
  <c r="BX136" i="1" s="1"/>
  <c r="AM153" i="6"/>
  <c r="AO153" i="6" s="1"/>
  <c r="AL154" i="6" s="1"/>
  <c r="AO213" i="7"/>
  <c r="AL214" i="7" s="1"/>
  <c r="AM214" i="7" s="1"/>
  <c r="AO113" i="1"/>
  <c r="AL114" i="1" s="1"/>
  <c r="AN114" i="1" s="1"/>
  <c r="AN72" i="8"/>
  <c r="AO72" i="8" s="1"/>
  <c r="AL73" i="8" s="1"/>
  <c r="AN73" i="8" s="1"/>
  <c r="BE112" i="1"/>
  <c r="BG112" i="1" s="1"/>
  <c r="BD113" i="1" s="1"/>
  <c r="BF113" i="1" s="1"/>
  <c r="BW216" i="6"/>
  <c r="BY216" i="6" s="1"/>
  <c r="CA210" i="6" s="1"/>
  <c r="AW215" i="6"/>
  <c r="AX215" i="6" s="1"/>
  <c r="AU216" i="6" s="1"/>
  <c r="BW193" i="7"/>
  <c r="BX193" i="7"/>
  <c r="AW212" i="7"/>
  <c r="AX212" i="7" s="1"/>
  <c r="AU213" i="7" s="1"/>
  <c r="AW213" i="7" s="1"/>
  <c r="BG134" i="7"/>
  <c r="BD135" i="7" s="1"/>
  <c r="BF135" i="7" s="1"/>
  <c r="AO174" i="1"/>
  <c r="AL175" i="1" s="1"/>
  <c r="AM175" i="1" s="1"/>
  <c r="CA171" i="6"/>
  <c r="CA170" i="6"/>
  <c r="AV214" i="4"/>
  <c r="AW214" i="4"/>
  <c r="BF213" i="1"/>
  <c r="BE213" i="1"/>
  <c r="BG114" i="7"/>
  <c r="BD115" i="7" s="1"/>
  <c r="BE115" i="7" s="1"/>
  <c r="BX193" i="4"/>
  <c r="BY193" i="4" s="1"/>
  <c r="BV194" i="4" s="1"/>
  <c r="BW174" i="4"/>
  <c r="BY174" i="4" s="1"/>
  <c r="BV175" i="4" s="1"/>
  <c r="BY154" i="4"/>
  <c r="BV155" i="4" s="1"/>
  <c r="BW155" i="4" s="1"/>
  <c r="BG93" i="8"/>
  <c r="BD94" i="8" s="1"/>
  <c r="BE94" i="8" s="1"/>
  <c r="BW72" i="8"/>
  <c r="BY72" i="8" s="1"/>
  <c r="BV73" i="8" s="1"/>
  <c r="BF174" i="7"/>
  <c r="BE174" i="7"/>
  <c r="AW92" i="4"/>
  <c r="AV92" i="4"/>
  <c r="AM173" i="6"/>
  <c r="AO173" i="6" s="1"/>
  <c r="AL174" i="6" s="1"/>
  <c r="AM174" i="6" s="1"/>
  <c r="BF155" i="4"/>
  <c r="BG155" i="4" s="1"/>
  <c r="BD156" i="4" s="1"/>
  <c r="BE156" i="4" s="1"/>
  <c r="AV196" i="7"/>
  <c r="AX196" i="7" s="1"/>
  <c r="AZ190" i="7" s="1"/>
  <c r="AN95" i="7"/>
  <c r="AO95" i="7" s="1"/>
  <c r="AL96" i="7" s="1"/>
  <c r="AM96" i="7" s="1"/>
  <c r="BW114" i="7"/>
  <c r="BY114" i="7" s="1"/>
  <c r="BV115" i="7" s="1"/>
  <c r="BP134" i="1"/>
  <c r="BM135" i="1" s="1"/>
  <c r="BN135" i="1" s="1"/>
  <c r="BO151" i="6"/>
  <c r="BP151" i="6" s="1"/>
  <c r="BM152" i="6" s="1"/>
  <c r="BN214" i="4"/>
  <c r="BP214" i="4" s="1"/>
  <c r="BM215" i="4" s="1"/>
  <c r="BO215" i="4" s="1"/>
  <c r="AW112" i="4"/>
  <c r="AV112" i="4"/>
  <c r="BN173" i="6"/>
  <c r="BO173" i="6"/>
  <c r="AV175" i="8"/>
  <c r="AV132" i="6"/>
  <c r="AX132" i="6" s="1"/>
  <c r="AU133" i="6" s="1"/>
  <c r="BO195" i="1"/>
  <c r="BP195" i="1" s="1"/>
  <c r="BM196" i="1" s="1"/>
  <c r="BO196" i="1" s="1"/>
  <c r="BX156" i="6"/>
  <c r="BY156" i="6" s="1"/>
  <c r="AM153" i="1"/>
  <c r="AN153" i="1"/>
  <c r="AV73" i="7"/>
  <c r="AX73" i="7" s="1"/>
  <c r="AU74" i="7" s="1"/>
  <c r="AW74" i="7" s="1"/>
  <c r="AM194" i="8"/>
  <c r="AO194" i="8" s="1"/>
  <c r="AL195" i="8" s="1"/>
  <c r="AM195" i="8" s="1"/>
  <c r="BY93" i="7"/>
  <c r="BV94" i="7" s="1"/>
  <c r="BX94" i="7" s="1"/>
  <c r="BG116" i="4"/>
  <c r="BI111" i="4" s="1"/>
  <c r="AO93" i="8"/>
  <c r="AL94" i="8" s="1"/>
  <c r="AM94" i="8" s="1"/>
  <c r="BX73" i="6"/>
  <c r="BW73" i="6"/>
  <c r="BX194" i="8"/>
  <c r="BW194" i="8"/>
  <c r="BX176" i="7"/>
  <c r="BY176" i="7" s="1"/>
  <c r="BF216" i="6"/>
  <c r="BE216" i="6"/>
  <c r="BG111" i="8"/>
  <c r="BD112" i="8" s="1"/>
  <c r="BW135" i="8"/>
  <c r="BY135" i="8" s="1"/>
  <c r="BV136" i="8" s="1"/>
  <c r="BX136" i="8" s="1"/>
  <c r="BO113" i="4"/>
  <c r="BP113" i="4" s="1"/>
  <c r="BM114" i="4" s="1"/>
  <c r="BP74" i="6"/>
  <c r="BM75" i="6" s="1"/>
  <c r="BN75" i="6" s="1"/>
  <c r="BP154" i="7"/>
  <c r="BM155" i="7" s="1"/>
  <c r="BO96" i="7"/>
  <c r="BN96" i="7"/>
  <c r="AW212" i="8"/>
  <c r="BG214" i="8"/>
  <c r="BD215" i="8" s="1"/>
  <c r="BF215" i="8" s="1"/>
  <c r="AX134" i="4"/>
  <c r="AU135" i="4" s="1"/>
  <c r="AW135" i="4" s="1"/>
  <c r="BP132" i="8"/>
  <c r="BM133" i="8" s="1"/>
  <c r="BN133" i="8" s="1"/>
  <c r="AM172" i="7"/>
  <c r="AO172" i="7" s="1"/>
  <c r="AL173" i="7" s="1"/>
  <c r="BX134" i="4"/>
  <c r="BY134" i="4" s="1"/>
  <c r="BV135" i="4" s="1"/>
  <c r="BF136" i="4"/>
  <c r="BG136" i="4" s="1"/>
  <c r="BI130" i="4" s="1"/>
  <c r="BO195" i="4"/>
  <c r="BP195" i="4" s="1"/>
  <c r="BM196" i="4" s="1"/>
  <c r="BO196" i="4" s="1"/>
  <c r="BN215" i="7"/>
  <c r="BP215" i="7" s="1"/>
  <c r="BM216" i="7" s="1"/>
  <c r="AV115" i="6"/>
  <c r="AX115" i="6" s="1"/>
  <c r="AU116" i="6" s="1"/>
  <c r="BX155" i="4"/>
  <c r="AN115" i="4"/>
  <c r="AO115" i="4" s="1"/>
  <c r="AL116" i="4" s="1"/>
  <c r="AM116" i="4" s="1"/>
  <c r="BO215" i="1"/>
  <c r="BP215" i="1" s="1"/>
  <c r="BM216" i="1" s="1"/>
  <c r="BO216" i="1" s="1"/>
  <c r="AM75" i="6"/>
  <c r="AN75" i="6"/>
  <c r="BN114" i="7"/>
  <c r="BO114" i="7"/>
  <c r="BX95" i="6"/>
  <c r="BW95" i="6"/>
  <c r="BN172" i="7"/>
  <c r="BO172" i="7"/>
  <c r="BP92" i="6"/>
  <c r="BM93" i="6" s="1"/>
  <c r="BO93" i="6" s="1"/>
  <c r="AZ91" i="8"/>
  <c r="BG73" i="4"/>
  <c r="BD74" i="4" s="1"/>
  <c r="BF74" i="4" s="1"/>
  <c r="BF94" i="6"/>
  <c r="BG94" i="6" s="1"/>
  <c r="BD95" i="6" s="1"/>
  <c r="BG93" i="1"/>
  <c r="BD94" i="1" s="1"/>
  <c r="BE94" i="1" s="1"/>
  <c r="AV156" i="4"/>
  <c r="AX156" i="4" s="1"/>
  <c r="AZ150" i="4" s="1"/>
  <c r="AN153" i="8"/>
  <c r="AM153" i="8"/>
  <c r="BE194" i="4"/>
  <c r="BG194" i="4" s="1"/>
  <c r="BD195" i="4" s="1"/>
  <c r="AO192" i="6"/>
  <c r="AL193" i="6" s="1"/>
  <c r="AM193" i="6" s="1"/>
  <c r="AV196" i="6"/>
  <c r="AX196" i="6" s="1"/>
  <c r="AZ190" i="6" s="1"/>
  <c r="BW176" i="8"/>
  <c r="BY176" i="8" s="1"/>
  <c r="CA170" i="8" s="1"/>
  <c r="AO91" i="4"/>
  <c r="AL92" i="4" s="1"/>
  <c r="AM92" i="4" s="1"/>
  <c r="AX173" i="1"/>
  <c r="AU174" i="1" s="1"/>
  <c r="BP113" i="6"/>
  <c r="BM114" i="6" s="1"/>
  <c r="BN114" i="6" s="1"/>
  <c r="AO172" i="4"/>
  <c r="AL173" i="4" s="1"/>
  <c r="BX136" i="7"/>
  <c r="BY136" i="7" s="1"/>
  <c r="CA130" i="7" s="1"/>
  <c r="BY114" i="1"/>
  <c r="BV115" i="1" s="1"/>
  <c r="BX115" i="1" s="1"/>
  <c r="BR190" i="8"/>
  <c r="BR191" i="8"/>
  <c r="BE95" i="4"/>
  <c r="BF95" i="4"/>
  <c r="BY94" i="8"/>
  <c r="BV95" i="8" s="1"/>
  <c r="BX95" i="8" s="1"/>
  <c r="BX153" i="1"/>
  <c r="BY153" i="1" s="1"/>
  <c r="BV154" i="1" s="1"/>
  <c r="BW154" i="1" s="1"/>
  <c r="AW152" i="6"/>
  <c r="AX152" i="6" s="1"/>
  <c r="AU153" i="6" s="1"/>
  <c r="BG216" i="7"/>
  <c r="BI210" i="7" s="1"/>
  <c r="BW154" i="7"/>
  <c r="BY154" i="7" s="1"/>
  <c r="BV155" i="7" s="1"/>
  <c r="BX155" i="7" s="1"/>
  <c r="BO195" i="7"/>
  <c r="BP195" i="7" s="1"/>
  <c r="BM196" i="7" s="1"/>
  <c r="BE176" i="4"/>
  <c r="BG176" i="4" s="1"/>
  <c r="AV153" i="8"/>
  <c r="AW153" i="8"/>
  <c r="AO134" i="8"/>
  <c r="AL135" i="8" s="1"/>
  <c r="AM135" i="8" s="1"/>
  <c r="AV214" i="1"/>
  <c r="AW214" i="1"/>
  <c r="BI110" i="6"/>
  <c r="AN72" i="7"/>
  <c r="AO72" i="7" s="1"/>
  <c r="AL73" i="7" s="1"/>
  <c r="BY134" i="6"/>
  <c r="BV135" i="6" s="1"/>
  <c r="BX135" i="6" s="1"/>
  <c r="BO154" i="4"/>
  <c r="BN154" i="4"/>
  <c r="BR170" i="1"/>
  <c r="BR171" i="1"/>
  <c r="BY114" i="8"/>
  <c r="BV115" i="8" s="1"/>
  <c r="AM213" i="8"/>
  <c r="AN213" i="8"/>
  <c r="BP155" i="1"/>
  <c r="BM156" i="1" s="1"/>
  <c r="BN156" i="1" s="1"/>
  <c r="BO74" i="4"/>
  <c r="BN74" i="4"/>
  <c r="BO96" i="8"/>
  <c r="BN96" i="8"/>
  <c r="AX72" i="8"/>
  <c r="AU73" i="8" s="1"/>
  <c r="AV73" i="8" s="1"/>
  <c r="BG92" i="7"/>
  <c r="BD93" i="7" s="1"/>
  <c r="BE93" i="7" s="1"/>
  <c r="BY75" i="4"/>
  <c r="BV76" i="4" s="1"/>
  <c r="BX76" i="4" s="1"/>
  <c r="BF173" i="6"/>
  <c r="BE173" i="6"/>
  <c r="BG194" i="6"/>
  <c r="BD195" i="6" s="1"/>
  <c r="BF195" i="6" s="1"/>
  <c r="AM152" i="7"/>
  <c r="AO152" i="7" s="1"/>
  <c r="AL153" i="7" s="1"/>
  <c r="AM153" i="7" s="1"/>
  <c r="AW134" i="1"/>
  <c r="AX134" i="1" s="1"/>
  <c r="AU135" i="1" s="1"/>
  <c r="BW174" i="1"/>
  <c r="BY174" i="1" s="1"/>
  <c r="BV175" i="1" s="1"/>
  <c r="BN75" i="7"/>
  <c r="BO75" i="7"/>
  <c r="AO133" i="1"/>
  <c r="AL134" i="1" s="1"/>
  <c r="BW195" i="1"/>
  <c r="BX195" i="1"/>
  <c r="BX95" i="1"/>
  <c r="BW95" i="1"/>
  <c r="BO155" i="8"/>
  <c r="BN155" i="8"/>
  <c r="AM195" i="4"/>
  <c r="AN195" i="4"/>
  <c r="AX95" i="7"/>
  <c r="AU96" i="7" s="1"/>
  <c r="AV96" i="7" s="1"/>
  <c r="AV113" i="7"/>
  <c r="AW113" i="7"/>
  <c r="BP115" i="1"/>
  <c r="BM116" i="1" s="1"/>
  <c r="BW75" i="7"/>
  <c r="BX75" i="7"/>
  <c r="BE214" i="4"/>
  <c r="BF214" i="4"/>
  <c r="AO72" i="1"/>
  <c r="AL73" i="1" s="1"/>
  <c r="AM73" i="1" s="1"/>
  <c r="BG155" i="8"/>
  <c r="BD156" i="8" s="1"/>
  <c r="BE156" i="8" s="1"/>
  <c r="BG195" i="8"/>
  <c r="BD196" i="8" s="1"/>
  <c r="AO73" i="4"/>
  <c r="AL74" i="4" s="1"/>
  <c r="BY111" i="6"/>
  <c r="BV112" i="6" s="1"/>
  <c r="AW175" i="6"/>
  <c r="AV175" i="6"/>
  <c r="AQ191" i="1"/>
  <c r="D43" i="1" s="1"/>
  <c r="F43" i="1" s="1"/>
  <c r="AQ190" i="1"/>
  <c r="AM132" i="6"/>
  <c r="AN132" i="6"/>
  <c r="BO136" i="6"/>
  <c r="BP136" i="6" s="1"/>
  <c r="BN73" i="8"/>
  <c r="BO73" i="8"/>
  <c r="AN192" i="7"/>
  <c r="AM192" i="7"/>
  <c r="BG75" i="6"/>
  <c r="BD76" i="6" s="1"/>
  <c r="BG174" i="1"/>
  <c r="BD175" i="1" s="1"/>
  <c r="AN132" i="7"/>
  <c r="AM132" i="7"/>
  <c r="AV195" i="1"/>
  <c r="AW195" i="1"/>
  <c r="AN112" i="8"/>
  <c r="AM112" i="8"/>
  <c r="AM211" i="1"/>
  <c r="AN211" i="1"/>
  <c r="BE155" i="6"/>
  <c r="BF155" i="6"/>
  <c r="AW154" i="7"/>
  <c r="AV154" i="7"/>
  <c r="BN133" i="7"/>
  <c r="BO133" i="7"/>
  <c r="AO93" i="6"/>
  <c r="AL94" i="6" s="1"/>
  <c r="AV74" i="1" l="1"/>
  <c r="AW74" i="1"/>
  <c r="BI190" i="1"/>
  <c r="AX115" i="1"/>
  <c r="AU116" i="1" s="1"/>
  <c r="AV116" i="1" s="1"/>
  <c r="BX93" i="4"/>
  <c r="BY116" i="4"/>
  <c r="CA111" i="4" s="1"/>
  <c r="AM215" i="4"/>
  <c r="AN135" i="4"/>
  <c r="AO135" i="4" s="1"/>
  <c r="AL136" i="4" s="1"/>
  <c r="AN136" i="4" s="1"/>
  <c r="BF155" i="1"/>
  <c r="BE155" i="1"/>
  <c r="AV155" i="1"/>
  <c r="AX155" i="1" s="1"/>
  <c r="AU156" i="1" s="1"/>
  <c r="AW156" i="1" s="1"/>
  <c r="AX74" i="1"/>
  <c r="AU75" i="1" s="1"/>
  <c r="AW75" i="1" s="1"/>
  <c r="BO74" i="1"/>
  <c r="BP74" i="1" s="1"/>
  <c r="BM75" i="1" s="1"/>
  <c r="BN75" i="1" s="1"/>
  <c r="BF134" i="1"/>
  <c r="BG134" i="1" s="1"/>
  <c r="BD135" i="1" s="1"/>
  <c r="AW116" i="1"/>
  <c r="BO135" i="1"/>
  <c r="BP135" i="1" s="1"/>
  <c r="BM136" i="1" s="1"/>
  <c r="AV156" i="1"/>
  <c r="BO156" i="1"/>
  <c r="BP156" i="1" s="1"/>
  <c r="BW136" i="1"/>
  <c r="BY136" i="1" s="1"/>
  <c r="CA131" i="1" s="1"/>
  <c r="AX212" i="8"/>
  <c r="AU213" i="8" s="1"/>
  <c r="AW135" i="7"/>
  <c r="BN112" i="8"/>
  <c r="BP112" i="8" s="1"/>
  <c r="BM113" i="8" s="1"/>
  <c r="BN173" i="8"/>
  <c r="BO173" i="8"/>
  <c r="BP173" i="8" s="1"/>
  <c r="BM174" i="8" s="1"/>
  <c r="AN153" i="7"/>
  <c r="AX112" i="4"/>
  <c r="AU113" i="4" s="1"/>
  <c r="BG174" i="7"/>
  <c r="BD175" i="7" s="1"/>
  <c r="BF175" i="7" s="1"/>
  <c r="AX193" i="8"/>
  <c r="AU194" i="8" s="1"/>
  <c r="AW194" i="8" s="1"/>
  <c r="AW134" i="8"/>
  <c r="AO152" i="4"/>
  <c r="AL153" i="4" s="1"/>
  <c r="AO113" i="7"/>
  <c r="AL114" i="7" s="1"/>
  <c r="AM114" i="7" s="1"/>
  <c r="AV96" i="1"/>
  <c r="AX96" i="1" s="1"/>
  <c r="BO214" i="6"/>
  <c r="AN172" i="8"/>
  <c r="AW174" i="7"/>
  <c r="AX174" i="7" s="1"/>
  <c r="AU175" i="7" s="1"/>
  <c r="BO195" i="6"/>
  <c r="BN195" i="6"/>
  <c r="BP195" i="6"/>
  <c r="BM196" i="6" s="1"/>
  <c r="BP213" i="8"/>
  <c r="BM214" i="8" s="1"/>
  <c r="BN214" i="8" s="1"/>
  <c r="BW214" i="7"/>
  <c r="BX214" i="7"/>
  <c r="AM114" i="1"/>
  <c r="AO114" i="1" s="1"/>
  <c r="AL115" i="1" s="1"/>
  <c r="BO133" i="8"/>
  <c r="BP133" i="8" s="1"/>
  <c r="BM134" i="8" s="1"/>
  <c r="BO134" i="8" s="1"/>
  <c r="BN93" i="6"/>
  <c r="BP93" i="6" s="1"/>
  <c r="BM94" i="6" s="1"/>
  <c r="BO94" i="6" s="1"/>
  <c r="BG216" i="6"/>
  <c r="BI210" i="6" s="1"/>
  <c r="AX135" i="7"/>
  <c r="AU136" i="7" s="1"/>
  <c r="AW136" i="7" s="1"/>
  <c r="BG155" i="7"/>
  <c r="BD156" i="7" s="1"/>
  <c r="BW76" i="4"/>
  <c r="AN214" i="7"/>
  <c r="AO214" i="7" s="1"/>
  <c r="AL215" i="7" s="1"/>
  <c r="AN113" i="6"/>
  <c r="AO113" i="6" s="1"/>
  <c r="AL114" i="6" s="1"/>
  <c r="AV95" i="6"/>
  <c r="AW95" i="6"/>
  <c r="BW73" i="1"/>
  <c r="BY73" i="1" s="1"/>
  <c r="BV74" i="1" s="1"/>
  <c r="BX74" i="1" s="1"/>
  <c r="BP154" i="4"/>
  <c r="BM155" i="4" s="1"/>
  <c r="BO155" i="4" s="1"/>
  <c r="CA110" i="4"/>
  <c r="BG213" i="1"/>
  <c r="BD214" i="1" s="1"/>
  <c r="BE214" i="1" s="1"/>
  <c r="BY155" i="8"/>
  <c r="BV156" i="8" s="1"/>
  <c r="BW156" i="8" s="1"/>
  <c r="AN153" i="4"/>
  <c r="BX193" i="6"/>
  <c r="BW193" i="6"/>
  <c r="BY193" i="6" s="1"/>
  <c r="BV194" i="6" s="1"/>
  <c r="BF174" i="8"/>
  <c r="BE174" i="8"/>
  <c r="AW176" i="4"/>
  <c r="AV176" i="4"/>
  <c r="AN73" i="1"/>
  <c r="AO73" i="1" s="1"/>
  <c r="AL74" i="1" s="1"/>
  <c r="AV194" i="4"/>
  <c r="AX194" i="4" s="1"/>
  <c r="AU195" i="4" s="1"/>
  <c r="AW195" i="4" s="1"/>
  <c r="BP172" i="7"/>
  <c r="BM173" i="7" s="1"/>
  <c r="BO173" i="7" s="1"/>
  <c r="BI110" i="4"/>
  <c r="BE135" i="6"/>
  <c r="AX92" i="4"/>
  <c r="AU93" i="4" s="1"/>
  <c r="AW93" i="4" s="1"/>
  <c r="AX134" i="8"/>
  <c r="AU135" i="8" s="1"/>
  <c r="BF115" i="7"/>
  <c r="BG115" i="7" s="1"/>
  <c r="BD116" i="7" s="1"/>
  <c r="BF116" i="7" s="1"/>
  <c r="BN94" i="1"/>
  <c r="BP94" i="1" s="1"/>
  <c r="BM95" i="1" s="1"/>
  <c r="BN95" i="1" s="1"/>
  <c r="BE133" i="8"/>
  <c r="BG133" i="8" s="1"/>
  <c r="BD134" i="8" s="1"/>
  <c r="BF94" i="1"/>
  <c r="BG94" i="1" s="1"/>
  <c r="BD95" i="1" s="1"/>
  <c r="BE95" i="1" s="1"/>
  <c r="BO136" i="4"/>
  <c r="BP136" i="4" s="1"/>
  <c r="BR131" i="4" s="1"/>
  <c r="AN175" i="1"/>
  <c r="AO175" i="1" s="1"/>
  <c r="AL176" i="1" s="1"/>
  <c r="AM176" i="1" s="1"/>
  <c r="BN96" i="4"/>
  <c r="BP96" i="4" s="1"/>
  <c r="BR91" i="4" s="1"/>
  <c r="BW94" i="7"/>
  <c r="BY94" i="7" s="1"/>
  <c r="BV95" i="7" s="1"/>
  <c r="AN114" i="7"/>
  <c r="AO114" i="7" s="1"/>
  <c r="AL115" i="7" s="1"/>
  <c r="AN135" i="8"/>
  <c r="AO135" i="8" s="1"/>
  <c r="AL136" i="8" s="1"/>
  <c r="AW116" i="8"/>
  <c r="AX116" i="8" s="1"/>
  <c r="AZ110" i="8" s="1"/>
  <c r="AO75" i="6"/>
  <c r="AL76" i="6" s="1"/>
  <c r="AX214" i="4"/>
  <c r="AU215" i="4" s="1"/>
  <c r="AV215" i="4" s="1"/>
  <c r="BY193" i="7"/>
  <c r="BV194" i="7" s="1"/>
  <c r="BX194" i="7" s="1"/>
  <c r="BW175" i="4"/>
  <c r="BX175" i="4"/>
  <c r="BO174" i="4"/>
  <c r="BN174" i="4"/>
  <c r="BP174" i="4" s="1"/>
  <c r="BM175" i="4" s="1"/>
  <c r="AV74" i="7"/>
  <c r="AX74" i="7" s="1"/>
  <c r="AU75" i="7" s="1"/>
  <c r="BE135" i="7"/>
  <c r="BW216" i="1"/>
  <c r="BY216" i="1" s="1"/>
  <c r="CA210" i="1" s="1"/>
  <c r="BY194" i="8"/>
  <c r="BV195" i="8" s="1"/>
  <c r="BW195" i="8" s="1"/>
  <c r="BF156" i="4"/>
  <c r="BG156" i="4" s="1"/>
  <c r="BI150" i="4" s="1"/>
  <c r="BF194" i="7"/>
  <c r="BG194" i="7" s="1"/>
  <c r="BD195" i="7" s="1"/>
  <c r="BE195" i="7" s="1"/>
  <c r="BF156" i="8"/>
  <c r="BG156" i="8" s="1"/>
  <c r="AW96" i="7"/>
  <c r="AV135" i="4"/>
  <c r="AX135" i="4" s="1"/>
  <c r="AU136" i="4" s="1"/>
  <c r="AW136" i="4" s="1"/>
  <c r="BG135" i="6"/>
  <c r="BD136" i="6" s="1"/>
  <c r="BF136" i="6" s="1"/>
  <c r="AM94" i="1"/>
  <c r="AN94" i="1"/>
  <c r="AZ71" i="6"/>
  <c r="AV194" i="8"/>
  <c r="AX194" i="8" s="1"/>
  <c r="AU195" i="8" s="1"/>
  <c r="AV195" i="8" s="1"/>
  <c r="AN215" i="6"/>
  <c r="AO215" i="6" s="1"/>
  <c r="AL216" i="6" s="1"/>
  <c r="AO153" i="1"/>
  <c r="AL154" i="1" s="1"/>
  <c r="AN154" i="1" s="1"/>
  <c r="BW194" i="7"/>
  <c r="AO153" i="8"/>
  <c r="AL154" i="8" s="1"/>
  <c r="AM154" i="8" s="1"/>
  <c r="AW133" i="6"/>
  <c r="AV133" i="6"/>
  <c r="BE215" i="8"/>
  <c r="BG215" i="8" s="1"/>
  <c r="BD216" i="8" s="1"/>
  <c r="BF76" i="8"/>
  <c r="BG76" i="8" s="1"/>
  <c r="BI70" i="8" s="1"/>
  <c r="BO114" i="6"/>
  <c r="BP114" i="6" s="1"/>
  <c r="BM115" i="6" s="1"/>
  <c r="BN115" i="6" s="1"/>
  <c r="BY95" i="6"/>
  <c r="BV96" i="6" s="1"/>
  <c r="BF94" i="8"/>
  <c r="BG94" i="8" s="1"/>
  <c r="BD95" i="8" s="1"/>
  <c r="BP173" i="6"/>
  <c r="BM174" i="6" s="1"/>
  <c r="BG135" i="7"/>
  <c r="BD136" i="7" s="1"/>
  <c r="BF136" i="7" s="1"/>
  <c r="BE175" i="7"/>
  <c r="BG175" i="7" s="1"/>
  <c r="BD176" i="7" s="1"/>
  <c r="AN116" i="4"/>
  <c r="AO116" i="4" s="1"/>
  <c r="AN96" i="7"/>
  <c r="AO96" i="7" s="1"/>
  <c r="AQ90" i="7" s="1"/>
  <c r="AN193" i="6"/>
  <c r="AO193" i="6" s="1"/>
  <c r="AL194" i="6" s="1"/>
  <c r="AX153" i="8"/>
  <c r="AU154" i="8" s="1"/>
  <c r="AW154" i="8" s="1"/>
  <c r="AN94" i="8"/>
  <c r="AO94" i="8" s="1"/>
  <c r="AL95" i="8" s="1"/>
  <c r="AN95" i="8" s="1"/>
  <c r="AO215" i="4"/>
  <c r="AL216" i="4" s="1"/>
  <c r="BP133" i="7"/>
  <c r="BM134" i="7" s="1"/>
  <c r="BN134" i="7" s="1"/>
  <c r="E43" i="1"/>
  <c r="AZ151" i="4"/>
  <c r="BW135" i="6"/>
  <c r="BY135" i="6" s="1"/>
  <c r="BV136" i="6" s="1"/>
  <c r="BN215" i="4"/>
  <c r="BP215" i="4" s="1"/>
  <c r="BM216" i="4" s="1"/>
  <c r="BO216" i="4" s="1"/>
  <c r="BY155" i="4"/>
  <c r="BV156" i="4" s="1"/>
  <c r="BW156" i="4" s="1"/>
  <c r="BY73" i="6"/>
  <c r="BV74" i="6" s="1"/>
  <c r="BW74" i="6" s="1"/>
  <c r="BW73" i="8"/>
  <c r="BX73" i="8"/>
  <c r="AV175" i="7"/>
  <c r="AW175" i="7"/>
  <c r="AW113" i="4"/>
  <c r="AV113" i="4"/>
  <c r="AX113" i="4" s="1"/>
  <c r="AU114" i="4" s="1"/>
  <c r="BN196" i="4"/>
  <c r="BP196" i="4" s="1"/>
  <c r="AW176" i="8"/>
  <c r="AV176" i="8"/>
  <c r="BY93" i="4"/>
  <c r="BV94" i="4" s="1"/>
  <c r="BW135" i="4"/>
  <c r="BX135" i="4"/>
  <c r="AV116" i="6"/>
  <c r="AW116" i="6"/>
  <c r="AN173" i="7"/>
  <c r="AM173" i="7"/>
  <c r="AO173" i="7" s="1"/>
  <c r="AL174" i="7" s="1"/>
  <c r="AN174" i="7" s="1"/>
  <c r="BO114" i="4"/>
  <c r="BN114" i="4"/>
  <c r="BX195" i="8"/>
  <c r="BY195" i="8" s="1"/>
  <c r="BV196" i="8" s="1"/>
  <c r="BX196" i="8" s="1"/>
  <c r="BO75" i="6"/>
  <c r="BP75" i="6" s="1"/>
  <c r="BM76" i="6" s="1"/>
  <c r="BN76" i="6" s="1"/>
  <c r="BP96" i="8"/>
  <c r="BR90" i="8" s="1"/>
  <c r="BP96" i="7"/>
  <c r="BO155" i="7"/>
  <c r="BN155" i="7"/>
  <c r="BY195" i="1"/>
  <c r="BV196" i="1" s="1"/>
  <c r="BX196" i="1" s="1"/>
  <c r="AN174" i="6"/>
  <c r="AO174" i="6" s="1"/>
  <c r="AL175" i="6" s="1"/>
  <c r="AN175" i="6" s="1"/>
  <c r="BN216" i="1"/>
  <c r="BP216" i="1" s="1"/>
  <c r="BR210" i="1" s="1"/>
  <c r="AN92" i="4"/>
  <c r="AO92" i="4" s="1"/>
  <c r="AL93" i="4" s="1"/>
  <c r="BN196" i="1"/>
  <c r="BP196" i="1" s="1"/>
  <c r="BG173" i="6"/>
  <c r="BD174" i="6" s="1"/>
  <c r="BF174" i="6" s="1"/>
  <c r="AX214" i="1"/>
  <c r="AU215" i="1" s="1"/>
  <c r="AW215" i="1" s="1"/>
  <c r="BN216" i="7"/>
  <c r="BO216" i="7"/>
  <c r="CA171" i="8"/>
  <c r="BW155" i="7"/>
  <c r="BY155" i="7" s="1"/>
  <c r="BV156" i="7" s="1"/>
  <c r="BX156" i="7" s="1"/>
  <c r="BE74" i="4"/>
  <c r="BG74" i="4" s="1"/>
  <c r="BD75" i="4" s="1"/>
  <c r="BE75" i="4" s="1"/>
  <c r="BE75" i="7"/>
  <c r="BG75" i="7" s="1"/>
  <c r="BD76" i="7" s="1"/>
  <c r="BF76" i="7" s="1"/>
  <c r="BI131" i="4"/>
  <c r="AW213" i="8"/>
  <c r="AV213" i="8"/>
  <c r="BF112" i="8"/>
  <c r="BE112" i="8"/>
  <c r="AZ191" i="7"/>
  <c r="BP75" i="7"/>
  <c r="BM76" i="7" s="1"/>
  <c r="BO76" i="7" s="1"/>
  <c r="BX154" i="1"/>
  <c r="BY154" i="1" s="1"/>
  <c r="BV155" i="1" s="1"/>
  <c r="BP114" i="7"/>
  <c r="BM115" i="7" s="1"/>
  <c r="BO115" i="7" s="1"/>
  <c r="AW216" i="6"/>
  <c r="AV216" i="6"/>
  <c r="BF195" i="4"/>
  <c r="BE195" i="4"/>
  <c r="BF95" i="6"/>
  <c r="BE95" i="6"/>
  <c r="AX154" i="7"/>
  <c r="AU155" i="7" s="1"/>
  <c r="AW155" i="7" s="1"/>
  <c r="BW136" i="8"/>
  <c r="BY136" i="8" s="1"/>
  <c r="CA130" i="8" s="1"/>
  <c r="BP155" i="8"/>
  <c r="BM156" i="8" s="1"/>
  <c r="BN156" i="8" s="1"/>
  <c r="AV213" i="7"/>
  <c r="AX213" i="7" s="1"/>
  <c r="AU214" i="7" s="1"/>
  <c r="BW115" i="1"/>
  <c r="BY115" i="1" s="1"/>
  <c r="BV116" i="1" s="1"/>
  <c r="AX96" i="7"/>
  <c r="AZ90" i="7" s="1"/>
  <c r="AN195" i="8"/>
  <c r="AO195" i="8" s="1"/>
  <c r="AL196" i="8" s="1"/>
  <c r="AM196" i="8" s="1"/>
  <c r="BG95" i="4"/>
  <c r="BD96" i="4" s="1"/>
  <c r="BF96" i="4" s="1"/>
  <c r="CA131" i="7"/>
  <c r="BP73" i="8"/>
  <c r="BM74" i="8" s="1"/>
  <c r="BN74" i="8" s="1"/>
  <c r="AW73" i="8"/>
  <c r="AX73" i="8" s="1"/>
  <c r="AU74" i="8" s="1"/>
  <c r="AV74" i="8" s="1"/>
  <c r="BP74" i="4"/>
  <c r="BM75" i="4" s="1"/>
  <c r="BN75" i="4" s="1"/>
  <c r="AN173" i="4"/>
  <c r="AM173" i="4"/>
  <c r="BF93" i="7"/>
  <c r="BG93" i="7" s="1"/>
  <c r="BD94" i="7" s="1"/>
  <c r="BF94" i="7" s="1"/>
  <c r="AV174" i="1"/>
  <c r="AW174" i="1"/>
  <c r="BO75" i="1"/>
  <c r="BN196" i="7"/>
  <c r="BO196" i="7"/>
  <c r="BE174" i="6"/>
  <c r="BY76" i="4"/>
  <c r="CA71" i="4" s="1"/>
  <c r="AX195" i="1"/>
  <c r="AU196" i="1" s="1"/>
  <c r="AW196" i="1" s="1"/>
  <c r="J67" i="1"/>
  <c r="AO195" i="4"/>
  <c r="AL196" i="4" s="1"/>
  <c r="AN196" i="4" s="1"/>
  <c r="BN173" i="7"/>
  <c r="BP173" i="7" s="1"/>
  <c r="BM174" i="7" s="1"/>
  <c r="BI171" i="4"/>
  <c r="BI170" i="4"/>
  <c r="AO172" i="8"/>
  <c r="AL173" i="8" s="1"/>
  <c r="BW95" i="8"/>
  <c r="BY95" i="8" s="1"/>
  <c r="BV96" i="8" s="1"/>
  <c r="BE195" i="6"/>
  <c r="BG195" i="6" s="1"/>
  <c r="BD196" i="6" s="1"/>
  <c r="BX115" i="8"/>
  <c r="BW115" i="8"/>
  <c r="BY75" i="7"/>
  <c r="BV76" i="7" s="1"/>
  <c r="BW76" i="7" s="1"/>
  <c r="BO152" i="6"/>
  <c r="BN152" i="6"/>
  <c r="BE113" i="1"/>
  <c r="BG113" i="1" s="1"/>
  <c r="BD114" i="1" s="1"/>
  <c r="AO213" i="8"/>
  <c r="AL214" i="8" s="1"/>
  <c r="BW194" i="4"/>
  <c r="BX194" i="4"/>
  <c r="BG214" i="4"/>
  <c r="BD215" i="4" s="1"/>
  <c r="BE215" i="4" s="1"/>
  <c r="BY95" i="1"/>
  <c r="BV96" i="1" s="1"/>
  <c r="BX96" i="1" s="1"/>
  <c r="BP214" i="6"/>
  <c r="BM215" i="6" s="1"/>
  <c r="BO215" i="6" s="1"/>
  <c r="AW135" i="1"/>
  <c r="AV135" i="1"/>
  <c r="CA151" i="6"/>
  <c r="CA150" i="6"/>
  <c r="AO112" i="8"/>
  <c r="AL113" i="8" s="1"/>
  <c r="AM113" i="8" s="1"/>
  <c r="BW115" i="7"/>
  <c r="BX115" i="7"/>
  <c r="AO153" i="7"/>
  <c r="AL154" i="7" s="1"/>
  <c r="AN154" i="7" s="1"/>
  <c r="BF196" i="8"/>
  <c r="BE196" i="8"/>
  <c r="AM73" i="8"/>
  <c r="AO73" i="8" s="1"/>
  <c r="AL74" i="8" s="1"/>
  <c r="BW112" i="6"/>
  <c r="BX112" i="6"/>
  <c r="BG155" i="6"/>
  <c r="BD156" i="6" s="1"/>
  <c r="BE156" i="6" s="1"/>
  <c r="BO116" i="1"/>
  <c r="BN116" i="1"/>
  <c r="AN134" i="1"/>
  <c r="AM134" i="1"/>
  <c r="AN74" i="4"/>
  <c r="AM74" i="4"/>
  <c r="AZ191" i="6"/>
  <c r="AO211" i="1"/>
  <c r="AL212" i="1" s="1"/>
  <c r="AM212" i="1" s="1"/>
  <c r="AO132" i="7"/>
  <c r="AL133" i="7" s="1"/>
  <c r="AM133" i="7" s="1"/>
  <c r="AX175" i="6"/>
  <c r="AU176" i="6" s="1"/>
  <c r="AX113" i="7"/>
  <c r="AU114" i="7" s="1"/>
  <c r="CA170" i="7"/>
  <c r="CA171" i="7"/>
  <c r="BR130" i="6"/>
  <c r="BR131" i="6"/>
  <c r="BR130" i="4"/>
  <c r="AW153" i="6"/>
  <c r="AV153" i="6"/>
  <c r="AN215" i="7"/>
  <c r="AM215" i="7"/>
  <c r="BW175" i="1"/>
  <c r="BX175" i="1"/>
  <c r="AM94" i="6"/>
  <c r="AN94" i="6"/>
  <c r="BF76" i="6"/>
  <c r="BE76" i="6"/>
  <c r="AO192" i="7"/>
  <c r="AL193" i="7" s="1"/>
  <c r="AM154" i="6"/>
  <c r="AN154" i="6"/>
  <c r="AO132" i="6"/>
  <c r="AL133" i="6" s="1"/>
  <c r="BE175" i="1"/>
  <c r="BF175" i="1"/>
  <c r="AM76" i="6"/>
  <c r="AN76" i="6"/>
  <c r="AN73" i="7"/>
  <c r="AM73" i="7"/>
  <c r="AX116" i="1" l="1"/>
  <c r="BG155" i="1"/>
  <c r="BD156" i="1" s="1"/>
  <c r="BF156" i="1" s="1"/>
  <c r="AX176" i="4"/>
  <c r="AV93" i="4"/>
  <c r="AM136" i="4"/>
  <c r="AO136" i="4"/>
  <c r="AQ130" i="4" s="1"/>
  <c r="BN155" i="4"/>
  <c r="BP155" i="4" s="1"/>
  <c r="BM156" i="4" s="1"/>
  <c r="BO156" i="4" s="1"/>
  <c r="AM153" i="4"/>
  <c r="AO153" i="4" s="1"/>
  <c r="AL154" i="4" s="1"/>
  <c r="AV75" i="1"/>
  <c r="AX75" i="1" s="1"/>
  <c r="AU76" i="1" s="1"/>
  <c r="AZ110" i="1"/>
  <c r="AZ111" i="1"/>
  <c r="J38" i="1" s="1"/>
  <c r="AX156" i="1"/>
  <c r="AM154" i="1"/>
  <c r="AO154" i="1" s="1"/>
  <c r="AL155" i="1" s="1"/>
  <c r="AN155" i="1" s="1"/>
  <c r="AO94" i="1"/>
  <c r="AL95" i="1" s="1"/>
  <c r="AN95" i="1" s="1"/>
  <c r="BO113" i="8"/>
  <c r="BN113" i="8"/>
  <c r="BP113" i="8" s="1"/>
  <c r="BM114" i="8" s="1"/>
  <c r="BN114" i="8" s="1"/>
  <c r="BP114" i="8" s="1"/>
  <c r="BM115" i="8" s="1"/>
  <c r="BN174" i="8"/>
  <c r="BO174" i="8"/>
  <c r="BP174" i="8" s="1"/>
  <c r="BM175" i="8" s="1"/>
  <c r="AZ90" i="1"/>
  <c r="AZ91" i="1"/>
  <c r="J36" i="1" s="1"/>
  <c r="AX95" i="6"/>
  <c r="AU96" i="6" s="1"/>
  <c r="AW96" i="6" s="1"/>
  <c r="BO156" i="8"/>
  <c r="BN196" i="6"/>
  <c r="BO196" i="6"/>
  <c r="BO214" i="8"/>
  <c r="BP214" i="8" s="1"/>
  <c r="BM215" i="8" s="1"/>
  <c r="BP196" i="6"/>
  <c r="BR190" i="6" s="1"/>
  <c r="BE136" i="7"/>
  <c r="BG136" i="7" s="1"/>
  <c r="BI130" i="7" s="1"/>
  <c r="BY214" i="7"/>
  <c r="BV215" i="7" s="1"/>
  <c r="BX215" i="7" s="1"/>
  <c r="BO114" i="8"/>
  <c r="AV136" i="7"/>
  <c r="AX136" i="7" s="1"/>
  <c r="AZ131" i="7" s="1"/>
  <c r="BX156" i="8"/>
  <c r="BY156" i="8" s="1"/>
  <c r="BP116" i="1"/>
  <c r="BR111" i="1" s="1"/>
  <c r="BN115" i="7"/>
  <c r="BP115" i="7" s="1"/>
  <c r="BM116" i="7" s="1"/>
  <c r="AZ111" i="8"/>
  <c r="AX133" i="6"/>
  <c r="AU134" i="6" s="1"/>
  <c r="BY194" i="7"/>
  <c r="BV195" i="7" s="1"/>
  <c r="BW195" i="7" s="1"/>
  <c r="AW215" i="4"/>
  <c r="AX215" i="4" s="1"/>
  <c r="AU216" i="4" s="1"/>
  <c r="AV216" i="4" s="1"/>
  <c r="BF214" i="1"/>
  <c r="BG214" i="1" s="1"/>
  <c r="BD215" i="1" s="1"/>
  <c r="BE215" i="1" s="1"/>
  <c r="BO134" i="7"/>
  <c r="BP134" i="7" s="1"/>
  <c r="BM135" i="7" s="1"/>
  <c r="AX116" i="6"/>
  <c r="AZ110" i="6" s="1"/>
  <c r="AX93" i="4"/>
  <c r="AU94" i="4" s="1"/>
  <c r="AW94" i="4" s="1"/>
  <c r="BG174" i="8"/>
  <c r="BD175" i="8" s="1"/>
  <c r="BF175" i="8" s="1"/>
  <c r="BF156" i="7"/>
  <c r="BE156" i="7"/>
  <c r="BG156" i="7" s="1"/>
  <c r="BI151" i="7" s="1"/>
  <c r="AM74" i="1"/>
  <c r="AN74" i="1"/>
  <c r="AN115" i="7"/>
  <c r="AM115" i="7"/>
  <c r="AZ170" i="4"/>
  <c r="AZ171" i="4"/>
  <c r="BW95" i="7"/>
  <c r="BX95" i="7"/>
  <c r="AN136" i="8"/>
  <c r="AO136" i="8" s="1"/>
  <c r="AQ130" i="8" s="1"/>
  <c r="AM136" i="8"/>
  <c r="AZ91" i="7"/>
  <c r="BN134" i="8"/>
  <c r="BP134" i="8" s="1"/>
  <c r="BM135" i="8" s="1"/>
  <c r="BE136" i="6"/>
  <c r="BG136" i="6" s="1"/>
  <c r="AN154" i="8"/>
  <c r="AO154" i="8" s="1"/>
  <c r="AL155" i="8" s="1"/>
  <c r="BO95" i="1"/>
  <c r="BP95" i="1" s="1"/>
  <c r="BM96" i="1" s="1"/>
  <c r="BO96" i="1" s="1"/>
  <c r="CA70" i="4"/>
  <c r="AW135" i="8"/>
  <c r="AV135" i="8"/>
  <c r="BN216" i="4"/>
  <c r="BP216" i="4" s="1"/>
  <c r="BR210" i="4" s="1"/>
  <c r="AX175" i="7"/>
  <c r="AU176" i="7" s="1"/>
  <c r="AW176" i="7" s="1"/>
  <c r="AM174" i="7"/>
  <c r="AO174" i="7" s="1"/>
  <c r="AL175" i="7" s="1"/>
  <c r="BO115" i="6"/>
  <c r="BP115" i="6" s="1"/>
  <c r="BM116" i="6" s="1"/>
  <c r="BN116" i="6" s="1"/>
  <c r="AO73" i="7"/>
  <c r="AL74" i="7" s="1"/>
  <c r="AN74" i="7" s="1"/>
  <c r="AN216" i="6"/>
  <c r="AM216" i="6"/>
  <c r="BI151" i="8"/>
  <c r="BI150" i="8"/>
  <c r="AV134" i="6"/>
  <c r="AW134" i="6"/>
  <c r="BO175" i="4"/>
  <c r="BN175" i="4"/>
  <c r="AV154" i="8"/>
  <c r="AX154" i="8" s="1"/>
  <c r="AU155" i="8" s="1"/>
  <c r="AW155" i="8" s="1"/>
  <c r="BF95" i="1"/>
  <c r="BG95" i="1" s="1"/>
  <c r="BD96" i="1" s="1"/>
  <c r="BY73" i="8"/>
  <c r="BV74" i="8" s="1"/>
  <c r="BW74" i="8" s="1"/>
  <c r="AW74" i="8"/>
  <c r="AX74" i="8" s="1"/>
  <c r="AU75" i="8" s="1"/>
  <c r="AV75" i="8" s="1"/>
  <c r="BE156" i="1"/>
  <c r="BG156" i="1" s="1"/>
  <c r="BI150" i="1" s="1"/>
  <c r="BX74" i="6"/>
  <c r="BY74" i="6" s="1"/>
  <c r="BV75" i="6" s="1"/>
  <c r="BX75" i="6" s="1"/>
  <c r="AQ131" i="4"/>
  <c r="BO76" i="6"/>
  <c r="BP76" i="6" s="1"/>
  <c r="AX216" i="6"/>
  <c r="AZ210" i="6" s="1"/>
  <c r="BW194" i="6"/>
  <c r="BX194" i="6"/>
  <c r="BF135" i="1"/>
  <c r="BE135" i="1"/>
  <c r="BG95" i="6"/>
  <c r="BD96" i="6" s="1"/>
  <c r="BF96" i="6" s="1"/>
  <c r="BY175" i="4"/>
  <c r="BV176" i="4" s="1"/>
  <c r="AX176" i="8"/>
  <c r="AZ170" i="8" s="1"/>
  <c r="BW155" i="1"/>
  <c r="BX155" i="1"/>
  <c r="BF95" i="8"/>
  <c r="BE95" i="8"/>
  <c r="AQ111" i="4"/>
  <c r="AQ110" i="4"/>
  <c r="BF176" i="7"/>
  <c r="BE176" i="7"/>
  <c r="BF216" i="8"/>
  <c r="BE216" i="8"/>
  <c r="BW94" i="4"/>
  <c r="BX94" i="4"/>
  <c r="BR90" i="4"/>
  <c r="BX156" i="4"/>
  <c r="BY156" i="4" s="1"/>
  <c r="CA151" i="4" s="1"/>
  <c r="AO115" i="7"/>
  <c r="AL116" i="7" s="1"/>
  <c r="AZ171" i="8"/>
  <c r="BF134" i="8"/>
  <c r="BE134" i="8"/>
  <c r="AX174" i="1"/>
  <c r="AU175" i="1" s="1"/>
  <c r="AV175" i="1" s="1"/>
  <c r="BW96" i="6"/>
  <c r="AO134" i="1"/>
  <c r="AL135" i="1" s="1"/>
  <c r="AM135" i="1" s="1"/>
  <c r="AV215" i="1"/>
  <c r="AX215" i="1" s="1"/>
  <c r="AU216" i="1" s="1"/>
  <c r="AX213" i="8"/>
  <c r="AU214" i="8" s="1"/>
  <c r="AV214" i="8" s="1"/>
  <c r="BY135" i="4"/>
  <c r="BV136" i="4" s="1"/>
  <c r="BW136" i="4" s="1"/>
  <c r="BX96" i="6"/>
  <c r="BP75" i="1"/>
  <c r="BM76" i="1" s="1"/>
  <c r="BO76" i="1" s="1"/>
  <c r="AO173" i="4"/>
  <c r="AL174" i="4" s="1"/>
  <c r="AM174" i="4" s="1"/>
  <c r="BF195" i="7"/>
  <c r="BG195" i="7" s="1"/>
  <c r="BD196" i="7" s="1"/>
  <c r="BP216" i="7"/>
  <c r="BR210" i="7" s="1"/>
  <c r="BP114" i="4"/>
  <c r="BM115" i="4" s="1"/>
  <c r="BN115" i="4" s="1"/>
  <c r="AN216" i="4"/>
  <c r="AM216" i="4"/>
  <c r="AV94" i="4"/>
  <c r="BF75" i="4"/>
  <c r="BG75" i="4" s="1"/>
  <c r="BD76" i="4" s="1"/>
  <c r="BE76" i="4" s="1"/>
  <c r="AW114" i="4"/>
  <c r="AV114" i="4"/>
  <c r="BO75" i="4"/>
  <c r="BP75" i="4" s="1"/>
  <c r="BM76" i="4" s="1"/>
  <c r="BO174" i="6"/>
  <c r="BN174" i="6"/>
  <c r="BE96" i="4"/>
  <c r="BG96" i="4" s="1"/>
  <c r="BI91" i="4" s="1"/>
  <c r="BW196" i="8"/>
  <c r="BY196" i="8" s="1"/>
  <c r="CA191" i="8" s="1"/>
  <c r="BW156" i="7"/>
  <c r="BY156" i="7" s="1"/>
  <c r="CA151" i="7" s="1"/>
  <c r="AQ91" i="7"/>
  <c r="BW96" i="1"/>
  <c r="BY96" i="1" s="1"/>
  <c r="CA91" i="1" s="1"/>
  <c r="AX135" i="1"/>
  <c r="AU136" i="1" s="1"/>
  <c r="AV136" i="1" s="1"/>
  <c r="BG195" i="4"/>
  <c r="BD196" i="4" s="1"/>
  <c r="BR90" i="7"/>
  <c r="BR91" i="7"/>
  <c r="BG174" i="6"/>
  <c r="BD175" i="6" s="1"/>
  <c r="BE175" i="6" s="1"/>
  <c r="AM95" i="8"/>
  <c r="AO95" i="8" s="1"/>
  <c r="AL96" i="8" s="1"/>
  <c r="BO74" i="8"/>
  <c r="BP74" i="8" s="1"/>
  <c r="BM75" i="8" s="1"/>
  <c r="CA131" i="8"/>
  <c r="BN94" i="6"/>
  <c r="BP94" i="6" s="1"/>
  <c r="BM95" i="6" s="1"/>
  <c r="BN95" i="6" s="1"/>
  <c r="BE76" i="7"/>
  <c r="BG76" i="7" s="1"/>
  <c r="BI70" i="7" s="1"/>
  <c r="BI150" i="7"/>
  <c r="BN76" i="7"/>
  <c r="BP76" i="7" s="1"/>
  <c r="BR70" i="7" s="1"/>
  <c r="BW196" i="1"/>
  <c r="BY196" i="1" s="1"/>
  <c r="BE116" i="7"/>
  <c r="BG116" i="7" s="1"/>
  <c r="BG112" i="8"/>
  <c r="BD113" i="8" s="1"/>
  <c r="BP152" i="6"/>
  <c r="BM153" i="6" s="1"/>
  <c r="BN153" i="6" s="1"/>
  <c r="BR91" i="8"/>
  <c r="BP155" i="7"/>
  <c r="BM156" i="7" s="1"/>
  <c r="AM196" i="4"/>
  <c r="AO196" i="4" s="1"/>
  <c r="AQ191" i="4" s="1"/>
  <c r="BX76" i="7"/>
  <c r="BY76" i="7" s="1"/>
  <c r="BP196" i="7"/>
  <c r="AN196" i="8"/>
  <c r="AO196" i="8" s="1"/>
  <c r="AZ111" i="6"/>
  <c r="CA130" i="1"/>
  <c r="AV195" i="4"/>
  <c r="AX195" i="4" s="1"/>
  <c r="AU196" i="4" s="1"/>
  <c r="AV196" i="4" s="1"/>
  <c r="BE94" i="7"/>
  <c r="BG94" i="7" s="1"/>
  <c r="BD95" i="7" s="1"/>
  <c r="BE95" i="7" s="1"/>
  <c r="BY194" i="4"/>
  <c r="BV195" i="4" s="1"/>
  <c r="BW195" i="4" s="1"/>
  <c r="AW195" i="8"/>
  <c r="AX195" i="8" s="1"/>
  <c r="AU196" i="8" s="1"/>
  <c r="BN215" i="6"/>
  <c r="BP215" i="6" s="1"/>
  <c r="BM216" i="6" s="1"/>
  <c r="AV155" i="7"/>
  <c r="AX155" i="7" s="1"/>
  <c r="AU156" i="7" s="1"/>
  <c r="BY115" i="8"/>
  <c r="BV116" i="8" s="1"/>
  <c r="BW116" i="8" s="1"/>
  <c r="BO174" i="7"/>
  <c r="BN174" i="7"/>
  <c r="BE114" i="1"/>
  <c r="BF114" i="1"/>
  <c r="BF196" i="6"/>
  <c r="BE196" i="6"/>
  <c r="BX96" i="8"/>
  <c r="BW96" i="8"/>
  <c r="AM173" i="8"/>
  <c r="AN173" i="8"/>
  <c r="AN113" i="8"/>
  <c r="AO113" i="8" s="1"/>
  <c r="AL114" i="8" s="1"/>
  <c r="BF156" i="6"/>
  <c r="BG156" i="6" s="1"/>
  <c r="AV196" i="1"/>
  <c r="AX196" i="1" s="1"/>
  <c r="AZ190" i="1" s="1"/>
  <c r="BI71" i="8"/>
  <c r="AV136" i="4"/>
  <c r="AX136" i="4" s="1"/>
  <c r="AZ130" i="4" s="1"/>
  <c r="AM154" i="7"/>
  <c r="AO154" i="7" s="1"/>
  <c r="AL155" i="7" s="1"/>
  <c r="AN133" i="7"/>
  <c r="AO133" i="7" s="1"/>
  <c r="AL134" i="7" s="1"/>
  <c r="BF215" i="4"/>
  <c r="BG215" i="4" s="1"/>
  <c r="BD216" i="4" s="1"/>
  <c r="BF216" i="4" s="1"/>
  <c r="AM214" i="8"/>
  <c r="AN214" i="8"/>
  <c r="AN212" i="1"/>
  <c r="AO212" i="1" s="1"/>
  <c r="AL213" i="1" s="1"/>
  <c r="AN213" i="1" s="1"/>
  <c r="BN136" i="1"/>
  <c r="BO136" i="1"/>
  <c r="AM175" i="6"/>
  <c r="AO175" i="6" s="1"/>
  <c r="AL176" i="6" s="1"/>
  <c r="BP156" i="8"/>
  <c r="BR150" i="8" s="1"/>
  <c r="BW116" i="1"/>
  <c r="BX116" i="1"/>
  <c r="BG196" i="8"/>
  <c r="BI190" i="8" s="1"/>
  <c r="BW74" i="1"/>
  <c r="BY74" i="1" s="1"/>
  <c r="BV75" i="1" s="1"/>
  <c r="BX75" i="1" s="1"/>
  <c r="BF175" i="6"/>
  <c r="AN176" i="1"/>
  <c r="AO176" i="1" s="1"/>
  <c r="AO74" i="4"/>
  <c r="AL75" i="4" s="1"/>
  <c r="AM75" i="4" s="1"/>
  <c r="BY112" i="6"/>
  <c r="BV113" i="6" s="1"/>
  <c r="BW113" i="6" s="1"/>
  <c r="BY115" i="7"/>
  <c r="BV116" i="7" s="1"/>
  <c r="BX116" i="7" s="1"/>
  <c r="BW136" i="6"/>
  <c r="BX136" i="6"/>
  <c r="AM115" i="1"/>
  <c r="AN115" i="1"/>
  <c r="BR191" i="1"/>
  <c r="BR190" i="1"/>
  <c r="BR190" i="4"/>
  <c r="BR191" i="4"/>
  <c r="AV176" i="6"/>
  <c r="AW176" i="6"/>
  <c r="BR151" i="1"/>
  <c r="BR150" i="1"/>
  <c r="AV114" i="7"/>
  <c r="AW114" i="7"/>
  <c r="BI151" i="4"/>
  <c r="AW214" i="7"/>
  <c r="AV214" i="7"/>
  <c r="AO76" i="6"/>
  <c r="AQ70" i="6" s="1"/>
  <c r="AX153" i="6"/>
  <c r="AU154" i="6" s="1"/>
  <c r="AW154" i="6" s="1"/>
  <c r="AO215" i="7"/>
  <c r="AL216" i="7" s="1"/>
  <c r="AM93" i="4"/>
  <c r="AN93" i="4"/>
  <c r="AM74" i="7"/>
  <c r="AN133" i="6"/>
  <c r="AM133" i="6"/>
  <c r="AM193" i="7"/>
  <c r="AN193" i="7"/>
  <c r="BG175" i="1"/>
  <c r="BD176" i="1" s="1"/>
  <c r="AN114" i="6"/>
  <c r="AM114" i="6"/>
  <c r="BG76" i="6"/>
  <c r="AO154" i="6"/>
  <c r="AL155" i="6" s="1"/>
  <c r="AN194" i="6"/>
  <c r="AM194" i="6"/>
  <c r="AN74" i="8"/>
  <c r="AM74" i="8"/>
  <c r="AO94" i="6"/>
  <c r="AL95" i="6" s="1"/>
  <c r="AV75" i="7"/>
  <c r="AW75" i="7"/>
  <c r="BY175" i="1"/>
  <c r="BV176" i="1" s="1"/>
  <c r="BG135" i="1" l="1"/>
  <c r="BD136" i="1" s="1"/>
  <c r="AM154" i="4"/>
  <c r="AN154" i="4"/>
  <c r="BN76" i="1"/>
  <c r="AV76" i="1"/>
  <c r="AW76" i="1"/>
  <c r="K38" i="1"/>
  <c r="K63" i="1"/>
  <c r="L38" i="1"/>
  <c r="AZ150" i="1"/>
  <c r="AZ151" i="1"/>
  <c r="J41" i="1" s="1"/>
  <c r="AM95" i="1"/>
  <c r="AO95" i="1" s="1"/>
  <c r="AL96" i="1" s="1"/>
  <c r="AM96" i="1" s="1"/>
  <c r="K62" i="1"/>
  <c r="L36" i="1"/>
  <c r="K36" i="1"/>
  <c r="AO74" i="1"/>
  <c r="AL75" i="1" s="1"/>
  <c r="AN75" i="1" s="1"/>
  <c r="AM175" i="7"/>
  <c r="AN175" i="7"/>
  <c r="BO215" i="8"/>
  <c r="BN215" i="8"/>
  <c r="BP215" i="8" s="1"/>
  <c r="BM216" i="8" s="1"/>
  <c r="BO216" i="8" s="1"/>
  <c r="BY155" i="1"/>
  <c r="BV156" i="1" s="1"/>
  <c r="BX156" i="1" s="1"/>
  <c r="BN175" i="8"/>
  <c r="BP175" i="8" s="1"/>
  <c r="BM176" i="8" s="1"/>
  <c r="BO175" i="8"/>
  <c r="BI131" i="7"/>
  <c r="BR110" i="1"/>
  <c r="AX94" i="4"/>
  <c r="AU95" i="4" s="1"/>
  <c r="AV95" i="4" s="1"/>
  <c r="AV96" i="6"/>
  <c r="AX96" i="6" s="1"/>
  <c r="BR191" i="6"/>
  <c r="BW215" i="7"/>
  <c r="BY215" i="7" s="1"/>
  <c r="BV216" i="7" s="1"/>
  <c r="BX216" i="7" s="1"/>
  <c r="AO216" i="6"/>
  <c r="AQ211" i="6" s="1"/>
  <c r="AX135" i="8"/>
  <c r="AU136" i="8" s="1"/>
  <c r="AV136" i="8" s="1"/>
  <c r="AN155" i="8"/>
  <c r="AM155" i="8"/>
  <c r="BG216" i="8"/>
  <c r="BI210" i="8" s="1"/>
  <c r="BN216" i="8"/>
  <c r="AZ130" i="7"/>
  <c r="BN96" i="1"/>
  <c r="BP96" i="1" s="1"/>
  <c r="BP174" i="6"/>
  <c r="BM175" i="6" s="1"/>
  <c r="BE175" i="8"/>
  <c r="BG175" i="8" s="1"/>
  <c r="BD176" i="8" s="1"/>
  <c r="BE96" i="6"/>
  <c r="BG96" i="6" s="1"/>
  <c r="AV176" i="7"/>
  <c r="AX176" i="7" s="1"/>
  <c r="BX195" i="7"/>
  <c r="BY195" i="7" s="1"/>
  <c r="BV196" i="7" s="1"/>
  <c r="BW196" i="7" s="1"/>
  <c r="BY95" i="7"/>
  <c r="BV96" i="7" s="1"/>
  <c r="BW96" i="7" s="1"/>
  <c r="BN76" i="4"/>
  <c r="BP76" i="4" s="1"/>
  <c r="BR71" i="4" s="1"/>
  <c r="BO76" i="4"/>
  <c r="AQ71" i="6"/>
  <c r="AW136" i="8"/>
  <c r="AX136" i="8" s="1"/>
  <c r="AO173" i="8"/>
  <c r="AL174" i="8" s="1"/>
  <c r="AN174" i="8" s="1"/>
  <c r="CA150" i="8"/>
  <c r="CA151" i="8"/>
  <c r="BN156" i="4"/>
  <c r="AW136" i="1"/>
  <c r="AX136" i="1" s="1"/>
  <c r="BY96" i="8"/>
  <c r="CA90" i="8" s="1"/>
  <c r="AN174" i="4"/>
  <c r="AO174" i="4" s="1"/>
  <c r="AL175" i="4" s="1"/>
  <c r="AM175" i="4" s="1"/>
  <c r="BY194" i="6"/>
  <c r="BV195" i="6" s="1"/>
  <c r="BX195" i="6" s="1"/>
  <c r="AX134" i="6"/>
  <c r="AU135" i="6" s="1"/>
  <c r="AV135" i="6" s="1"/>
  <c r="BG114" i="1"/>
  <c r="BD115" i="1" s="1"/>
  <c r="BF115" i="1" s="1"/>
  <c r="BR151" i="8"/>
  <c r="AW214" i="8"/>
  <c r="AX214" i="8" s="1"/>
  <c r="AU215" i="8" s="1"/>
  <c r="BX74" i="8"/>
  <c r="BY74" i="8" s="1"/>
  <c r="BV75" i="8" s="1"/>
  <c r="AM155" i="1"/>
  <c r="AO155" i="1" s="1"/>
  <c r="AL156" i="1" s="1"/>
  <c r="AN156" i="1" s="1"/>
  <c r="BP175" i="4"/>
  <c r="BM176" i="4" s="1"/>
  <c r="BE136" i="1"/>
  <c r="BF136" i="1"/>
  <c r="BO115" i="4"/>
  <c r="BP115" i="4" s="1"/>
  <c r="BM116" i="4" s="1"/>
  <c r="BN116" i="4" s="1"/>
  <c r="CA190" i="8"/>
  <c r="AW175" i="1"/>
  <c r="AX175" i="1" s="1"/>
  <c r="AU176" i="1" s="1"/>
  <c r="BW75" i="6"/>
  <c r="BY75" i="6" s="1"/>
  <c r="BV76" i="6" s="1"/>
  <c r="BG134" i="8"/>
  <c r="BD135" i="8" s="1"/>
  <c r="BE135" i="8" s="1"/>
  <c r="BX176" i="4"/>
  <c r="BW176" i="4"/>
  <c r="BY176" i="4" s="1"/>
  <c r="BY96" i="6"/>
  <c r="CA91" i="6" s="1"/>
  <c r="BX136" i="4"/>
  <c r="BY136" i="4" s="1"/>
  <c r="CA130" i="4" s="1"/>
  <c r="CA90" i="1"/>
  <c r="BO175" i="6"/>
  <c r="BN175" i="6"/>
  <c r="BP175" i="6" s="1"/>
  <c r="BM176" i="6" s="1"/>
  <c r="BE196" i="7"/>
  <c r="BF196" i="7"/>
  <c r="AV216" i="1"/>
  <c r="AW216" i="1"/>
  <c r="AW95" i="4"/>
  <c r="AN135" i="1"/>
  <c r="AO135" i="1" s="1"/>
  <c r="AL136" i="1" s="1"/>
  <c r="BO95" i="6"/>
  <c r="BP95" i="6" s="1"/>
  <c r="BM96" i="6" s="1"/>
  <c r="AV155" i="8"/>
  <c r="AX155" i="8" s="1"/>
  <c r="AU156" i="8" s="1"/>
  <c r="CA150" i="4"/>
  <c r="AW75" i="8"/>
  <c r="AX75" i="8" s="1"/>
  <c r="AU76" i="8" s="1"/>
  <c r="AV76" i="8" s="1"/>
  <c r="BO153" i="6"/>
  <c r="BP153" i="6" s="1"/>
  <c r="BM154" i="6" s="1"/>
  <c r="BX195" i="4"/>
  <c r="BY195" i="4" s="1"/>
  <c r="BV196" i="4" s="1"/>
  <c r="BX196" i="4" s="1"/>
  <c r="BI151" i="1"/>
  <c r="AN116" i="7"/>
  <c r="AM116" i="7"/>
  <c r="BP136" i="1"/>
  <c r="BR130" i="1" s="1"/>
  <c r="BY94" i="4"/>
  <c r="BV95" i="4" s="1"/>
  <c r="AZ191" i="1"/>
  <c r="J43" i="1" s="1"/>
  <c r="AO115" i="1"/>
  <c r="AL116" i="1" s="1"/>
  <c r="AN116" i="1" s="1"/>
  <c r="AX114" i="4"/>
  <c r="AU115" i="4" s="1"/>
  <c r="AO216" i="4"/>
  <c r="BG95" i="8"/>
  <c r="BD96" i="8" s="1"/>
  <c r="BP174" i="7"/>
  <c r="BM175" i="7" s="1"/>
  <c r="BN175" i="7" s="1"/>
  <c r="BG176" i="7"/>
  <c r="BN75" i="8"/>
  <c r="BO75" i="8"/>
  <c r="BI111" i="7"/>
  <c r="BI110" i="7"/>
  <c r="BN156" i="7"/>
  <c r="BO156" i="7"/>
  <c r="BR71" i="7"/>
  <c r="BI90" i="4"/>
  <c r="AO155" i="8"/>
  <c r="AL156" i="8" s="1"/>
  <c r="AM156" i="8" s="1"/>
  <c r="BF76" i="4"/>
  <c r="BG76" i="4" s="1"/>
  <c r="BI71" i="4" s="1"/>
  <c r="BI71" i="7"/>
  <c r="BO116" i="6"/>
  <c r="BP116" i="6" s="1"/>
  <c r="BR110" i="6" s="1"/>
  <c r="BF196" i="4"/>
  <c r="BE196" i="4"/>
  <c r="BI131" i="6"/>
  <c r="BI130" i="6"/>
  <c r="AO114" i="6"/>
  <c r="AL115" i="6" s="1"/>
  <c r="AN115" i="6" s="1"/>
  <c r="BF95" i="7"/>
  <c r="BG95" i="7" s="1"/>
  <c r="BD96" i="7" s="1"/>
  <c r="BE96" i="7" s="1"/>
  <c r="BE113" i="8"/>
  <c r="BF113" i="8"/>
  <c r="AV196" i="8"/>
  <c r="AW196" i="8"/>
  <c r="CA71" i="7"/>
  <c r="CA70" i="7"/>
  <c r="BW75" i="1"/>
  <c r="BY75" i="1" s="1"/>
  <c r="BV76" i="1" s="1"/>
  <c r="AQ131" i="8"/>
  <c r="AX214" i="7"/>
  <c r="AU215" i="7" s="1"/>
  <c r="AV215" i="7" s="1"/>
  <c r="BX96" i="7"/>
  <c r="BY96" i="7" s="1"/>
  <c r="CA91" i="7" s="1"/>
  <c r="AO133" i="6"/>
  <c r="AL134" i="6" s="1"/>
  <c r="AN134" i="6" s="1"/>
  <c r="BE216" i="4"/>
  <c r="BG216" i="4" s="1"/>
  <c r="BI210" i="4" s="1"/>
  <c r="AO214" i="8"/>
  <c r="AL215" i="8" s="1"/>
  <c r="AN215" i="8" s="1"/>
  <c r="BO116" i="7"/>
  <c r="BN116" i="7"/>
  <c r="AX114" i="7"/>
  <c r="AU115" i="7" s="1"/>
  <c r="AW115" i="7" s="1"/>
  <c r="AQ190" i="4"/>
  <c r="AN75" i="4"/>
  <c r="AO75" i="4" s="1"/>
  <c r="AL76" i="4" s="1"/>
  <c r="AN76" i="4" s="1"/>
  <c r="BX116" i="8"/>
  <c r="BY116" i="8" s="1"/>
  <c r="AM96" i="8"/>
  <c r="AN96" i="8"/>
  <c r="BR191" i="7"/>
  <c r="BR190" i="7"/>
  <c r="AO74" i="8"/>
  <c r="AL75" i="8" s="1"/>
  <c r="AM75" i="8" s="1"/>
  <c r="CA150" i="7"/>
  <c r="BY136" i="6"/>
  <c r="CA130" i="6" s="1"/>
  <c r="BG175" i="6"/>
  <c r="BD176" i="6" s="1"/>
  <c r="BE176" i="6" s="1"/>
  <c r="BG196" i="6"/>
  <c r="BI190" i="6" s="1"/>
  <c r="BI151" i="6"/>
  <c r="BI150" i="6"/>
  <c r="AM155" i="7"/>
  <c r="AN155" i="7"/>
  <c r="BE176" i="8"/>
  <c r="BF176" i="8"/>
  <c r="AW216" i="4"/>
  <c r="AX216" i="4" s="1"/>
  <c r="AZ210" i="4" s="1"/>
  <c r="AX176" i="6"/>
  <c r="AZ170" i="6" s="1"/>
  <c r="BF96" i="1"/>
  <c r="BE96" i="1"/>
  <c r="AO175" i="7"/>
  <c r="AL176" i="7" s="1"/>
  <c r="AN176" i="7" s="1"/>
  <c r="AW196" i="4"/>
  <c r="AX196" i="4" s="1"/>
  <c r="AZ190" i="4" s="1"/>
  <c r="BW116" i="7"/>
  <c r="BY116" i="7" s="1"/>
  <c r="CA111" i="7" s="1"/>
  <c r="BI191" i="8"/>
  <c r="BP156" i="4"/>
  <c r="AV154" i="6"/>
  <c r="AX154" i="6" s="1"/>
  <c r="AU155" i="6" s="1"/>
  <c r="AW155" i="6" s="1"/>
  <c r="AO74" i="7"/>
  <c r="AL75" i="7" s="1"/>
  <c r="AN75" i="7" s="1"/>
  <c r="BY116" i="1"/>
  <c r="BX113" i="6"/>
  <c r="BY113" i="6" s="1"/>
  <c r="BV114" i="6" s="1"/>
  <c r="BW114" i="6" s="1"/>
  <c r="BN135" i="8"/>
  <c r="BP135" i="8" s="1"/>
  <c r="BM136" i="8" s="1"/>
  <c r="BO135" i="8"/>
  <c r="AM213" i="1"/>
  <c r="AO213" i="1" s="1"/>
  <c r="AL214" i="1" s="1"/>
  <c r="AN214" i="1" s="1"/>
  <c r="BF215" i="1"/>
  <c r="BG215" i="1" s="1"/>
  <c r="BD216" i="1" s="1"/>
  <c r="BE216" i="1" s="1"/>
  <c r="CA190" i="1"/>
  <c r="CA191" i="1"/>
  <c r="BN115" i="8"/>
  <c r="BO115" i="8"/>
  <c r="BP76" i="1"/>
  <c r="BN216" i="6"/>
  <c r="BO216" i="6"/>
  <c r="BP75" i="8"/>
  <c r="BM76" i="8" s="1"/>
  <c r="BN76" i="8" s="1"/>
  <c r="AZ131" i="4"/>
  <c r="BR71" i="6"/>
  <c r="BR70" i="6"/>
  <c r="AQ190" i="8"/>
  <c r="AQ191" i="8"/>
  <c r="AX75" i="7"/>
  <c r="AU76" i="7" s="1"/>
  <c r="AO193" i="7"/>
  <c r="AL194" i="7" s="1"/>
  <c r="AN216" i="7"/>
  <c r="AM216" i="7"/>
  <c r="AM134" i="7"/>
  <c r="AN134" i="7"/>
  <c r="AO194" i="6"/>
  <c r="AL195" i="6" s="1"/>
  <c r="AM95" i="6"/>
  <c r="AN95" i="6"/>
  <c r="AM155" i="6"/>
  <c r="AN155" i="6"/>
  <c r="AM114" i="8"/>
  <c r="AN114" i="8"/>
  <c r="BN135" i="7"/>
  <c r="BO135" i="7"/>
  <c r="BI70" i="6"/>
  <c r="BI71" i="6"/>
  <c r="BE176" i="1"/>
  <c r="BF176" i="1"/>
  <c r="AO93" i="4"/>
  <c r="AL94" i="4" s="1"/>
  <c r="AQ171" i="1"/>
  <c r="D42" i="1" s="1"/>
  <c r="AQ170" i="1"/>
  <c r="AM176" i="6"/>
  <c r="AN176" i="6"/>
  <c r="BW176" i="1"/>
  <c r="BX176" i="1"/>
  <c r="AW156" i="7"/>
  <c r="AV156" i="7"/>
  <c r="AX76" i="1" l="1"/>
  <c r="AM75" i="1"/>
  <c r="AO154" i="4"/>
  <c r="AL155" i="4" s="1"/>
  <c r="AN155" i="4" s="1"/>
  <c r="AX95" i="4"/>
  <c r="AU96" i="4" s="1"/>
  <c r="AZ71" i="1"/>
  <c r="J34" i="1" s="1"/>
  <c r="AZ70" i="1"/>
  <c r="BW156" i="1"/>
  <c r="BY156" i="1" s="1"/>
  <c r="CA151" i="1" s="1"/>
  <c r="L41" i="1"/>
  <c r="K65" i="1"/>
  <c r="K41" i="1"/>
  <c r="L43" i="1"/>
  <c r="Q57" i="1" s="1"/>
  <c r="K67" i="1"/>
  <c r="K43" i="1"/>
  <c r="P57" i="1" s="1"/>
  <c r="AN96" i="1"/>
  <c r="AO96" i="1" s="1"/>
  <c r="AQ90" i="1" s="1"/>
  <c r="BO176" i="8"/>
  <c r="BN176" i="8"/>
  <c r="BP176" i="8" s="1"/>
  <c r="AQ210" i="6"/>
  <c r="AZ90" i="6"/>
  <c r="AZ91" i="6"/>
  <c r="BW216" i="7"/>
  <c r="BY216" i="7" s="1"/>
  <c r="CA210" i="7" s="1"/>
  <c r="AM116" i="1"/>
  <c r="AO116" i="1" s="1"/>
  <c r="AQ110" i="1" s="1"/>
  <c r="BX114" i="6"/>
  <c r="BP216" i="8"/>
  <c r="BR210" i="8" s="1"/>
  <c r="BR90" i="1"/>
  <c r="BR91" i="1"/>
  <c r="CA90" i="6"/>
  <c r="BG113" i="8"/>
  <c r="BD114" i="8" s="1"/>
  <c r="BF114" i="8" s="1"/>
  <c r="BR131" i="1"/>
  <c r="BX196" i="7"/>
  <c r="BY196" i="7" s="1"/>
  <c r="AZ131" i="8"/>
  <c r="AZ130" i="8"/>
  <c r="AW156" i="8"/>
  <c r="AV156" i="8"/>
  <c r="AX156" i="8" s="1"/>
  <c r="BR171" i="8"/>
  <c r="BR170" i="8"/>
  <c r="BG136" i="1"/>
  <c r="BI130" i="1" s="1"/>
  <c r="CA91" i="8"/>
  <c r="BF135" i="8"/>
  <c r="BG135" i="8" s="1"/>
  <c r="BD136" i="8" s="1"/>
  <c r="BE115" i="1"/>
  <c r="BG115" i="1" s="1"/>
  <c r="BD116" i="1" s="1"/>
  <c r="BE116" i="1" s="1"/>
  <c r="AW135" i="6"/>
  <c r="AX135" i="6" s="1"/>
  <c r="AU136" i="6" s="1"/>
  <c r="AW136" i="6" s="1"/>
  <c r="AM115" i="6"/>
  <c r="AO115" i="6" s="1"/>
  <c r="AL116" i="6" s="1"/>
  <c r="AM116" i="6" s="1"/>
  <c r="BW195" i="6"/>
  <c r="BY195" i="6" s="1"/>
  <c r="BV196" i="6" s="1"/>
  <c r="BW196" i="6" s="1"/>
  <c r="BO116" i="4"/>
  <c r="BP116" i="4" s="1"/>
  <c r="BR110" i="4" s="1"/>
  <c r="AO176" i="6"/>
  <c r="AM174" i="8"/>
  <c r="AW215" i="8"/>
  <c r="AV215" i="8"/>
  <c r="CA171" i="4"/>
  <c r="CA170" i="4"/>
  <c r="BX75" i="8"/>
  <c r="BW75" i="8"/>
  <c r="BO175" i="7"/>
  <c r="AX216" i="1"/>
  <c r="AZ210" i="1" s="1"/>
  <c r="CA131" i="4"/>
  <c r="AO116" i="7"/>
  <c r="AQ111" i="7" s="1"/>
  <c r="AZ171" i="6"/>
  <c r="BG196" i="7"/>
  <c r="BO176" i="4"/>
  <c r="BN176" i="4"/>
  <c r="AN156" i="8"/>
  <c r="AO156" i="8" s="1"/>
  <c r="AQ151" i="8" s="1"/>
  <c r="CA90" i="7"/>
  <c r="AO96" i="8"/>
  <c r="AM215" i="8"/>
  <c r="AO215" i="8" s="1"/>
  <c r="AL216" i="8" s="1"/>
  <c r="AN216" i="8" s="1"/>
  <c r="AM156" i="1"/>
  <c r="AO156" i="1" s="1"/>
  <c r="AQ151" i="1" s="1"/>
  <c r="D41" i="1" s="1"/>
  <c r="AN136" i="1"/>
  <c r="AM136" i="1"/>
  <c r="AN75" i="8"/>
  <c r="AO75" i="8" s="1"/>
  <c r="AL76" i="8" s="1"/>
  <c r="AN76" i="8" s="1"/>
  <c r="AN175" i="4"/>
  <c r="AO175" i="4" s="1"/>
  <c r="AL176" i="4" s="1"/>
  <c r="BG196" i="4"/>
  <c r="BI191" i="4" s="1"/>
  <c r="BF96" i="8"/>
  <c r="BE96" i="8"/>
  <c r="AQ210" i="4"/>
  <c r="AQ211" i="4"/>
  <c r="AW96" i="4"/>
  <c r="AV96" i="4"/>
  <c r="BG176" i="8"/>
  <c r="BI171" i="8" s="1"/>
  <c r="AV115" i="4"/>
  <c r="AW115" i="4"/>
  <c r="AZ170" i="7"/>
  <c r="AZ171" i="7"/>
  <c r="AM176" i="7"/>
  <c r="AO176" i="7" s="1"/>
  <c r="AQ171" i="7" s="1"/>
  <c r="BI170" i="7"/>
  <c r="BI171" i="7"/>
  <c r="BN176" i="6"/>
  <c r="BP176" i="6" s="1"/>
  <c r="BO176" i="6"/>
  <c r="BR70" i="4"/>
  <c r="AM75" i="7"/>
  <c r="AO75" i="7" s="1"/>
  <c r="AL76" i="7" s="1"/>
  <c r="AM76" i="7" s="1"/>
  <c r="BF176" i="6"/>
  <c r="BG176" i="6" s="1"/>
  <c r="AO174" i="8"/>
  <c r="AL175" i="8" s="1"/>
  <c r="AM175" i="8" s="1"/>
  <c r="BP156" i="7"/>
  <c r="BR151" i="7" s="1"/>
  <c r="BW95" i="4"/>
  <c r="BX95" i="4"/>
  <c r="BX76" i="6"/>
  <c r="BW76" i="6"/>
  <c r="BI191" i="6"/>
  <c r="BP116" i="7"/>
  <c r="BR110" i="7" s="1"/>
  <c r="AW215" i="7"/>
  <c r="AX215" i="7" s="1"/>
  <c r="AU216" i="7" s="1"/>
  <c r="AW216" i="7" s="1"/>
  <c r="BI90" i="6"/>
  <c r="BI91" i="6"/>
  <c r="AW76" i="8"/>
  <c r="AX76" i="8" s="1"/>
  <c r="AO216" i="7"/>
  <c r="AQ211" i="7" s="1"/>
  <c r="CA131" i="6"/>
  <c r="AX156" i="7"/>
  <c r="AZ151" i="7" s="1"/>
  <c r="BX76" i="1"/>
  <c r="BW76" i="1"/>
  <c r="CA111" i="8"/>
  <c r="CA110" i="8"/>
  <c r="AV115" i="7"/>
  <c r="AX115" i="7" s="1"/>
  <c r="AU116" i="7" s="1"/>
  <c r="AW116" i="7" s="1"/>
  <c r="BP135" i="7"/>
  <c r="BM136" i="7" s="1"/>
  <c r="BN136" i="7" s="1"/>
  <c r="BR111" i="6"/>
  <c r="BG96" i="1"/>
  <c r="BI91" i="1" s="1"/>
  <c r="AV176" i="1"/>
  <c r="AW176" i="1"/>
  <c r="AX196" i="8"/>
  <c r="AM134" i="6"/>
  <c r="AO134" i="6" s="1"/>
  <c r="AL135" i="6" s="1"/>
  <c r="AM135" i="6" s="1"/>
  <c r="BW196" i="4"/>
  <c r="BY196" i="4" s="1"/>
  <c r="AQ90" i="8"/>
  <c r="AQ91" i="8"/>
  <c r="BI70" i="4"/>
  <c r="BI191" i="7"/>
  <c r="BI190" i="7"/>
  <c r="AO155" i="7"/>
  <c r="AL156" i="7" s="1"/>
  <c r="AO114" i="8"/>
  <c r="AL115" i="8" s="1"/>
  <c r="AM115" i="8" s="1"/>
  <c r="BF216" i="1"/>
  <c r="BG216" i="1" s="1"/>
  <c r="BI210" i="1" s="1"/>
  <c r="AV155" i="6"/>
  <c r="AX155" i="6" s="1"/>
  <c r="AU156" i="6" s="1"/>
  <c r="AZ191" i="4"/>
  <c r="CA110" i="7"/>
  <c r="AM76" i="4"/>
  <c r="AO76" i="4" s="1"/>
  <c r="CA110" i="1"/>
  <c r="CA111" i="1"/>
  <c r="BF96" i="7"/>
  <c r="BG96" i="7" s="1"/>
  <c r="BP175" i="7"/>
  <c r="BM176" i="7" s="1"/>
  <c r="BO176" i="7" s="1"/>
  <c r="BY176" i="1"/>
  <c r="CA171" i="1" s="1"/>
  <c r="BN154" i="6"/>
  <c r="BO154" i="6"/>
  <c r="BO136" i="8"/>
  <c r="BN136" i="8"/>
  <c r="AO134" i="7"/>
  <c r="AL135" i="7" s="1"/>
  <c r="AN135" i="7" s="1"/>
  <c r="BO96" i="6"/>
  <c r="BN96" i="6"/>
  <c r="BP96" i="6" s="1"/>
  <c r="BR150" i="4"/>
  <c r="BR151" i="4"/>
  <c r="AO155" i="6"/>
  <c r="AL156" i="6" s="1"/>
  <c r="AM156" i="6" s="1"/>
  <c r="BP216" i="6"/>
  <c r="BR210" i="6" s="1"/>
  <c r="BR71" i="1"/>
  <c r="BR70" i="1"/>
  <c r="BO76" i="8"/>
  <c r="BP76" i="8" s="1"/>
  <c r="BR71" i="8" s="1"/>
  <c r="AM214" i="1"/>
  <c r="AO214" i="1" s="1"/>
  <c r="AL215" i="1" s="1"/>
  <c r="BP115" i="8"/>
  <c r="BM116" i="8" s="1"/>
  <c r="AO75" i="1"/>
  <c r="AL76" i="1" s="1"/>
  <c r="AN76" i="1" s="1"/>
  <c r="AQ150" i="8"/>
  <c r="BY114" i="6"/>
  <c r="BV115" i="6" s="1"/>
  <c r="BG176" i="1"/>
  <c r="AN195" i="6"/>
  <c r="AM195" i="6"/>
  <c r="AQ170" i="6"/>
  <c r="AQ171" i="6"/>
  <c r="AZ130" i="1"/>
  <c r="AZ131" i="1"/>
  <c r="J40" i="1" s="1"/>
  <c r="AM94" i="4"/>
  <c r="AN94" i="4"/>
  <c r="AO95" i="6"/>
  <c r="AL96" i="6" s="1"/>
  <c r="AV76" i="7"/>
  <c r="AW76" i="7"/>
  <c r="AM194" i="7"/>
  <c r="AN194" i="7"/>
  <c r="J66" i="1"/>
  <c r="F42" i="1"/>
  <c r="E42" i="1"/>
  <c r="AM155" i="4" l="1"/>
  <c r="AO155" i="4" s="1"/>
  <c r="AL156" i="4" s="1"/>
  <c r="AM156" i="4" s="1"/>
  <c r="AX96" i="4"/>
  <c r="BP176" i="4"/>
  <c r="BI190" i="4"/>
  <c r="CA150" i="1"/>
  <c r="K34" i="1"/>
  <c r="L34" i="1"/>
  <c r="K61" i="1"/>
  <c r="BI131" i="1"/>
  <c r="K40" i="1"/>
  <c r="K64" i="1"/>
  <c r="L40" i="1"/>
  <c r="AQ91" i="1"/>
  <c r="D36" i="1" s="1"/>
  <c r="E36" i="1" s="1"/>
  <c r="P51" i="1" s="1"/>
  <c r="CA190" i="7"/>
  <c r="CA191" i="7"/>
  <c r="BP154" i="6"/>
  <c r="BM155" i="6" s="1"/>
  <c r="AX215" i="8"/>
  <c r="AU216" i="8" s="1"/>
  <c r="AZ150" i="7"/>
  <c r="BE114" i="8"/>
  <c r="AX115" i="4"/>
  <c r="AU116" i="4" s="1"/>
  <c r="AV116" i="4" s="1"/>
  <c r="BE136" i="8"/>
  <c r="BF136" i="8"/>
  <c r="AQ210" i="7"/>
  <c r="AV136" i="6"/>
  <c r="AX136" i="6" s="1"/>
  <c r="AZ131" i="6" s="1"/>
  <c r="AO136" i="1"/>
  <c r="AQ130" i="1" s="1"/>
  <c r="BY75" i="8"/>
  <c r="BV76" i="8" s="1"/>
  <c r="BX76" i="8" s="1"/>
  <c r="AQ110" i="7"/>
  <c r="BR111" i="4"/>
  <c r="AQ150" i="1"/>
  <c r="E41" i="1" s="1"/>
  <c r="P55" i="1" s="1"/>
  <c r="P11" i="5" s="1"/>
  <c r="BY76" i="1"/>
  <c r="CA70" i="1" s="1"/>
  <c r="BG96" i="8"/>
  <c r="BI91" i="8" s="1"/>
  <c r="BX196" i="6"/>
  <c r="BY196" i="6" s="1"/>
  <c r="BI170" i="8"/>
  <c r="AQ111" i="1"/>
  <c r="D38" i="1" s="1"/>
  <c r="J63" i="1" s="1"/>
  <c r="BY76" i="6"/>
  <c r="CA71" i="6" s="1"/>
  <c r="BY95" i="4"/>
  <c r="BV96" i="4" s="1"/>
  <c r="BX96" i="4" s="1"/>
  <c r="AN156" i="6"/>
  <c r="AO156" i="6" s="1"/>
  <c r="AQ151" i="6" s="1"/>
  <c r="BR170" i="4"/>
  <c r="BR171" i="4"/>
  <c r="AN175" i="8"/>
  <c r="AO175" i="8" s="1"/>
  <c r="AL176" i="8" s="1"/>
  <c r="BR171" i="6"/>
  <c r="BR170" i="6"/>
  <c r="BI170" i="6"/>
  <c r="BI171" i="6"/>
  <c r="AQ170" i="7"/>
  <c r="AM76" i="8"/>
  <c r="AO76" i="8" s="1"/>
  <c r="AZ91" i="4"/>
  <c r="AZ90" i="4"/>
  <c r="BR150" i="7"/>
  <c r="CA170" i="1"/>
  <c r="CA190" i="4"/>
  <c r="CA191" i="4"/>
  <c r="AM216" i="8"/>
  <c r="AO216" i="8" s="1"/>
  <c r="AQ211" i="8" s="1"/>
  <c r="BR70" i="8"/>
  <c r="BR111" i="7"/>
  <c r="BO136" i="7"/>
  <c r="BP136" i="7" s="1"/>
  <c r="AM135" i="7"/>
  <c r="AO135" i="7" s="1"/>
  <c r="AL136" i="7" s="1"/>
  <c r="AM136" i="7" s="1"/>
  <c r="BG114" i="8"/>
  <c r="BD115" i="8" s="1"/>
  <c r="AX176" i="1"/>
  <c r="AZ170" i="1" s="1"/>
  <c r="BP136" i="8"/>
  <c r="AN115" i="8"/>
  <c r="AO115" i="8" s="1"/>
  <c r="AL116" i="8" s="1"/>
  <c r="AN76" i="7"/>
  <c r="AO76" i="7" s="1"/>
  <c r="AQ70" i="7" s="1"/>
  <c r="AV216" i="7"/>
  <c r="AX216" i="7" s="1"/>
  <c r="AZ210" i="7" s="1"/>
  <c r="AV116" i="7"/>
  <c r="AX116" i="7" s="1"/>
  <c r="AZ111" i="7" s="1"/>
  <c r="BI90" i="1"/>
  <c r="AZ191" i="8"/>
  <c r="AZ190" i="8"/>
  <c r="AM176" i="4"/>
  <c r="AN176" i="4"/>
  <c r="AM156" i="7"/>
  <c r="AN156" i="7"/>
  <c r="BN176" i="7"/>
  <c r="BP176" i="7" s="1"/>
  <c r="BR91" i="6"/>
  <c r="BR90" i="6"/>
  <c r="BN155" i="6"/>
  <c r="BO155" i="6"/>
  <c r="BF116" i="1"/>
  <c r="BG116" i="1" s="1"/>
  <c r="AN116" i="6"/>
  <c r="AO116" i="6" s="1"/>
  <c r="AQ111" i="6" s="1"/>
  <c r="AM76" i="1"/>
  <c r="AO76" i="1" s="1"/>
  <c r="AQ71" i="1" s="1"/>
  <c r="D34" i="1" s="1"/>
  <c r="AO195" i="6"/>
  <c r="AL196" i="6" s="1"/>
  <c r="AN196" i="6" s="1"/>
  <c r="BI90" i="7"/>
  <c r="BI91" i="7"/>
  <c r="BN116" i="8"/>
  <c r="BO116" i="8"/>
  <c r="BW115" i="6"/>
  <c r="BX115" i="6"/>
  <c r="AZ151" i="8"/>
  <c r="AZ150" i="8"/>
  <c r="AN135" i="6"/>
  <c r="AO135" i="6" s="1"/>
  <c r="AL136" i="6" s="1"/>
  <c r="AQ70" i="4"/>
  <c r="AQ71" i="4"/>
  <c r="J65" i="1"/>
  <c r="F41" i="1"/>
  <c r="Q55" i="1" s="1"/>
  <c r="Q11" i="5" s="1"/>
  <c r="BI170" i="1"/>
  <c r="BI171" i="1"/>
  <c r="AZ71" i="8"/>
  <c r="AZ70" i="8"/>
  <c r="AM215" i="1"/>
  <c r="AN215" i="1"/>
  <c r="AM96" i="6"/>
  <c r="AN96" i="6"/>
  <c r="AO194" i="7"/>
  <c r="AL195" i="7" s="1"/>
  <c r="AX76" i="7"/>
  <c r="AV156" i="6"/>
  <c r="AW156" i="6"/>
  <c r="AO94" i="4"/>
  <c r="AL95" i="4" s="1"/>
  <c r="AN156" i="4" l="1"/>
  <c r="AO156" i="4" s="1"/>
  <c r="AQ151" i="4" s="1"/>
  <c r="J62" i="1"/>
  <c r="F36" i="1"/>
  <c r="Q50" i="1" s="1"/>
  <c r="K11" i="5" s="1"/>
  <c r="P50" i="1"/>
  <c r="J11" i="5" s="1"/>
  <c r="E38" i="1"/>
  <c r="P52" i="1" s="1"/>
  <c r="M11" i="5" s="1"/>
  <c r="F38" i="1"/>
  <c r="Q52" i="1" s="1"/>
  <c r="N11" i="5" s="1"/>
  <c r="AW116" i="4"/>
  <c r="AX116" i="4" s="1"/>
  <c r="AZ111" i="4" s="1"/>
  <c r="BW96" i="4"/>
  <c r="BY96" i="4" s="1"/>
  <c r="CA90" i="4" s="1"/>
  <c r="BW76" i="8"/>
  <c r="BY76" i="8" s="1"/>
  <c r="CA71" i="8" s="1"/>
  <c r="AW216" i="8"/>
  <c r="AV216" i="8"/>
  <c r="AX216" i="8"/>
  <c r="AZ210" i="8" s="1"/>
  <c r="CA71" i="1"/>
  <c r="BI90" i="8"/>
  <c r="CA70" i="6"/>
  <c r="AQ131" i="1"/>
  <c r="D40" i="1" s="1"/>
  <c r="F40" i="1" s="1"/>
  <c r="Q54" i="1" s="1"/>
  <c r="BG136" i="8"/>
  <c r="AM176" i="8"/>
  <c r="AO176" i="8" s="1"/>
  <c r="AQ171" i="8" s="1"/>
  <c r="AN176" i="8"/>
  <c r="CA191" i="6"/>
  <c r="CA190" i="6"/>
  <c r="AO156" i="7"/>
  <c r="AQ150" i="7" s="1"/>
  <c r="AN136" i="7"/>
  <c r="AO136" i="7" s="1"/>
  <c r="AQ210" i="8"/>
  <c r="AQ150" i="6"/>
  <c r="AZ171" i="1"/>
  <c r="J42" i="1" s="1"/>
  <c r="BR131" i="8"/>
  <c r="BR130" i="8"/>
  <c r="BF115" i="8"/>
  <c r="BE115" i="8"/>
  <c r="AM116" i="8"/>
  <c r="AN116" i="8"/>
  <c r="BR170" i="7"/>
  <c r="BR171" i="7"/>
  <c r="AX156" i="6"/>
  <c r="AZ151" i="6" s="1"/>
  <c r="AZ130" i="6"/>
  <c r="AQ71" i="7"/>
  <c r="AO176" i="4"/>
  <c r="BI111" i="1"/>
  <c r="BI110" i="1"/>
  <c r="BP116" i="8"/>
  <c r="BR110" i="8" s="1"/>
  <c r="AQ110" i="6"/>
  <c r="AQ70" i="1"/>
  <c r="E34" i="1" s="1"/>
  <c r="P49" i="1" s="1"/>
  <c r="AZ110" i="7"/>
  <c r="AM196" i="6"/>
  <c r="AO196" i="6" s="1"/>
  <c r="AQ191" i="6" s="1"/>
  <c r="BY115" i="6"/>
  <c r="BV116" i="6" s="1"/>
  <c r="BX116" i="6" s="1"/>
  <c r="BP155" i="6"/>
  <c r="BM156" i="6" s="1"/>
  <c r="AM136" i="6"/>
  <c r="AN136" i="6"/>
  <c r="AO96" i="6"/>
  <c r="AQ90" i="6" s="1"/>
  <c r="O57" i="1"/>
  <c r="O55" i="1"/>
  <c r="O11" i="5" s="1"/>
  <c r="F34" i="1"/>
  <c r="Q48" i="1" s="1"/>
  <c r="H11" i="5" s="1"/>
  <c r="J61" i="1"/>
  <c r="O48" i="1" s="1"/>
  <c r="F11" i="5" s="1"/>
  <c r="O52" i="1"/>
  <c r="L11" i="5" s="1"/>
  <c r="O50" i="1"/>
  <c r="I11" i="5" s="1"/>
  <c r="AZ70" i="7"/>
  <c r="AZ71" i="7"/>
  <c r="AO215" i="1"/>
  <c r="AL216" i="1" s="1"/>
  <c r="AM195" i="7"/>
  <c r="AN195" i="7"/>
  <c r="AQ71" i="8"/>
  <c r="AQ70" i="8"/>
  <c r="AM95" i="4"/>
  <c r="AN95" i="4"/>
  <c r="BR131" i="7"/>
  <c r="BR130" i="7"/>
  <c r="AQ150" i="4" l="1"/>
  <c r="AZ110" i="4"/>
  <c r="P53" i="1"/>
  <c r="K42" i="1"/>
  <c r="P56" i="1" s="1"/>
  <c r="K66" i="1"/>
  <c r="O56" i="1" s="1"/>
  <c r="L42" i="1"/>
  <c r="Q56" i="1" s="1"/>
  <c r="AO195" i="7"/>
  <c r="AL196" i="7" s="1"/>
  <c r="CA70" i="8"/>
  <c r="BI130" i="8"/>
  <c r="BI131" i="8"/>
  <c r="E40" i="1"/>
  <c r="P54" i="1" s="1"/>
  <c r="J64" i="1"/>
  <c r="O54" i="1" s="1"/>
  <c r="AQ170" i="8"/>
  <c r="CA91" i="4"/>
  <c r="AQ151" i="7"/>
  <c r="BR111" i="8"/>
  <c r="BG115" i="8"/>
  <c r="BD116" i="8" s="1"/>
  <c r="BW116" i="6"/>
  <c r="BY116" i="6" s="1"/>
  <c r="CA111" i="6" s="1"/>
  <c r="AQ170" i="4"/>
  <c r="AQ171" i="4"/>
  <c r="AZ150" i="6"/>
  <c r="AQ190" i="6"/>
  <c r="AO116" i="8"/>
  <c r="BN156" i="6"/>
  <c r="BO156" i="6"/>
  <c r="CA110" i="6"/>
  <c r="AQ91" i="6"/>
  <c r="AO136" i="6"/>
  <c r="AM196" i="7"/>
  <c r="AN196" i="7"/>
  <c r="AM216" i="1"/>
  <c r="AN216" i="1"/>
  <c r="P48" i="1"/>
  <c r="G11" i="5" s="1"/>
  <c r="AO95" i="4"/>
  <c r="AL96" i="4" s="1"/>
  <c r="AQ131" i="7"/>
  <c r="AQ130" i="7"/>
  <c r="BF116" i="8" l="1"/>
  <c r="BE116" i="8"/>
  <c r="AQ110" i="8"/>
  <c r="AQ111" i="8"/>
  <c r="AO216" i="1"/>
  <c r="BP156" i="6"/>
  <c r="AQ130" i="6"/>
  <c r="AQ131" i="6"/>
  <c r="AM96" i="4"/>
  <c r="AN96" i="4"/>
  <c r="AO196" i="7"/>
  <c r="AQ210" i="1" l="1"/>
  <c r="AQ211" i="1"/>
  <c r="D44" i="1" s="1"/>
  <c r="BG116" i="8"/>
  <c r="BR151" i="6"/>
  <c r="BR150" i="6"/>
  <c r="AQ191" i="7"/>
  <c r="AQ190" i="7"/>
  <c r="AO96" i="4"/>
  <c r="E44" i="1" l="1"/>
  <c r="F44" i="1"/>
  <c r="J68" i="1"/>
  <c r="O58" i="1" s="1"/>
  <c r="BI110" i="8"/>
  <c r="BI111" i="8"/>
  <c r="AQ91" i="4"/>
  <c r="AQ90" i="4"/>
  <c r="Q58" i="1" l="1"/>
  <c r="P58" i="1"/>
</calcChain>
</file>

<file path=xl/comments1.xml><?xml version="1.0" encoding="utf-8"?>
<comments xmlns="http://schemas.openxmlformats.org/spreadsheetml/2006/main">
  <authors>
    <author>ESE Service</author>
  </authors>
  <commentList>
    <comment ref="AF2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Ｐ明朝"/>
            <family val="1"/>
            <charset val="128"/>
          </rPr>
          <t>Ｕｓｅｒ Ｒｅｇ.（</t>
        </r>
        <r>
          <rPr>
            <b/>
            <sz val="9"/>
            <color indexed="53"/>
            <rFont val="ＭＳ 明朝"/>
            <family val="1"/>
            <charset val="128"/>
          </rPr>
          <t>登録)の方法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24-USER Reg.にCVVS-3Cを登録</t>
        </r>
        <r>
          <rPr>
            <sz val="11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する場合"24-"は、消去せずに
　"USER REG."のみを消去して、
　"CVVS-3C"と修正して下さい。</t>
        </r>
      </text>
    </comment>
    <comment ref="B6" authorId="0">
      <text>
        <r>
          <rPr>
            <b/>
            <sz val="10"/>
            <color indexed="81"/>
            <rFont val="ＭＳ 明朝"/>
            <family val="1"/>
            <charset val="128"/>
          </rPr>
          <t xml:space="preserve">　  　　　 </t>
        </r>
        <r>
          <rPr>
            <b/>
            <sz val="12"/>
            <color indexed="54"/>
            <rFont val="ＭＳ 明朝"/>
            <family val="1"/>
            <charset val="128"/>
          </rPr>
          <t>架線弛度計算</t>
        </r>
        <r>
          <rPr>
            <b/>
            <sz val="12"/>
            <color indexed="81"/>
            <rFont val="ＭＳ 明朝"/>
            <family val="1"/>
            <charset val="128"/>
          </rPr>
          <t xml:space="preserve"> </t>
        </r>
        <r>
          <rPr>
            <b/>
            <sz val="10"/>
            <color indexed="54"/>
            <rFont val="ＭＳ 明朝"/>
            <family val="1"/>
            <charset val="128"/>
          </rPr>
          <t>(</t>
        </r>
        <r>
          <rPr>
            <b/>
            <sz val="12"/>
            <color indexed="54"/>
            <rFont val="Times New Roman"/>
            <family val="1"/>
          </rPr>
          <t>ESE</t>
        </r>
        <r>
          <rPr>
            <b/>
            <sz val="10"/>
            <color indexed="54"/>
            <rFont val="Times New Roman"/>
            <family val="1"/>
          </rPr>
          <t xml:space="preserve"> </t>
        </r>
        <r>
          <rPr>
            <b/>
            <sz val="9"/>
            <color indexed="54"/>
            <rFont val="Times New Roman"/>
            <family val="1"/>
          </rPr>
          <t>SERVICE</t>
        </r>
        <r>
          <rPr>
            <b/>
            <sz val="10"/>
            <color indexed="54"/>
            <rFont val="ＭＳ 明朝"/>
            <family val="1"/>
            <charset val="128"/>
          </rPr>
          <t xml:space="preserve"> </t>
        </r>
        <r>
          <rPr>
            <b/>
            <sz val="8"/>
            <color indexed="45"/>
            <rFont val="Times New Roman"/>
            <family val="1"/>
          </rPr>
          <t>Ver1.01  2005.07.02</t>
        </r>
        <r>
          <rPr>
            <b/>
            <sz val="10"/>
            <color indexed="54"/>
            <rFont val="ＭＳ 明朝"/>
            <family val="1"/>
            <charset val="128"/>
          </rPr>
          <t>)</t>
        </r>
        <r>
          <rPr>
            <b/>
            <sz val="20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9"/>
            <color indexed="12"/>
            <rFont val="ＭＳ 明朝"/>
            <family val="1"/>
            <charset val="128"/>
          </rPr>
          <t xml:space="preserve"> 1.シート構成</t>
        </r>
        <r>
          <rPr>
            <b/>
            <sz val="14"/>
            <color indexed="12"/>
            <rFont val="ＭＳ 明朝"/>
            <family val="1"/>
            <charset val="128"/>
          </rPr>
          <t>　</t>
        </r>
        <r>
          <rPr>
            <b/>
            <sz val="9"/>
            <color indexed="12"/>
            <rFont val="ＭＳ 明朝"/>
            <family val="1"/>
            <charset val="128"/>
          </rPr>
          <t xml:space="preserve">
　　 </t>
        </r>
        <r>
          <rPr>
            <b/>
            <sz val="9"/>
            <color indexed="19"/>
            <rFont val="ＭＳ 明朝"/>
            <family val="1"/>
            <charset val="128"/>
          </rPr>
          <t>計算シート　Sheet No.：</t>
        </r>
        <r>
          <rPr>
            <b/>
            <sz val="9"/>
            <color indexed="51"/>
            <rFont val="ＭＳ 明朝"/>
            <family val="1"/>
            <charset val="128"/>
          </rPr>
          <t>A4-01～nn</t>
        </r>
        <r>
          <rPr>
            <b/>
            <sz val="11"/>
            <color indexed="51"/>
            <rFont val="ＭＳ 明朝"/>
            <family val="1"/>
            <charset val="128"/>
          </rPr>
          <t xml:space="preserve"> </t>
        </r>
        <r>
          <rPr>
            <b/>
            <sz val="14"/>
            <color indexed="81"/>
            <rFont val="ＭＳ 明朝"/>
            <family val="1"/>
            <charset val="128"/>
          </rPr>
          <t xml:space="preserve">
</t>
        </r>
        <r>
          <rPr>
            <b/>
            <sz val="9"/>
            <color indexed="81"/>
            <rFont val="ＭＳ 明朝"/>
            <family val="1"/>
            <charset val="128"/>
          </rPr>
          <t>　 　</t>
        </r>
        <r>
          <rPr>
            <b/>
            <sz val="9"/>
            <color indexed="19"/>
            <rFont val="ＭＳ 明朝"/>
            <family val="1"/>
            <charset val="128"/>
          </rPr>
          <t>集計シート　Sheet No.：</t>
        </r>
        <r>
          <rPr>
            <b/>
            <sz val="9"/>
            <color indexed="52"/>
            <rFont val="ＭＳ 明朝"/>
            <family val="1"/>
            <charset val="128"/>
          </rPr>
          <t>A4-Total</t>
        </r>
        <r>
          <rPr>
            <b/>
            <sz val="9"/>
            <color indexed="81"/>
            <rFont val="ＭＳ 明朝"/>
            <family val="1"/>
            <charset val="128"/>
          </rPr>
          <t xml:space="preserve">
　　 </t>
        </r>
        <r>
          <rPr>
            <b/>
            <sz val="9"/>
            <color indexed="19"/>
            <rFont val="ＭＳ 明朝"/>
            <family val="1"/>
            <charset val="128"/>
          </rPr>
          <t>DATAシート　Sheet No.：</t>
        </r>
        <r>
          <rPr>
            <b/>
            <sz val="9"/>
            <color indexed="46"/>
            <rFont val="ＭＳ 明朝"/>
            <family val="1"/>
            <charset val="128"/>
          </rPr>
          <t>ＤＡＴＡ</t>
        </r>
        <r>
          <rPr>
            <b/>
            <sz val="9"/>
            <color indexed="81"/>
            <rFont val="ＭＳ 明朝"/>
            <family val="1"/>
            <charset val="128"/>
          </rPr>
          <t xml:space="preserve">
</t>
        </r>
        <r>
          <rPr>
            <b/>
            <sz val="9"/>
            <color indexed="12"/>
            <rFont val="ＭＳ 明朝"/>
            <family val="1"/>
            <charset val="128"/>
          </rPr>
          <t xml:space="preserve"> 2.計算式</t>
        </r>
        <r>
          <rPr>
            <b/>
            <sz val="14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 xml:space="preserve">
　　 </t>
        </r>
        <r>
          <rPr>
            <b/>
            <sz val="9"/>
            <color indexed="19"/>
            <rFont val="ＭＳ 明朝"/>
            <family val="1"/>
            <charset val="128"/>
          </rPr>
          <t>Ｄt</t>
        </r>
        <r>
          <rPr>
            <b/>
            <vertAlign val="superscript"/>
            <sz val="11"/>
            <color indexed="19"/>
            <rFont val="ＭＳ 明朝"/>
            <family val="1"/>
            <charset val="128"/>
          </rPr>
          <t>3</t>
        </r>
        <r>
          <rPr>
            <b/>
            <sz val="9"/>
            <color indexed="19"/>
            <rFont val="ＭＳ 明朝"/>
            <family val="1"/>
            <charset val="128"/>
          </rPr>
          <t>－(Ａ－Ｂ)Ｄt－ＢＤ(Ｗt／Ｗ)＝０</t>
        </r>
        <r>
          <rPr>
            <b/>
            <sz val="9"/>
            <color indexed="81"/>
            <rFont val="ＭＳ 明朝"/>
            <family val="1"/>
            <charset val="128"/>
          </rPr>
          <t xml:space="preserve">
</t>
        </r>
        <r>
          <rPr>
            <b/>
            <sz val="8"/>
            <color indexed="19"/>
            <rFont val="ＭＳ 明朝"/>
            <family val="1"/>
            <charset val="128"/>
          </rPr>
          <t>　　ニュートン(１回微分)法による近似計算を採用し､一次導函数および二次導函数</t>
        </r>
        <r>
          <rPr>
            <b/>
            <sz val="14"/>
            <color indexed="19"/>
            <rFont val="ＭＳ 明朝"/>
            <family val="1"/>
            <charset val="128"/>
          </rPr>
          <t xml:space="preserve"> </t>
        </r>
        <r>
          <rPr>
            <b/>
            <sz val="8"/>
            <color indexed="19"/>
            <rFont val="ＭＳ 明朝"/>
            <family val="1"/>
            <charset val="128"/>
          </rPr>
          <t xml:space="preserve">
　　で得た微係数と変曲点の解析から近似初期値を設定して、収束(誤差10</t>
        </r>
        <r>
          <rPr>
            <b/>
            <vertAlign val="superscript"/>
            <sz val="8"/>
            <color indexed="19"/>
            <rFont val="ＭＳ 明朝"/>
            <family val="1"/>
            <charset val="128"/>
          </rPr>
          <t>-14</t>
        </r>
        <r>
          <rPr>
            <b/>
            <sz val="8"/>
            <color indexed="19"/>
            <rFont val="ＭＳ 明朝"/>
            <family val="1"/>
            <charset val="128"/>
          </rPr>
          <t>以下)
　　させた。</t>
        </r>
        <r>
          <rPr>
            <b/>
            <sz val="9"/>
            <color indexed="19"/>
            <rFont val="ＭＳ 明朝"/>
            <family val="1"/>
            <charset val="128"/>
          </rPr>
          <t xml:space="preserve"> </t>
        </r>
        <r>
          <rPr>
            <b/>
            <sz val="8"/>
            <color indexed="12"/>
            <rFont val="ＭＳ 明朝"/>
            <family val="1"/>
            <charset val="128"/>
          </rPr>
          <t xml:space="preserve">
</t>
        </r>
        <r>
          <rPr>
            <b/>
            <sz val="9"/>
            <color indexed="12"/>
            <rFont val="ＭＳ 明朝"/>
            <family val="1"/>
            <charset val="128"/>
          </rPr>
          <t xml:space="preserve"> 3.主な使用ワークシート・ファンクション</t>
        </r>
        <r>
          <rPr>
            <b/>
            <sz val="16"/>
            <color indexed="12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 xml:space="preserve">
</t>
        </r>
        <r>
          <rPr>
            <b/>
            <sz val="9"/>
            <color indexed="19"/>
            <rFont val="ＭＳ 明朝"/>
            <family val="1"/>
            <charset val="128"/>
          </rPr>
          <t>　　HLOOKUP,VLOOKUP：ＤＡＴＡ読み込み</t>
        </r>
        <r>
          <rPr>
            <b/>
            <sz val="12"/>
            <color indexed="19"/>
            <rFont val="ＭＳ 明朝"/>
            <family val="1"/>
            <charset val="128"/>
          </rPr>
          <t xml:space="preserve"> </t>
        </r>
        <r>
          <rPr>
            <b/>
            <sz val="9"/>
            <color indexed="19"/>
            <rFont val="ＭＳ 明朝"/>
            <family val="1"/>
            <charset val="128"/>
          </rPr>
          <t xml:space="preserve">
　　IF()：条件判断
　　MAX,MIN：最大値、最小値</t>
        </r>
        <r>
          <rPr>
            <b/>
            <sz val="9"/>
            <color indexed="81"/>
            <rFont val="ＭＳ 明朝"/>
            <family val="1"/>
            <charset val="128"/>
          </rPr>
          <t xml:space="preserve">
</t>
        </r>
        <r>
          <rPr>
            <b/>
            <sz val="9"/>
            <color indexed="12"/>
            <rFont val="ＭＳ 明朝"/>
            <family val="1"/>
            <charset val="128"/>
          </rPr>
          <t xml:space="preserve"> 4.風圧荷重</t>
        </r>
        <r>
          <rPr>
            <b/>
            <sz val="16"/>
            <color indexed="53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 xml:space="preserve">
</t>
        </r>
        <r>
          <rPr>
            <b/>
            <sz val="9"/>
            <color indexed="19"/>
            <rFont val="ＭＳ 明朝"/>
            <family val="1"/>
            <charset val="128"/>
          </rPr>
          <t>　　</t>
        </r>
        <r>
          <rPr>
            <b/>
            <sz val="8"/>
            <color indexed="19"/>
            <rFont val="ＭＳ 明朝"/>
            <family val="1"/>
            <charset val="128"/>
          </rPr>
          <t>電気設備技術基準32条(解釈条項57条)および社団法人日本電気協会編配電規程</t>
        </r>
        <r>
          <rPr>
            <b/>
            <sz val="10"/>
            <color indexed="19"/>
            <rFont val="ＭＳ 明朝"/>
            <family val="1"/>
            <charset val="128"/>
          </rPr>
          <t xml:space="preserve"> </t>
        </r>
        <r>
          <rPr>
            <b/>
            <sz val="8"/>
            <color indexed="19"/>
            <rFont val="ＭＳ 明朝"/>
            <family val="1"/>
            <charset val="128"/>
          </rPr>
          <t xml:space="preserve">
</t>
        </r>
        <r>
          <rPr>
            <b/>
            <sz val="9"/>
            <color indexed="19"/>
            <rFont val="ＭＳ 明朝"/>
            <family val="1"/>
            <charset val="128"/>
          </rPr>
          <t>　　</t>
        </r>
        <r>
          <rPr>
            <b/>
            <sz val="8"/>
            <color indexed="19"/>
            <rFont val="ＭＳ 明朝"/>
            <family val="1"/>
            <charset val="128"/>
          </rPr>
          <t>による。</t>
        </r>
        <r>
          <rPr>
            <b/>
            <sz val="8"/>
            <color indexed="12"/>
            <rFont val="ＭＳ 明朝"/>
            <family val="1"/>
            <charset val="128"/>
          </rPr>
          <t xml:space="preserve">
</t>
        </r>
        <r>
          <rPr>
            <b/>
            <sz val="9"/>
            <color indexed="12"/>
            <rFont val="ＭＳ 明朝"/>
            <family val="1"/>
            <charset val="128"/>
          </rPr>
          <t xml:space="preserve"> 5.ご使用上の注意事項</t>
        </r>
        <r>
          <rPr>
            <b/>
            <sz val="16"/>
            <color indexed="12"/>
            <rFont val="ＭＳ 明朝"/>
            <family val="1"/>
            <charset val="128"/>
          </rPr>
          <t xml:space="preserve"> </t>
        </r>
        <r>
          <rPr>
            <b/>
            <sz val="9"/>
            <color indexed="12"/>
            <rFont val="ＭＳ 明朝"/>
            <family val="1"/>
            <charset val="128"/>
          </rPr>
          <t xml:space="preserve">
</t>
        </r>
        <r>
          <rPr>
            <b/>
            <sz val="8"/>
            <color indexed="19"/>
            <rFont val="ＭＳ 明朝"/>
            <family val="1"/>
            <charset val="128"/>
          </rPr>
          <t>　　・計算シートの入力箇所：黄色セル(各項目のコメント文参照)</t>
        </r>
        <r>
          <rPr>
            <b/>
            <sz val="12"/>
            <color indexed="19"/>
            <rFont val="ＭＳ 明朝"/>
            <family val="1"/>
            <charset val="128"/>
          </rPr>
          <t xml:space="preserve"> </t>
        </r>
        <r>
          <rPr>
            <b/>
            <sz val="9"/>
            <color indexed="12"/>
            <rFont val="ＭＳ 明朝"/>
            <family val="1"/>
            <charset val="128"/>
          </rPr>
          <t xml:space="preserve">
</t>
        </r>
        <r>
          <rPr>
            <b/>
            <sz val="8"/>
            <color indexed="12"/>
            <rFont val="ＭＳ 明朝"/>
            <family val="1"/>
            <charset val="128"/>
          </rPr>
          <t>　　</t>
        </r>
        <r>
          <rPr>
            <b/>
            <sz val="8"/>
            <color indexed="19"/>
            <rFont val="ＭＳ 明朝"/>
            <family val="1"/>
            <charset val="128"/>
          </rPr>
          <t>・入力中に"#VALUE!"が表示されることがありますが、全ての入力が完了すると
　　　この表示は消えます。</t>
        </r>
        <r>
          <rPr>
            <b/>
            <sz val="9"/>
            <color indexed="12"/>
            <rFont val="ＭＳ 明朝"/>
            <family val="1"/>
            <charset val="128"/>
          </rPr>
          <t xml:space="preserve">
</t>
        </r>
        <r>
          <rPr>
            <b/>
            <sz val="9"/>
            <color indexed="19"/>
            <rFont val="ＭＳ 明朝"/>
            <family val="1"/>
            <charset val="128"/>
          </rPr>
          <t>　　</t>
        </r>
        <r>
          <rPr>
            <b/>
            <sz val="8"/>
            <color indexed="19"/>
            <rFont val="ＭＳ 明朝"/>
            <family val="1"/>
            <charset val="128"/>
          </rPr>
          <t>・電線、メッセンジャ・ワイヤのデータ修正、削除、追加について</t>
        </r>
        <r>
          <rPr>
            <b/>
            <sz val="14"/>
            <color indexed="19"/>
            <rFont val="ＭＳ 明朝"/>
            <family val="1"/>
            <charset val="128"/>
          </rPr>
          <t>　</t>
        </r>
        <r>
          <rPr>
            <b/>
            <sz val="8"/>
            <color indexed="12"/>
            <rFont val="ＭＳ 明朝"/>
            <family val="1"/>
            <charset val="128"/>
          </rPr>
          <t xml:space="preserve">
</t>
        </r>
        <r>
          <rPr>
            <b/>
            <sz val="9"/>
            <color indexed="54"/>
            <rFont val="ＭＳ 明朝"/>
            <family val="1"/>
            <charset val="128"/>
          </rPr>
          <t>　　</t>
        </r>
        <r>
          <rPr>
            <b/>
            <sz val="8"/>
            <color indexed="54"/>
            <rFont val="ＭＳ 明朝"/>
            <family val="1"/>
            <charset val="128"/>
          </rPr>
          <t xml:space="preserve">　　計算シート欄外右側のプルダウン・リスト[使用電線]、[ﾒｯｾﾝｼﾞｬ･ﾜｲﾔ]
</t>
        </r>
        <r>
          <rPr>
            <b/>
            <sz val="9"/>
            <color indexed="54"/>
            <rFont val="ＭＳ 明朝"/>
            <family val="1"/>
            <charset val="128"/>
          </rPr>
          <t>　　</t>
        </r>
        <r>
          <rPr>
            <b/>
            <sz val="8"/>
            <color indexed="54"/>
            <rFont val="ＭＳ 明朝"/>
            <family val="1"/>
            <charset val="128"/>
          </rPr>
          <t xml:space="preserve">　　の各項目を修正、削除して下さい。"User Reg."を修正すると追加登録
</t>
        </r>
        <r>
          <rPr>
            <b/>
            <sz val="9"/>
            <color indexed="54"/>
            <rFont val="ＭＳ 明朝"/>
            <family val="1"/>
            <charset val="128"/>
          </rPr>
          <t>　　</t>
        </r>
        <r>
          <rPr>
            <b/>
            <sz val="8"/>
            <color indexed="54"/>
            <rFont val="ＭＳ 明朝"/>
            <family val="1"/>
            <charset val="128"/>
          </rPr>
          <t xml:space="preserve">　　が出来ます。修正、追加内容は、ＤＡＴＡシートに自動転記されますの
</t>
        </r>
        <r>
          <rPr>
            <b/>
            <sz val="9"/>
            <color indexed="54"/>
            <rFont val="ＭＳ 明朝"/>
            <family val="1"/>
            <charset val="128"/>
          </rPr>
          <t>　　</t>
        </r>
        <r>
          <rPr>
            <b/>
            <sz val="8"/>
            <color indexed="54"/>
            <rFont val="ＭＳ 明朝"/>
            <family val="1"/>
            <charset val="128"/>
          </rPr>
          <t>　　で必要細目をＤＡＴＡシートで修正、登録して下さい。</t>
        </r>
      </text>
    </comment>
    <comment ref="J19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　　</t>
        </r>
        <r>
          <rPr>
            <b/>
            <sz val="9"/>
            <color indexed="53"/>
            <rFont val="ＭＳ 明朝"/>
            <family val="1"/>
            <charset val="128"/>
          </rPr>
          <t>基準弛度の入力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基準径間長４０[ｍ]、温度１５[℃]、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無風時において、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＝0.5[ｍ]：ＯＷ，ＡＣＳＲ-ＯＷ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＝0.6[ｍ]：その他の電線
　ただし、メッセンジャ・ワイヤによるケー
　ブルの多条張架をする場合等は、張力合計
　値から判断して、</t>
        </r>
        <r>
          <rPr>
            <sz val="9"/>
            <color indexed="14"/>
            <rFont val="ＭＳ 明朝"/>
            <family val="1"/>
            <charset val="128"/>
          </rPr>
          <t>弛度を基準弛度より大</t>
        </r>
        <r>
          <rPr>
            <sz val="9"/>
            <color indexed="81"/>
            <rFont val="ＭＳ 明朝"/>
            <family val="1"/>
            <charset val="128"/>
          </rPr>
          <t>き
　く設定しなければ支線(Stay)の強度がとれ
　ない事例もあります。
　また､安全率についても2.5以上が望ましく、
　</t>
        </r>
        <r>
          <rPr>
            <sz val="9"/>
            <color indexed="14"/>
            <rFont val="ＭＳ 明朝"/>
            <family val="1"/>
            <charset val="128"/>
          </rPr>
          <t>弛度の補正</t>
        </r>
        <r>
          <rPr>
            <sz val="9"/>
            <color indexed="81"/>
            <rFont val="ＭＳ 明朝"/>
            <family val="1"/>
            <charset val="128"/>
          </rPr>
          <t>で調整して下さい。</t>
        </r>
      </text>
    </comment>
    <comment ref="B20" authorId="0">
      <text>
        <r>
          <rPr>
            <sz val="9"/>
            <color indexed="81"/>
            <rFont val="ＭＳ 明朝"/>
            <family val="1"/>
            <charset val="128"/>
          </rPr>
          <t xml:space="preserve"> 　 　  </t>
        </r>
        <r>
          <rPr>
            <b/>
            <sz val="9"/>
            <color indexed="53"/>
            <rFont val="ＭＳ 明朝"/>
            <family val="1"/>
            <charset val="128"/>
          </rPr>
          <t>使用電線表示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電線の種類、サイズ、条数、</t>
        </r>
        <r>
          <rPr>
            <sz val="14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組数の入力が完了すると-1
　から-5の順に表示されます。
　</t>
        </r>
        <r>
          <rPr>
            <sz val="9"/>
            <color indexed="14"/>
            <rFont val="ＭＳ 明朝"/>
            <family val="1"/>
            <charset val="128"/>
          </rPr>
          <t>ただし、計算の種類が６以上</t>
        </r>
        <r>
          <rPr>
            <sz val="16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になると"計算不可"となり、
　残りは、次頁のシートに入力
　して下さい。</t>
        </r>
      </text>
    </comment>
    <comment ref="D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</t>
        </r>
        <r>
          <rPr>
            <b/>
            <sz val="9"/>
            <color indexed="53"/>
            <rFont val="ＭＳ 明朝"/>
            <family val="1"/>
            <charset val="128"/>
          </rPr>
          <t>電線の種類入力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選択して下さい。
　</t>
        </r>
        <r>
          <rPr>
            <b/>
            <sz val="9"/>
            <color indexed="81"/>
            <rFont val="ＭＳ 明朝"/>
            <family val="1"/>
            <charset val="128"/>
          </rPr>
          <t xml:space="preserve">【注】空欄を設けずに
　 上から順に入力して
　 下さい。
</t>
        </r>
        <r>
          <rPr>
            <b/>
            <sz val="9"/>
            <color indexed="14"/>
            <rFont val="ＭＳ 明朝"/>
            <family val="1"/>
            <charset val="128"/>
          </rPr>
          <t xml:space="preserve">　 </t>
        </r>
        <r>
          <rPr>
            <sz val="9"/>
            <color indexed="81"/>
            <rFont val="ＭＳ 明朝"/>
            <family val="1"/>
            <charset val="128"/>
          </rPr>
          <t>右欄セルNo.</t>
        </r>
        <r>
          <rPr>
            <sz val="9"/>
            <color indexed="14"/>
            <rFont val="ＭＳ 明朝"/>
            <family val="1"/>
            <charset val="128"/>
          </rPr>
          <t>AE3～44</t>
        </r>
        <r>
          <rPr>
            <sz val="9"/>
            <color indexed="81"/>
            <rFont val="ＭＳ 明朝"/>
            <family val="1"/>
            <charset val="128"/>
          </rPr>
          <t>の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USER Reg. を修正して、
　 新規データを登録して
　 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
　 わせて登録して下さい。</t>
        </r>
      </text>
    </comment>
    <comment ref="F20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明朝"/>
            <family val="1"/>
            <charset val="128"/>
          </rPr>
          <t>電線のサイズ入力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公称値を入力して下さい。</t>
        </r>
        <r>
          <rPr>
            <sz val="14"/>
            <color indexed="81"/>
            <rFont val="ＭＳ 明朝"/>
            <family val="1"/>
            <charset val="128"/>
          </rPr>
          <t xml:space="preserve"> 
</t>
        </r>
      </text>
    </comment>
    <comment ref="H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 </t>
        </r>
        <r>
          <rPr>
            <b/>
            <sz val="9"/>
            <color indexed="53"/>
            <rFont val="ＭＳ 明朝"/>
            <family val="1"/>
            <charset val="128"/>
          </rPr>
          <t>電線の条数入力例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高圧１回線 6KV OC×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CVV 2sq-15C×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(MW38)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</text>
    </comment>
    <comment ref="I20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明朝"/>
            <family val="1"/>
            <charset val="128"/>
          </rPr>
          <t>メッセンジャワイヤ入力例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電線･ケーブル-1,-2,-3 を MW38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１本に多条張架する場合には、
　電線･ケーブル-1欄に､MW 38sqを
　入力し､</t>
        </r>
        <r>
          <rPr>
            <sz val="9"/>
            <color indexed="12"/>
            <rFont val="ＭＳ 明朝"/>
            <family val="1"/>
            <charset val="128"/>
          </rPr>
          <t>-2,-3欄には､"---〃---"
　</t>
        </r>
        <r>
          <rPr>
            <sz val="9"/>
            <color indexed="81"/>
            <rFont val="ＭＳ 明朝"/>
            <family val="1"/>
            <charset val="128"/>
          </rPr>
          <t xml:space="preserve">を入力して下さい。
　　 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　 選択して下さい。</t>
        </r>
        <r>
          <rPr>
            <b/>
            <sz val="9"/>
            <color indexed="14"/>
            <rFont val="ＭＳ Ｐ明朝"/>
            <family val="1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 右欄セルNo.</t>
        </r>
        <r>
          <rPr>
            <sz val="9"/>
            <color indexed="14"/>
            <rFont val="ＭＳ 明朝"/>
            <family val="1"/>
            <charset val="128"/>
          </rPr>
          <t>AG3～AG10</t>
        </r>
        <r>
          <rPr>
            <sz val="9"/>
            <color indexed="81"/>
            <rFont val="ＭＳ 明朝"/>
            <family val="1"/>
            <charset val="128"/>
          </rPr>
          <t>のUSER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Reg.を修正して、新規データ
　 を登録して下さい。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もあわせて
　 登録して下さい。</t>
        </r>
      </text>
    </comment>
    <comment ref="J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合計の組数入力例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高圧２回線 6KV OC×3×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600V CV-T 200sq (MW38)×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</text>
    </comment>
    <comment ref="K21" authorId="0">
      <text>
        <r>
          <rPr>
            <b/>
            <sz val="9"/>
            <color indexed="53"/>
            <rFont val="ＭＳ 明朝"/>
            <family val="1"/>
            <charset val="128"/>
          </rPr>
          <t>　 多条張架ケーブル</t>
        </r>
        <r>
          <rPr>
            <b/>
            <sz val="14"/>
            <color indexed="53"/>
            <rFont val="ＭＳ 明朝"/>
            <family val="1"/>
            <charset val="128"/>
          </rPr>
          <t>　</t>
        </r>
        <r>
          <rPr>
            <b/>
            <sz val="9"/>
            <color indexed="53"/>
            <rFont val="ＭＳ 明朝"/>
            <family val="1"/>
            <charset val="128"/>
          </rPr>
          <t xml:space="preserve">
　 の平均外径(ｄ) 
</t>
        </r>
        <r>
          <rPr>
            <sz val="9"/>
            <color indexed="81"/>
            <rFont val="ＭＳ 明朝"/>
            <family val="1"/>
            <charset val="128"/>
          </rPr>
          <t>　Ｎ本のケーブルの外径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の平均値を</t>
        </r>
        <r>
          <rPr>
            <sz val="9"/>
            <color indexed="12"/>
            <rFont val="ＭＳ 明朝"/>
            <family val="1"/>
            <charset val="128"/>
          </rPr>
          <t>da</t>
        </r>
        <r>
          <rPr>
            <sz val="9"/>
            <color indexed="81"/>
            <rFont val="ＭＳ 明朝"/>
            <family val="1"/>
            <charset val="128"/>
          </rPr>
          <t xml:space="preserve">とすると、
　 </t>
        </r>
        <r>
          <rPr>
            <sz val="9"/>
            <color indexed="12"/>
            <rFont val="ＭＳ 明朝"/>
            <family val="1"/>
            <charset val="128"/>
          </rPr>
          <t>ｄ=ｄa×(Ｎ＾0.55)
　</t>
        </r>
        <r>
          <rPr>
            <sz val="9"/>
            <color indexed="81"/>
            <rFont val="ＭＳ 明朝"/>
            <family val="1"/>
            <charset val="128"/>
          </rPr>
          <t>として算出します。</t>
        </r>
        <r>
          <rPr>
            <sz val="9"/>
            <color indexed="12"/>
            <rFont val="ＭＳ 明朝"/>
            <family val="1"/>
            <charset val="128"/>
          </rPr>
          <t>　</t>
        </r>
      </text>
    </comment>
    <comment ref="L21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断面積の表示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電線の種類を入力して"</t>
        </r>
        <r>
          <rPr>
            <sz val="9"/>
            <color indexed="12"/>
            <rFont val="ＭＳ 明朝"/>
            <family val="1"/>
            <charset val="128"/>
          </rPr>
          <t>0.00</t>
        </r>
        <r>
          <rPr>
            <sz val="9"/>
            <color indexed="81"/>
            <rFont val="ＭＳ 明朝"/>
            <family val="1"/>
            <charset val="128"/>
          </rPr>
          <t>"と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 xml:space="preserve">　表示された場合には、メッセン
　ジャ・ワイヤを選択し入力して
　下さい。
</t>
        </r>
        <r>
          <rPr>
            <sz val="9"/>
            <color indexed="14"/>
            <rFont val="ＭＳ 明朝"/>
            <family val="1"/>
            <charset val="128"/>
          </rPr>
          <t>　【注】メッセンジャ・ワイヤの</t>
        </r>
        <r>
          <rPr>
            <sz val="14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　　　外径は、表示されません。</t>
        </r>
      </text>
    </comment>
    <comment ref="B33" authorId="0">
      <text>
        <r>
          <rPr>
            <sz val="9"/>
            <color indexed="81"/>
            <rFont val="ＭＳ 明朝"/>
            <family val="1"/>
            <charset val="128"/>
          </rPr>
          <t xml:space="preserve">  　　　</t>
        </r>
        <r>
          <rPr>
            <b/>
            <sz val="9"/>
            <color indexed="53"/>
            <rFont val="ＭＳ 明朝"/>
            <family val="1"/>
            <charset val="128"/>
          </rPr>
          <t>弛度補正値の入力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基準弛度に対して張力が大き過ぎる</t>
        </r>
        <r>
          <rPr>
            <sz val="11"/>
            <color indexed="81"/>
            <rFont val="ＭＳ 明朝"/>
            <family val="1"/>
            <charset val="128"/>
          </rPr>
          <t xml:space="preserve"> 
</t>
        </r>
        <r>
          <rPr>
            <sz val="9"/>
            <color indexed="81"/>
            <rFont val="ＭＳ 明朝"/>
            <family val="1"/>
            <charset val="128"/>
          </rPr>
          <t>　場合等、補正すると補正値が適用さ
　れます。
　</t>
        </r>
        <r>
          <rPr>
            <sz val="9"/>
            <color indexed="12"/>
            <rFont val="ＭＳ 明朝"/>
            <family val="1"/>
            <charset val="128"/>
          </rPr>
          <t>適用された弛度補正値とは、現在、</t>
        </r>
        <r>
          <rPr>
            <sz val="12"/>
            <color indexed="12"/>
            <rFont val="ＭＳ 明朝"/>
            <family val="1"/>
            <charset val="128"/>
          </rPr>
          <t xml:space="preserve"> </t>
        </r>
        <r>
          <rPr>
            <sz val="9"/>
            <color indexed="12"/>
            <rFont val="ＭＳ 明朝"/>
            <family val="1"/>
            <charset val="128"/>
          </rPr>
          <t xml:space="preserve">
　入力されている径間長に対する無風
　15[℃]に換算した基準弛度を表して
　います。</t>
        </r>
      </text>
    </comment>
  </commentList>
</comments>
</file>

<file path=xl/comments2.xml><?xml version="1.0" encoding="utf-8"?>
<comments xmlns="http://schemas.openxmlformats.org/spreadsheetml/2006/main">
  <authors>
    <author>ESE Service</author>
  </authors>
  <commentList>
    <comment ref="AF2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Ｐ明朝"/>
            <family val="1"/>
            <charset val="128"/>
          </rPr>
          <t>Ｕｓｅｒ Ｒｅｇ. と データ・コピー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USER Reg.は、シート A4-01 で</t>
        </r>
        <r>
          <rPr>
            <sz val="11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おこない、A4-02,-03,-04,-05
　の各シートにコピーして下さい。</t>
        </r>
      </text>
    </comment>
    <comment ref="J19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　　</t>
        </r>
        <r>
          <rPr>
            <b/>
            <sz val="9"/>
            <color indexed="53"/>
            <rFont val="ＭＳ 明朝"/>
            <family val="1"/>
            <charset val="128"/>
          </rPr>
          <t>基準弛度の入力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基準径間長４０[ｍ]、温度１５[℃]、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無風時において、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＝0.5[ｍ]：ＯＷ，ＡＣＳＲ-ＯＷ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＝0.6[ｍ]：その他の電線
　ただし、メッセンジャ・ワイヤによるケー
　ブルの多条張架をする場合等は、張力合計
　値から判断して、</t>
        </r>
        <r>
          <rPr>
            <sz val="9"/>
            <color indexed="14"/>
            <rFont val="ＭＳ 明朝"/>
            <family val="1"/>
            <charset val="128"/>
          </rPr>
          <t>弛度を基準弛度より大</t>
        </r>
        <r>
          <rPr>
            <sz val="9"/>
            <color indexed="81"/>
            <rFont val="ＭＳ 明朝"/>
            <family val="1"/>
            <charset val="128"/>
          </rPr>
          <t>き
　く設定しなければ支線(Stay)の強度がとれ
　ない事例もあります。
　また､安全率についても2.5以上が望ましく、
　</t>
        </r>
        <r>
          <rPr>
            <sz val="9"/>
            <color indexed="14"/>
            <rFont val="ＭＳ 明朝"/>
            <family val="1"/>
            <charset val="128"/>
          </rPr>
          <t>弛度の補正</t>
        </r>
        <r>
          <rPr>
            <sz val="9"/>
            <color indexed="81"/>
            <rFont val="ＭＳ 明朝"/>
            <family val="1"/>
            <charset val="128"/>
          </rPr>
          <t>で調整して下さい。</t>
        </r>
      </text>
    </comment>
    <comment ref="B20" authorId="0">
      <text>
        <r>
          <rPr>
            <sz val="9"/>
            <color indexed="81"/>
            <rFont val="ＭＳ 明朝"/>
            <family val="1"/>
            <charset val="128"/>
          </rPr>
          <t xml:space="preserve"> 　 　  </t>
        </r>
        <r>
          <rPr>
            <b/>
            <sz val="9"/>
            <color indexed="53"/>
            <rFont val="ＭＳ 明朝"/>
            <family val="1"/>
            <charset val="128"/>
          </rPr>
          <t>使用電線表示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電線の種類、サイズ、条数、</t>
        </r>
        <r>
          <rPr>
            <sz val="14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組数の入力が完了すると-1
　から-5の順に表示されます。
　</t>
        </r>
        <r>
          <rPr>
            <sz val="9"/>
            <color indexed="14"/>
            <rFont val="ＭＳ 明朝"/>
            <family val="1"/>
            <charset val="128"/>
          </rPr>
          <t>ただし、計算の種類が６以上</t>
        </r>
        <r>
          <rPr>
            <sz val="16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になると"計算不可"となり、
　残りは、次頁のシートに入力
　して下さい。</t>
        </r>
      </text>
    </comment>
    <comment ref="D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</t>
        </r>
        <r>
          <rPr>
            <b/>
            <sz val="9"/>
            <color indexed="53"/>
            <rFont val="ＭＳ 明朝"/>
            <family val="1"/>
            <charset val="128"/>
          </rPr>
          <t>電線の種類入力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選択して下さい。
　</t>
        </r>
        <r>
          <rPr>
            <b/>
            <sz val="9"/>
            <color indexed="81"/>
            <rFont val="ＭＳ 明朝"/>
            <family val="1"/>
            <charset val="128"/>
          </rPr>
          <t xml:space="preserve">【注】空欄を設けずに
　 上から順に入力して
　 下さい。
</t>
        </r>
        <r>
          <rPr>
            <b/>
            <sz val="9"/>
            <color indexed="14"/>
            <rFont val="ＭＳ 明朝"/>
            <family val="1"/>
            <charset val="128"/>
          </rPr>
          <t xml:space="preserve">　 </t>
        </r>
        <r>
          <rPr>
            <sz val="9"/>
            <color indexed="81"/>
            <rFont val="ＭＳ 明朝"/>
            <family val="1"/>
            <charset val="128"/>
          </rPr>
          <t>右欄セルNo.</t>
        </r>
        <r>
          <rPr>
            <sz val="9"/>
            <color indexed="14"/>
            <rFont val="ＭＳ 明朝"/>
            <family val="1"/>
            <charset val="128"/>
          </rPr>
          <t>AE3～44</t>
        </r>
        <r>
          <rPr>
            <sz val="9"/>
            <color indexed="81"/>
            <rFont val="ＭＳ 明朝"/>
            <family val="1"/>
            <charset val="128"/>
          </rPr>
          <t>の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USER Reg. を修正して、
　 新規データを登録して
　 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
　 わせて登録して下さい。</t>
        </r>
      </text>
    </comment>
    <comment ref="F20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明朝"/>
            <family val="1"/>
            <charset val="128"/>
          </rPr>
          <t>電線のサイズ入力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公称値を入力して下さい。</t>
        </r>
        <r>
          <rPr>
            <sz val="14"/>
            <color indexed="81"/>
            <rFont val="ＭＳ 明朝"/>
            <family val="1"/>
            <charset val="128"/>
          </rPr>
          <t xml:space="preserve"> 
</t>
        </r>
      </text>
    </comment>
    <comment ref="H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 </t>
        </r>
        <r>
          <rPr>
            <b/>
            <sz val="9"/>
            <color indexed="53"/>
            <rFont val="ＭＳ 明朝"/>
            <family val="1"/>
            <charset val="128"/>
          </rPr>
          <t>電線の条数入力例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高圧１回線 6KV OC×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CVV 2sq-15C×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(MW38)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</text>
    </comment>
    <comment ref="I20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明朝"/>
            <family val="1"/>
            <charset val="128"/>
          </rPr>
          <t>メッセンジャワイヤ入力例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電線･ケーブル-1,-2,-3 を MW38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１本に多条張架する場合には、
　電線･ケーブル-1欄に､MW 38sqを
　入力し､</t>
        </r>
        <r>
          <rPr>
            <sz val="9"/>
            <color indexed="12"/>
            <rFont val="ＭＳ 明朝"/>
            <family val="1"/>
            <charset val="128"/>
          </rPr>
          <t>-2,-3欄には､"---〃---"
　</t>
        </r>
        <r>
          <rPr>
            <sz val="9"/>
            <color indexed="81"/>
            <rFont val="ＭＳ 明朝"/>
            <family val="1"/>
            <charset val="128"/>
          </rPr>
          <t xml:space="preserve">を入力して下さい。
　　 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　 選択して下さい。</t>
        </r>
        <r>
          <rPr>
            <b/>
            <sz val="9"/>
            <color indexed="14"/>
            <rFont val="ＭＳ Ｐ明朝"/>
            <family val="1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 右欄セルNo.</t>
        </r>
        <r>
          <rPr>
            <sz val="9"/>
            <color indexed="14"/>
            <rFont val="ＭＳ 明朝"/>
            <family val="1"/>
            <charset val="128"/>
          </rPr>
          <t>AG3～AG10</t>
        </r>
        <r>
          <rPr>
            <sz val="9"/>
            <color indexed="81"/>
            <rFont val="ＭＳ 明朝"/>
            <family val="1"/>
            <charset val="128"/>
          </rPr>
          <t>のUSER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Reg.を修正して、新規データ
　 を登録して下さい。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もあわせて
　 登録して下さい。</t>
        </r>
      </text>
    </comment>
    <comment ref="J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合計の組数入力例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高圧２回線 6KV OC×3×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600V CV-T 200sq (MW38)×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</text>
    </comment>
    <comment ref="K21" authorId="0">
      <text>
        <r>
          <rPr>
            <b/>
            <sz val="9"/>
            <color indexed="53"/>
            <rFont val="ＭＳ 明朝"/>
            <family val="1"/>
            <charset val="128"/>
          </rPr>
          <t>　 多条張架ケーブル</t>
        </r>
        <r>
          <rPr>
            <b/>
            <sz val="14"/>
            <color indexed="53"/>
            <rFont val="ＭＳ 明朝"/>
            <family val="1"/>
            <charset val="128"/>
          </rPr>
          <t>　</t>
        </r>
        <r>
          <rPr>
            <b/>
            <sz val="9"/>
            <color indexed="53"/>
            <rFont val="ＭＳ 明朝"/>
            <family val="1"/>
            <charset val="128"/>
          </rPr>
          <t xml:space="preserve">
　 の平均外径(ｄ) 
</t>
        </r>
        <r>
          <rPr>
            <sz val="9"/>
            <color indexed="81"/>
            <rFont val="ＭＳ 明朝"/>
            <family val="1"/>
            <charset val="128"/>
          </rPr>
          <t>　Ｎ本のケーブルの外径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の平均値を</t>
        </r>
        <r>
          <rPr>
            <sz val="9"/>
            <color indexed="12"/>
            <rFont val="ＭＳ 明朝"/>
            <family val="1"/>
            <charset val="128"/>
          </rPr>
          <t>da</t>
        </r>
        <r>
          <rPr>
            <sz val="9"/>
            <color indexed="81"/>
            <rFont val="ＭＳ 明朝"/>
            <family val="1"/>
            <charset val="128"/>
          </rPr>
          <t xml:space="preserve">とすると、
　 </t>
        </r>
        <r>
          <rPr>
            <sz val="9"/>
            <color indexed="12"/>
            <rFont val="ＭＳ 明朝"/>
            <family val="1"/>
            <charset val="128"/>
          </rPr>
          <t>ｄ=ｄa×(Ｎ＾0.55)
　</t>
        </r>
        <r>
          <rPr>
            <sz val="9"/>
            <color indexed="81"/>
            <rFont val="ＭＳ 明朝"/>
            <family val="1"/>
            <charset val="128"/>
          </rPr>
          <t>として算出します。</t>
        </r>
        <r>
          <rPr>
            <sz val="9"/>
            <color indexed="12"/>
            <rFont val="ＭＳ 明朝"/>
            <family val="1"/>
            <charset val="128"/>
          </rPr>
          <t>　</t>
        </r>
      </text>
    </comment>
    <comment ref="L21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断面積の表示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電線の種類を入力して"</t>
        </r>
        <r>
          <rPr>
            <sz val="9"/>
            <color indexed="12"/>
            <rFont val="ＭＳ 明朝"/>
            <family val="1"/>
            <charset val="128"/>
          </rPr>
          <t>0.00</t>
        </r>
        <r>
          <rPr>
            <sz val="9"/>
            <color indexed="81"/>
            <rFont val="ＭＳ 明朝"/>
            <family val="1"/>
            <charset val="128"/>
          </rPr>
          <t>"と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 xml:space="preserve">　表示された場合には、メッセン
　ジャ・ワイヤを選択し入力して
　下さい。
</t>
        </r>
        <r>
          <rPr>
            <sz val="9"/>
            <color indexed="14"/>
            <rFont val="ＭＳ 明朝"/>
            <family val="1"/>
            <charset val="128"/>
          </rPr>
          <t>　【注】メッセンジャ・ワイヤの</t>
        </r>
        <r>
          <rPr>
            <sz val="14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　　　外径は、表示されません。</t>
        </r>
      </text>
    </comment>
    <comment ref="B33" authorId="0">
      <text>
        <r>
          <rPr>
            <sz val="9"/>
            <color indexed="81"/>
            <rFont val="ＭＳ 明朝"/>
            <family val="1"/>
            <charset val="128"/>
          </rPr>
          <t xml:space="preserve">  　　　</t>
        </r>
        <r>
          <rPr>
            <b/>
            <sz val="9"/>
            <color indexed="53"/>
            <rFont val="ＭＳ 明朝"/>
            <family val="1"/>
            <charset val="128"/>
          </rPr>
          <t>弛度補正値の入力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基準弛度に対して張力が大き過ぎる</t>
        </r>
        <r>
          <rPr>
            <sz val="11"/>
            <color indexed="81"/>
            <rFont val="ＭＳ 明朝"/>
            <family val="1"/>
            <charset val="128"/>
          </rPr>
          <t xml:space="preserve"> 
</t>
        </r>
        <r>
          <rPr>
            <sz val="9"/>
            <color indexed="81"/>
            <rFont val="ＭＳ 明朝"/>
            <family val="1"/>
            <charset val="128"/>
          </rPr>
          <t>　場合等、補正すると補正値が適用さ
　れます。
　</t>
        </r>
        <r>
          <rPr>
            <sz val="9"/>
            <color indexed="12"/>
            <rFont val="ＭＳ 明朝"/>
            <family val="1"/>
            <charset val="128"/>
          </rPr>
          <t>適用された弛度補正値とは、現在、</t>
        </r>
        <r>
          <rPr>
            <sz val="12"/>
            <color indexed="12"/>
            <rFont val="ＭＳ 明朝"/>
            <family val="1"/>
            <charset val="128"/>
          </rPr>
          <t xml:space="preserve"> </t>
        </r>
        <r>
          <rPr>
            <sz val="9"/>
            <color indexed="12"/>
            <rFont val="ＭＳ 明朝"/>
            <family val="1"/>
            <charset val="128"/>
          </rPr>
          <t xml:space="preserve">
　入力されている径間長に対する無風
　15[℃]に換算した基準弛度を表して
　います。</t>
        </r>
      </text>
    </comment>
  </commentList>
</comments>
</file>

<file path=xl/comments3.xml><?xml version="1.0" encoding="utf-8"?>
<comments xmlns="http://schemas.openxmlformats.org/spreadsheetml/2006/main">
  <authors>
    <author>ESE Service</author>
  </authors>
  <commentList>
    <comment ref="AF2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Ｐ明朝"/>
            <family val="1"/>
            <charset val="128"/>
          </rPr>
          <t>Ｕｓｅｒ Ｒｅｇ. と データ・コピー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USER Reg.は、シート A4-01 で</t>
        </r>
        <r>
          <rPr>
            <sz val="11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おこない、A4-02,-03,-04,-05
　の各シートにコピーして下さい。</t>
        </r>
      </text>
    </comment>
    <comment ref="J19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　　</t>
        </r>
        <r>
          <rPr>
            <b/>
            <sz val="9"/>
            <color indexed="53"/>
            <rFont val="ＭＳ 明朝"/>
            <family val="1"/>
            <charset val="128"/>
          </rPr>
          <t>基準弛度の入力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基準径間長４０[ｍ]、温度１５[℃]、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無風時において、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＝0.5[ｍ]：ＯＷ，ＡＣＳＲ-ＯＷ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＝0.6[ｍ]：その他の電線
　ただし、メッセンジャ・ワイヤによるケー
　ブルの多条張架をする場合等は、張力合計
　値から判断して、</t>
        </r>
        <r>
          <rPr>
            <sz val="9"/>
            <color indexed="14"/>
            <rFont val="ＭＳ 明朝"/>
            <family val="1"/>
            <charset val="128"/>
          </rPr>
          <t>弛度を基準弛度より大</t>
        </r>
        <r>
          <rPr>
            <sz val="9"/>
            <color indexed="81"/>
            <rFont val="ＭＳ 明朝"/>
            <family val="1"/>
            <charset val="128"/>
          </rPr>
          <t>き
　く設定しなければ支線(Stay)の強度がとれ
　ない事例もあります。
　また､安全率についても2.5以上が望ましく、
　</t>
        </r>
        <r>
          <rPr>
            <sz val="9"/>
            <color indexed="14"/>
            <rFont val="ＭＳ 明朝"/>
            <family val="1"/>
            <charset val="128"/>
          </rPr>
          <t>弛度の補正</t>
        </r>
        <r>
          <rPr>
            <sz val="9"/>
            <color indexed="81"/>
            <rFont val="ＭＳ 明朝"/>
            <family val="1"/>
            <charset val="128"/>
          </rPr>
          <t>で調整して下さい。</t>
        </r>
      </text>
    </comment>
    <comment ref="B20" authorId="0">
      <text>
        <r>
          <rPr>
            <sz val="9"/>
            <color indexed="81"/>
            <rFont val="ＭＳ 明朝"/>
            <family val="1"/>
            <charset val="128"/>
          </rPr>
          <t xml:space="preserve"> 　 　  </t>
        </r>
        <r>
          <rPr>
            <b/>
            <sz val="9"/>
            <color indexed="53"/>
            <rFont val="ＭＳ 明朝"/>
            <family val="1"/>
            <charset val="128"/>
          </rPr>
          <t>使用電線表示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電線の種類、サイズ、条数、</t>
        </r>
        <r>
          <rPr>
            <sz val="14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組数の入力が完了すると-1
　から-5の順に表示されます。
　</t>
        </r>
        <r>
          <rPr>
            <sz val="9"/>
            <color indexed="14"/>
            <rFont val="ＭＳ 明朝"/>
            <family val="1"/>
            <charset val="128"/>
          </rPr>
          <t>ただし、計算の種類が６以上</t>
        </r>
        <r>
          <rPr>
            <sz val="16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になると"計算不可"となり、
　残りは、次頁のシートに入力
　して下さい。</t>
        </r>
      </text>
    </comment>
    <comment ref="D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</t>
        </r>
        <r>
          <rPr>
            <b/>
            <sz val="9"/>
            <color indexed="53"/>
            <rFont val="ＭＳ 明朝"/>
            <family val="1"/>
            <charset val="128"/>
          </rPr>
          <t>電線の種類入力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選択して下さい。
　</t>
        </r>
        <r>
          <rPr>
            <b/>
            <sz val="9"/>
            <color indexed="81"/>
            <rFont val="ＭＳ 明朝"/>
            <family val="1"/>
            <charset val="128"/>
          </rPr>
          <t xml:space="preserve">【注】空欄を設けずに
　 上から順に入力して
　 下さい。
</t>
        </r>
        <r>
          <rPr>
            <b/>
            <sz val="9"/>
            <color indexed="14"/>
            <rFont val="ＭＳ 明朝"/>
            <family val="1"/>
            <charset val="128"/>
          </rPr>
          <t xml:space="preserve">　 </t>
        </r>
        <r>
          <rPr>
            <sz val="9"/>
            <color indexed="81"/>
            <rFont val="ＭＳ 明朝"/>
            <family val="1"/>
            <charset val="128"/>
          </rPr>
          <t>右欄セルNo.</t>
        </r>
        <r>
          <rPr>
            <sz val="9"/>
            <color indexed="14"/>
            <rFont val="ＭＳ 明朝"/>
            <family val="1"/>
            <charset val="128"/>
          </rPr>
          <t>AE3～44</t>
        </r>
        <r>
          <rPr>
            <sz val="9"/>
            <color indexed="81"/>
            <rFont val="ＭＳ 明朝"/>
            <family val="1"/>
            <charset val="128"/>
          </rPr>
          <t>の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USER Reg. を修正して、
　 新規データを登録して
　 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
　 わせて登録して下さい。</t>
        </r>
      </text>
    </comment>
    <comment ref="F20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明朝"/>
            <family val="1"/>
            <charset val="128"/>
          </rPr>
          <t>電線のサイズ入力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公称値を入力して下さい。</t>
        </r>
        <r>
          <rPr>
            <sz val="14"/>
            <color indexed="81"/>
            <rFont val="ＭＳ 明朝"/>
            <family val="1"/>
            <charset val="128"/>
          </rPr>
          <t xml:space="preserve"> 
</t>
        </r>
      </text>
    </comment>
    <comment ref="H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 </t>
        </r>
        <r>
          <rPr>
            <b/>
            <sz val="9"/>
            <color indexed="53"/>
            <rFont val="ＭＳ 明朝"/>
            <family val="1"/>
            <charset val="128"/>
          </rPr>
          <t>電線の条数入力例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高圧１回線 6KV OC×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CVV 2sq-15C×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(MW38)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</text>
    </comment>
    <comment ref="I20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明朝"/>
            <family val="1"/>
            <charset val="128"/>
          </rPr>
          <t>メッセンジャワイヤ入力例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電線･ケーブル-1,-2,-3 を MW38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１本に多条張架する場合には、
　電線･ケーブル-1欄に､MW 38sqを
　入力し､</t>
        </r>
        <r>
          <rPr>
            <sz val="9"/>
            <color indexed="12"/>
            <rFont val="ＭＳ 明朝"/>
            <family val="1"/>
            <charset val="128"/>
          </rPr>
          <t>-2,-3欄には､"---〃---"
　</t>
        </r>
        <r>
          <rPr>
            <sz val="9"/>
            <color indexed="81"/>
            <rFont val="ＭＳ 明朝"/>
            <family val="1"/>
            <charset val="128"/>
          </rPr>
          <t xml:space="preserve">を入力して下さい。
　　 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　 選択して下さい。</t>
        </r>
        <r>
          <rPr>
            <b/>
            <sz val="9"/>
            <color indexed="14"/>
            <rFont val="ＭＳ Ｐ明朝"/>
            <family val="1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 右欄セルNo.</t>
        </r>
        <r>
          <rPr>
            <sz val="9"/>
            <color indexed="14"/>
            <rFont val="ＭＳ 明朝"/>
            <family val="1"/>
            <charset val="128"/>
          </rPr>
          <t>AG3～AG10</t>
        </r>
        <r>
          <rPr>
            <sz val="9"/>
            <color indexed="81"/>
            <rFont val="ＭＳ 明朝"/>
            <family val="1"/>
            <charset val="128"/>
          </rPr>
          <t>のUSER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Reg.を修正して、新規データ
　 を登録して下さい。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もあわせて
　 登録して下さい。</t>
        </r>
      </text>
    </comment>
    <comment ref="J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合計の組数入力例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高圧２回線 6KV OC×3×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600V CV-T 200sq (MW38)×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</text>
    </comment>
    <comment ref="K21" authorId="0">
      <text>
        <r>
          <rPr>
            <b/>
            <sz val="9"/>
            <color indexed="53"/>
            <rFont val="ＭＳ 明朝"/>
            <family val="1"/>
            <charset val="128"/>
          </rPr>
          <t>　 多条張架ケーブル</t>
        </r>
        <r>
          <rPr>
            <b/>
            <sz val="14"/>
            <color indexed="53"/>
            <rFont val="ＭＳ 明朝"/>
            <family val="1"/>
            <charset val="128"/>
          </rPr>
          <t>　</t>
        </r>
        <r>
          <rPr>
            <b/>
            <sz val="9"/>
            <color indexed="53"/>
            <rFont val="ＭＳ 明朝"/>
            <family val="1"/>
            <charset val="128"/>
          </rPr>
          <t xml:space="preserve">
　 の平均外径(ｄ) 
</t>
        </r>
        <r>
          <rPr>
            <sz val="9"/>
            <color indexed="81"/>
            <rFont val="ＭＳ 明朝"/>
            <family val="1"/>
            <charset val="128"/>
          </rPr>
          <t>　Ｎ本のケーブルの外径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の平均値を</t>
        </r>
        <r>
          <rPr>
            <sz val="9"/>
            <color indexed="12"/>
            <rFont val="ＭＳ 明朝"/>
            <family val="1"/>
            <charset val="128"/>
          </rPr>
          <t>da</t>
        </r>
        <r>
          <rPr>
            <sz val="9"/>
            <color indexed="81"/>
            <rFont val="ＭＳ 明朝"/>
            <family val="1"/>
            <charset val="128"/>
          </rPr>
          <t xml:space="preserve">とすると、
　 </t>
        </r>
        <r>
          <rPr>
            <sz val="9"/>
            <color indexed="12"/>
            <rFont val="ＭＳ 明朝"/>
            <family val="1"/>
            <charset val="128"/>
          </rPr>
          <t>ｄ=ｄa×(Ｎ＾0.55)
　</t>
        </r>
        <r>
          <rPr>
            <sz val="9"/>
            <color indexed="81"/>
            <rFont val="ＭＳ 明朝"/>
            <family val="1"/>
            <charset val="128"/>
          </rPr>
          <t>として算出します。</t>
        </r>
        <r>
          <rPr>
            <sz val="9"/>
            <color indexed="12"/>
            <rFont val="ＭＳ 明朝"/>
            <family val="1"/>
            <charset val="128"/>
          </rPr>
          <t>　</t>
        </r>
      </text>
    </comment>
    <comment ref="L21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断面積の表示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電線の種類を入力して"</t>
        </r>
        <r>
          <rPr>
            <sz val="9"/>
            <color indexed="12"/>
            <rFont val="ＭＳ 明朝"/>
            <family val="1"/>
            <charset val="128"/>
          </rPr>
          <t>0.00</t>
        </r>
        <r>
          <rPr>
            <sz val="9"/>
            <color indexed="81"/>
            <rFont val="ＭＳ 明朝"/>
            <family val="1"/>
            <charset val="128"/>
          </rPr>
          <t>"と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 xml:space="preserve">　表示された場合には、メッセン
　ジャ・ワイヤを選択し入力して
　下さい。
</t>
        </r>
        <r>
          <rPr>
            <sz val="9"/>
            <color indexed="14"/>
            <rFont val="ＭＳ 明朝"/>
            <family val="1"/>
            <charset val="128"/>
          </rPr>
          <t>　【注】メッセンジャ・ワイヤの</t>
        </r>
        <r>
          <rPr>
            <sz val="14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　　　外径は、表示されません。</t>
        </r>
      </text>
    </comment>
    <comment ref="B33" authorId="0">
      <text>
        <r>
          <rPr>
            <sz val="9"/>
            <color indexed="81"/>
            <rFont val="ＭＳ 明朝"/>
            <family val="1"/>
            <charset val="128"/>
          </rPr>
          <t xml:space="preserve">  　　　</t>
        </r>
        <r>
          <rPr>
            <b/>
            <sz val="9"/>
            <color indexed="53"/>
            <rFont val="ＭＳ 明朝"/>
            <family val="1"/>
            <charset val="128"/>
          </rPr>
          <t>弛度補正値の入力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基準弛度に対して張力が大き過ぎる</t>
        </r>
        <r>
          <rPr>
            <sz val="11"/>
            <color indexed="81"/>
            <rFont val="ＭＳ 明朝"/>
            <family val="1"/>
            <charset val="128"/>
          </rPr>
          <t xml:space="preserve"> 
</t>
        </r>
        <r>
          <rPr>
            <sz val="9"/>
            <color indexed="81"/>
            <rFont val="ＭＳ 明朝"/>
            <family val="1"/>
            <charset val="128"/>
          </rPr>
          <t>　場合等、補正すると補正値が適用さ
　れます。
　</t>
        </r>
        <r>
          <rPr>
            <sz val="9"/>
            <color indexed="12"/>
            <rFont val="ＭＳ 明朝"/>
            <family val="1"/>
            <charset val="128"/>
          </rPr>
          <t>適用された弛度補正値とは、現在、</t>
        </r>
        <r>
          <rPr>
            <sz val="12"/>
            <color indexed="12"/>
            <rFont val="ＭＳ 明朝"/>
            <family val="1"/>
            <charset val="128"/>
          </rPr>
          <t xml:space="preserve"> </t>
        </r>
        <r>
          <rPr>
            <sz val="9"/>
            <color indexed="12"/>
            <rFont val="ＭＳ 明朝"/>
            <family val="1"/>
            <charset val="128"/>
          </rPr>
          <t xml:space="preserve">
　入力されている径間長に対する無風
　15[℃]に換算した基準弛度を表して
　います。</t>
        </r>
      </text>
    </comment>
  </commentList>
</comments>
</file>

<file path=xl/comments4.xml><?xml version="1.0" encoding="utf-8"?>
<comments xmlns="http://schemas.openxmlformats.org/spreadsheetml/2006/main">
  <authors>
    <author>ESE Service</author>
  </authors>
  <commentList>
    <comment ref="AF2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Ｐ明朝"/>
            <family val="1"/>
            <charset val="128"/>
          </rPr>
          <t>Ｕｓｅｒ Ｒｅｇ. と データ・コピー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USER Reg.は、シート A4-01 で</t>
        </r>
        <r>
          <rPr>
            <sz val="11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おこない、A4-02,-03,-04,-05
　の各シートにコピーして下さい。</t>
        </r>
      </text>
    </comment>
    <comment ref="J19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　　</t>
        </r>
        <r>
          <rPr>
            <b/>
            <sz val="9"/>
            <color indexed="53"/>
            <rFont val="ＭＳ 明朝"/>
            <family val="1"/>
            <charset val="128"/>
          </rPr>
          <t>基準弛度の入力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基準径間長４０[ｍ]、温度１５[℃]、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無風時において、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＝0.5[ｍ]：ＯＷ，ＡＣＳＲ-ＯＷ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＝0.6[ｍ]：その他の電線
　ただし、メッセンジャ・ワイヤによるケー
　ブルの多条張架をする場合等は、張力合計
　値から判断して、</t>
        </r>
        <r>
          <rPr>
            <sz val="9"/>
            <color indexed="14"/>
            <rFont val="ＭＳ 明朝"/>
            <family val="1"/>
            <charset val="128"/>
          </rPr>
          <t>弛度を基準弛度より大</t>
        </r>
        <r>
          <rPr>
            <sz val="9"/>
            <color indexed="81"/>
            <rFont val="ＭＳ 明朝"/>
            <family val="1"/>
            <charset val="128"/>
          </rPr>
          <t>き
　く設定しなければ支線(Stay)の強度がとれ
　ない事例もあります。
　また､安全率についても2.5以上が望ましく、
　</t>
        </r>
        <r>
          <rPr>
            <sz val="9"/>
            <color indexed="14"/>
            <rFont val="ＭＳ 明朝"/>
            <family val="1"/>
            <charset val="128"/>
          </rPr>
          <t>弛度の補正</t>
        </r>
        <r>
          <rPr>
            <sz val="9"/>
            <color indexed="81"/>
            <rFont val="ＭＳ 明朝"/>
            <family val="1"/>
            <charset val="128"/>
          </rPr>
          <t>で調整して下さい。</t>
        </r>
      </text>
    </comment>
    <comment ref="B20" authorId="0">
      <text>
        <r>
          <rPr>
            <sz val="9"/>
            <color indexed="81"/>
            <rFont val="ＭＳ 明朝"/>
            <family val="1"/>
            <charset val="128"/>
          </rPr>
          <t xml:space="preserve"> 　 　  </t>
        </r>
        <r>
          <rPr>
            <b/>
            <sz val="9"/>
            <color indexed="53"/>
            <rFont val="ＭＳ 明朝"/>
            <family val="1"/>
            <charset val="128"/>
          </rPr>
          <t>使用電線表示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電線の種類、サイズ、条数、</t>
        </r>
        <r>
          <rPr>
            <sz val="14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組数の入力が完了すると-1
　から-5の順に表示されます。
　</t>
        </r>
        <r>
          <rPr>
            <sz val="9"/>
            <color indexed="14"/>
            <rFont val="ＭＳ 明朝"/>
            <family val="1"/>
            <charset val="128"/>
          </rPr>
          <t>ただし、計算の種類が６以上</t>
        </r>
        <r>
          <rPr>
            <sz val="16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になると"計算不可"となり、
　残りは、次頁のシートに入力
　して下さい。</t>
        </r>
      </text>
    </comment>
    <comment ref="D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</t>
        </r>
        <r>
          <rPr>
            <b/>
            <sz val="9"/>
            <color indexed="53"/>
            <rFont val="ＭＳ 明朝"/>
            <family val="1"/>
            <charset val="128"/>
          </rPr>
          <t>電線の種類入力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選択して下さい。
　</t>
        </r>
        <r>
          <rPr>
            <b/>
            <sz val="9"/>
            <color indexed="81"/>
            <rFont val="ＭＳ 明朝"/>
            <family val="1"/>
            <charset val="128"/>
          </rPr>
          <t xml:space="preserve">【注】空欄を設けずに
　 上から順に入力して
　 下さい。
</t>
        </r>
        <r>
          <rPr>
            <b/>
            <sz val="9"/>
            <color indexed="14"/>
            <rFont val="ＭＳ 明朝"/>
            <family val="1"/>
            <charset val="128"/>
          </rPr>
          <t xml:space="preserve">　 </t>
        </r>
        <r>
          <rPr>
            <sz val="9"/>
            <color indexed="81"/>
            <rFont val="ＭＳ 明朝"/>
            <family val="1"/>
            <charset val="128"/>
          </rPr>
          <t>右欄セルNo.</t>
        </r>
        <r>
          <rPr>
            <sz val="9"/>
            <color indexed="14"/>
            <rFont val="ＭＳ 明朝"/>
            <family val="1"/>
            <charset val="128"/>
          </rPr>
          <t>AE3～44</t>
        </r>
        <r>
          <rPr>
            <sz val="9"/>
            <color indexed="81"/>
            <rFont val="ＭＳ 明朝"/>
            <family val="1"/>
            <charset val="128"/>
          </rPr>
          <t>の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USER Reg. を修正して、
　 新規データを登録して
　 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
　 わせて登録して下さい。</t>
        </r>
      </text>
    </comment>
    <comment ref="F20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明朝"/>
            <family val="1"/>
            <charset val="128"/>
          </rPr>
          <t>電線のサイズ入力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公称値を入力して下さい。</t>
        </r>
        <r>
          <rPr>
            <sz val="14"/>
            <color indexed="81"/>
            <rFont val="ＭＳ 明朝"/>
            <family val="1"/>
            <charset val="128"/>
          </rPr>
          <t xml:space="preserve"> 
</t>
        </r>
      </text>
    </comment>
    <comment ref="H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 </t>
        </r>
        <r>
          <rPr>
            <b/>
            <sz val="9"/>
            <color indexed="53"/>
            <rFont val="ＭＳ 明朝"/>
            <family val="1"/>
            <charset val="128"/>
          </rPr>
          <t>電線の条数入力例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高圧１回線 6KV OC×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CVV 2sq-15C×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(MW38)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</text>
    </comment>
    <comment ref="I20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明朝"/>
            <family val="1"/>
            <charset val="128"/>
          </rPr>
          <t>メッセンジャワイヤ入力例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電線･ケーブル-1,-2,-3 を MW38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１本に多条張架する場合には、
　電線･ケーブル-1欄に､MW 38sqを
　入力し､</t>
        </r>
        <r>
          <rPr>
            <sz val="9"/>
            <color indexed="12"/>
            <rFont val="ＭＳ 明朝"/>
            <family val="1"/>
            <charset val="128"/>
          </rPr>
          <t>-2,-3欄には､"---〃---"
　</t>
        </r>
        <r>
          <rPr>
            <sz val="9"/>
            <color indexed="81"/>
            <rFont val="ＭＳ 明朝"/>
            <family val="1"/>
            <charset val="128"/>
          </rPr>
          <t xml:space="preserve">を入力して下さい。
　　 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　 選択して下さい。</t>
        </r>
        <r>
          <rPr>
            <b/>
            <sz val="9"/>
            <color indexed="14"/>
            <rFont val="ＭＳ Ｐ明朝"/>
            <family val="1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 右欄セルNo.</t>
        </r>
        <r>
          <rPr>
            <sz val="9"/>
            <color indexed="14"/>
            <rFont val="ＭＳ 明朝"/>
            <family val="1"/>
            <charset val="128"/>
          </rPr>
          <t>AG3～AG10</t>
        </r>
        <r>
          <rPr>
            <sz val="9"/>
            <color indexed="81"/>
            <rFont val="ＭＳ 明朝"/>
            <family val="1"/>
            <charset val="128"/>
          </rPr>
          <t>のUSER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Reg.を修正して、新規データ
　 を登録して下さい。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もあわせて
　 登録して下さい。</t>
        </r>
      </text>
    </comment>
    <comment ref="J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合計の組数入力例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高圧２回線 6KV OC×3×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600V CV-T 200sq (MW38)×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</text>
    </comment>
    <comment ref="K21" authorId="0">
      <text>
        <r>
          <rPr>
            <b/>
            <sz val="9"/>
            <color indexed="53"/>
            <rFont val="ＭＳ 明朝"/>
            <family val="1"/>
            <charset val="128"/>
          </rPr>
          <t>　 多条張架ケーブル</t>
        </r>
        <r>
          <rPr>
            <b/>
            <sz val="14"/>
            <color indexed="53"/>
            <rFont val="ＭＳ 明朝"/>
            <family val="1"/>
            <charset val="128"/>
          </rPr>
          <t>　</t>
        </r>
        <r>
          <rPr>
            <b/>
            <sz val="9"/>
            <color indexed="53"/>
            <rFont val="ＭＳ 明朝"/>
            <family val="1"/>
            <charset val="128"/>
          </rPr>
          <t xml:space="preserve">
　 の平均外径(ｄ) 
</t>
        </r>
        <r>
          <rPr>
            <sz val="9"/>
            <color indexed="81"/>
            <rFont val="ＭＳ 明朝"/>
            <family val="1"/>
            <charset val="128"/>
          </rPr>
          <t>　Ｎ本のケーブルの外径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の平均値を</t>
        </r>
        <r>
          <rPr>
            <sz val="9"/>
            <color indexed="12"/>
            <rFont val="ＭＳ 明朝"/>
            <family val="1"/>
            <charset val="128"/>
          </rPr>
          <t>da</t>
        </r>
        <r>
          <rPr>
            <sz val="9"/>
            <color indexed="81"/>
            <rFont val="ＭＳ 明朝"/>
            <family val="1"/>
            <charset val="128"/>
          </rPr>
          <t xml:space="preserve">とすると、
　 </t>
        </r>
        <r>
          <rPr>
            <sz val="9"/>
            <color indexed="12"/>
            <rFont val="ＭＳ 明朝"/>
            <family val="1"/>
            <charset val="128"/>
          </rPr>
          <t>ｄ=ｄa×(Ｎ＾0.55)
　</t>
        </r>
        <r>
          <rPr>
            <sz val="9"/>
            <color indexed="81"/>
            <rFont val="ＭＳ 明朝"/>
            <family val="1"/>
            <charset val="128"/>
          </rPr>
          <t>として算出します。</t>
        </r>
        <r>
          <rPr>
            <sz val="9"/>
            <color indexed="12"/>
            <rFont val="ＭＳ 明朝"/>
            <family val="1"/>
            <charset val="128"/>
          </rPr>
          <t>　</t>
        </r>
      </text>
    </comment>
    <comment ref="L21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断面積の表示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電線の種類を入力して"</t>
        </r>
        <r>
          <rPr>
            <sz val="9"/>
            <color indexed="12"/>
            <rFont val="ＭＳ 明朝"/>
            <family val="1"/>
            <charset val="128"/>
          </rPr>
          <t>0.00</t>
        </r>
        <r>
          <rPr>
            <sz val="9"/>
            <color indexed="81"/>
            <rFont val="ＭＳ 明朝"/>
            <family val="1"/>
            <charset val="128"/>
          </rPr>
          <t>"と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 xml:space="preserve">　表示された場合には、メッセン
　ジャ・ワイヤを選択し入力して
　下さい。
</t>
        </r>
        <r>
          <rPr>
            <sz val="9"/>
            <color indexed="14"/>
            <rFont val="ＭＳ 明朝"/>
            <family val="1"/>
            <charset val="128"/>
          </rPr>
          <t>　【注】メッセンジャ・ワイヤの</t>
        </r>
        <r>
          <rPr>
            <sz val="14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　　　外径は、表示されません。</t>
        </r>
      </text>
    </comment>
    <comment ref="B33" authorId="0">
      <text>
        <r>
          <rPr>
            <sz val="9"/>
            <color indexed="81"/>
            <rFont val="ＭＳ 明朝"/>
            <family val="1"/>
            <charset val="128"/>
          </rPr>
          <t xml:space="preserve">  　　　</t>
        </r>
        <r>
          <rPr>
            <b/>
            <sz val="9"/>
            <color indexed="53"/>
            <rFont val="ＭＳ 明朝"/>
            <family val="1"/>
            <charset val="128"/>
          </rPr>
          <t>弛度補正値の入力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基準弛度に対して張力が大き過ぎる</t>
        </r>
        <r>
          <rPr>
            <sz val="11"/>
            <color indexed="81"/>
            <rFont val="ＭＳ 明朝"/>
            <family val="1"/>
            <charset val="128"/>
          </rPr>
          <t xml:space="preserve"> 
</t>
        </r>
        <r>
          <rPr>
            <sz val="9"/>
            <color indexed="81"/>
            <rFont val="ＭＳ 明朝"/>
            <family val="1"/>
            <charset val="128"/>
          </rPr>
          <t>　場合等、補正すると補正値が適用さ
　れます。
　</t>
        </r>
        <r>
          <rPr>
            <sz val="9"/>
            <color indexed="12"/>
            <rFont val="ＭＳ 明朝"/>
            <family val="1"/>
            <charset val="128"/>
          </rPr>
          <t>適用された弛度補正値とは、現在、</t>
        </r>
        <r>
          <rPr>
            <sz val="12"/>
            <color indexed="12"/>
            <rFont val="ＭＳ 明朝"/>
            <family val="1"/>
            <charset val="128"/>
          </rPr>
          <t xml:space="preserve"> </t>
        </r>
        <r>
          <rPr>
            <sz val="9"/>
            <color indexed="12"/>
            <rFont val="ＭＳ 明朝"/>
            <family val="1"/>
            <charset val="128"/>
          </rPr>
          <t xml:space="preserve">
　入力されている径間長に対する無風
　15[℃]に換算した基準弛度を表して
　います。</t>
        </r>
      </text>
    </comment>
  </commentList>
</comments>
</file>

<file path=xl/comments5.xml><?xml version="1.0" encoding="utf-8"?>
<comments xmlns="http://schemas.openxmlformats.org/spreadsheetml/2006/main">
  <authors>
    <author>ESE Service</author>
  </authors>
  <commentList>
    <comment ref="AF2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Ｐ明朝"/>
            <family val="1"/>
            <charset val="128"/>
          </rPr>
          <t>Ｕｓｅｒ Ｒｅｇ. と データ・コピー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USER Reg.は、シート A4-01 で</t>
        </r>
        <r>
          <rPr>
            <sz val="11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おこない、A4-02,-03,-04,-05
　の各シートにコピーして下さい。</t>
        </r>
      </text>
    </comment>
    <comment ref="J19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　　</t>
        </r>
        <r>
          <rPr>
            <b/>
            <sz val="9"/>
            <color indexed="53"/>
            <rFont val="ＭＳ 明朝"/>
            <family val="1"/>
            <charset val="128"/>
          </rPr>
          <t>基準弛度の入力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基準径間長４０[ｍ]、温度１５[℃]、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無風時において、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＝0.5[ｍ]：ＯＷ，ＡＣＳＲ-ＯＷ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</t>
        </r>
        <r>
          <rPr>
            <sz val="9"/>
            <color indexed="12"/>
            <rFont val="ＭＳ 明朝"/>
            <family val="1"/>
            <charset val="128"/>
          </rPr>
          <t>基準弛度</t>
        </r>
        <r>
          <rPr>
            <sz val="9"/>
            <color indexed="81"/>
            <rFont val="ＭＳ 明朝"/>
            <family val="1"/>
            <charset val="128"/>
          </rPr>
          <t>＝0.6[ｍ]：その他の電線
　ただし、メッセンジャ・ワイヤによるケー
　ブルの多条張架をする場合等は、張力合計
　値から判断して、</t>
        </r>
        <r>
          <rPr>
            <sz val="9"/>
            <color indexed="14"/>
            <rFont val="ＭＳ 明朝"/>
            <family val="1"/>
            <charset val="128"/>
          </rPr>
          <t>弛度を基準弛度より大</t>
        </r>
        <r>
          <rPr>
            <sz val="9"/>
            <color indexed="81"/>
            <rFont val="ＭＳ 明朝"/>
            <family val="1"/>
            <charset val="128"/>
          </rPr>
          <t>き
　く設定しなければ支線(Stay)の強度がとれ
　ない事例もあります。
　また､安全率についても2.5以上が望ましく、
　</t>
        </r>
        <r>
          <rPr>
            <sz val="9"/>
            <color indexed="14"/>
            <rFont val="ＭＳ 明朝"/>
            <family val="1"/>
            <charset val="128"/>
          </rPr>
          <t>弛度の補正</t>
        </r>
        <r>
          <rPr>
            <sz val="9"/>
            <color indexed="81"/>
            <rFont val="ＭＳ 明朝"/>
            <family val="1"/>
            <charset val="128"/>
          </rPr>
          <t>で調整して下さい。</t>
        </r>
      </text>
    </comment>
    <comment ref="B20" authorId="0">
      <text>
        <r>
          <rPr>
            <sz val="9"/>
            <color indexed="81"/>
            <rFont val="ＭＳ 明朝"/>
            <family val="1"/>
            <charset val="128"/>
          </rPr>
          <t xml:space="preserve"> 　 　  </t>
        </r>
        <r>
          <rPr>
            <b/>
            <sz val="9"/>
            <color indexed="53"/>
            <rFont val="ＭＳ 明朝"/>
            <family val="1"/>
            <charset val="128"/>
          </rPr>
          <t>使用電線表示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電線の種類、サイズ、条数、</t>
        </r>
        <r>
          <rPr>
            <sz val="14"/>
            <color indexed="81"/>
            <rFont val="ＭＳ 明朝"/>
            <family val="1"/>
            <charset val="128"/>
          </rPr>
          <t>　</t>
        </r>
        <r>
          <rPr>
            <sz val="9"/>
            <color indexed="81"/>
            <rFont val="ＭＳ 明朝"/>
            <family val="1"/>
            <charset val="128"/>
          </rPr>
          <t xml:space="preserve">
　組数の入力が完了すると-1
　から-5の順に表示されます。
　</t>
        </r>
        <r>
          <rPr>
            <sz val="9"/>
            <color indexed="14"/>
            <rFont val="ＭＳ 明朝"/>
            <family val="1"/>
            <charset val="128"/>
          </rPr>
          <t>ただし、計算の種類が６以上</t>
        </r>
        <r>
          <rPr>
            <sz val="16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になると"計算不可"となり、
　残りは、次頁のシートに入力
　して下さい。</t>
        </r>
      </text>
    </comment>
    <comment ref="D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</t>
        </r>
        <r>
          <rPr>
            <b/>
            <sz val="9"/>
            <color indexed="53"/>
            <rFont val="ＭＳ 明朝"/>
            <family val="1"/>
            <charset val="128"/>
          </rPr>
          <t>電線の種類入力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選択して下さい。
　</t>
        </r>
        <r>
          <rPr>
            <b/>
            <sz val="9"/>
            <color indexed="81"/>
            <rFont val="ＭＳ 明朝"/>
            <family val="1"/>
            <charset val="128"/>
          </rPr>
          <t xml:space="preserve">【注】空欄を設けずに
　 上から順に入力して
　 下さい。
</t>
        </r>
        <r>
          <rPr>
            <b/>
            <sz val="9"/>
            <color indexed="14"/>
            <rFont val="ＭＳ 明朝"/>
            <family val="1"/>
            <charset val="128"/>
          </rPr>
          <t xml:space="preserve">　 </t>
        </r>
        <r>
          <rPr>
            <sz val="9"/>
            <color indexed="81"/>
            <rFont val="ＭＳ 明朝"/>
            <family val="1"/>
            <charset val="128"/>
          </rPr>
          <t>右欄セルNo.</t>
        </r>
        <r>
          <rPr>
            <sz val="9"/>
            <color indexed="14"/>
            <rFont val="ＭＳ 明朝"/>
            <family val="1"/>
            <charset val="128"/>
          </rPr>
          <t>AE3～44</t>
        </r>
        <r>
          <rPr>
            <sz val="9"/>
            <color indexed="81"/>
            <rFont val="ＭＳ 明朝"/>
            <family val="1"/>
            <charset val="128"/>
          </rPr>
          <t>の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USER Reg. を修正して、
　 新規データを登録して
　 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
　 わせて登録して下さい。</t>
        </r>
      </text>
    </comment>
    <comment ref="F20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明朝"/>
            <family val="1"/>
            <charset val="128"/>
          </rPr>
          <t>電線のサイズ入力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公称値を入力して下さい。</t>
        </r>
        <r>
          <rPr>
            <sz val="14"/>
            <color indexed="81"/>
            <rFont val="ＭＳ 明朝"/>
            <family val="1"/>
            <charset val="128"/>
          </rPr>
          <t xml:space="preserve"> 
</t>
        </r>
      </text>
    </comment>
    <comment ref="H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 </t>
        </r>
        <r>
          <rPr>
            <b/>
            <sz val="9"/>
            <color indexed="53"/>
            <rFont val="ＭＳ 明朝"/>
            <family val="1"/>
            <charset val="128"/>
          </rPr>
          <t>電線の条数入力例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高圧１回線 6KV OC×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CVV 2sq-15C×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(MW38)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</text>
    </comment>
    <comment ref="I20" authorId="0">
      <text>
        <r>
          <rPr>
            <sz val="9"/>
            <color indexed="81"/>
            <rFont val="ＭＳ 明朝"/>
            <family val="1"/>
            <charset val="128"/>
          </rPr>
          <t xml:space="preserve"> 　</t>
        </r>
        <r>
          <rPr>
            <b/>
            <sz val="9"/>
            <color indexed="53"/>
            <rFont val="ＭＳ 明朝"/>
            <family val="1"/>
            <charset val="128"/>
          </rPr>
          <t>メッセンジャワイヤ入力例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電線･ケーブル-1,-2,-3 を MW38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１本に多条張架する場合には、
　電線･ケーブル-1欄に､MW 38sqを
　入力し､</t>
        </r>
        <r>
          <rPr>
            <sz val="9"/>
            <color indexed="12"/>
            <rFont val="ＭＳ 明朝"/>
            <family val="1"/>
            <charset val="128"/>
          </rPr>
          <t>-2,-3欄には､"---〃---"
　</t>
        </r>
        <r>
          <rPr>
            <sz val="9"/>
            <color indexed="81"/>
            <rFont val="ＭＳ 明朝"/>
            <family val="1"/>
            <charset val="128"/>
          </rPr>
          <t xml:space="preserve">を入力して下さい。
　　 </t>
        </r>
        <r>
          <rPr>
            <b/>
            <sz val="9"/>
            <color indexed="14"/>
            <rFont val="ＭＳ 明朝"/>
            <family val="1"/>
            <charset val="128"/>
          </rPr>
          <t>プルダウンリストから</t>
        </r>
        <r>
          <rPr>
            <b/>
            <sz val="14"/>
            <color indexed="14"/>
            <rFont val="ＭＳ 明朝"/>
            <family val="1"/>
            <charset val="128"/>
          </rPr>
          <t>　</t>
        </r>
        <r>
          <rPr>
            <b/>
            <sz val="9"/>
            <color indexed="14"/>
            <rFont val="ＭＳ 明朝"/>
            <family val="1"/>
            <charset val="128"/>
          </rPr>
          <t xml:space="preserve">
　　 選択して下さい。</t>
        </r>
        <r>
          <rPr>
            <b/>
            <sz val="9"/>
            <color indexed="14"/>
            <rFont val="ＭＳ Ｐ明朝"/>
            <family val="1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 右欄セルNo.</t>
        </r>
        <r>
          <rPr>
            <sz val="9"/>
            <color indexed="14"/>
            <rFont val="ＭＳ 明朝"/>
            <family val="1"/>
            <charset val="128"/>
          </rPr>
          <t>AG3～AG10</t>
        </r>
        <r>
          <rPr>
            <sz val="9"/>
            <color indexed="81"/>
            <rFont val="ＭＳ 明朝"/>
            <family val="1"/>
            <charset val="128"/>
          </rPr>
          <t>のUSER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 Reg.を修正して、新規データ
　 を登録して下さい。
　 なお、</t>
        </r>
        <r>
          <rPr>
            <sz val="9"/>
            <color indexed="14"/>
            <rFont val="ＭＳ 明朝"/>
            <family val="1"/>
            <charset val="128"/>
          </rPr>
          <t>DATAシート</t>
        </r>
        <r>
          <rPr>
            <sz val="9"/>
            <color indexed="81"/>
            <rFont val="ＭＳ 明朝"/>
            <family val="1"/>
            <charset val="128"/>
          </rPr>
          <t>もあわせて
　 登録して下さい。</t>
        </r>
      </text>
    </comment>
    <comment ref="J20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合計の組数入力例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高圧２回線 6KV OC×3×</t>
        </r>
        <r>
          <rPr>
            <sz val="9"/>
            <color indexed="10"/>
            <rFont val="ＭＳ 明朝"/>
            <family val="1"/>
            <charset val="128"/>
          </rPr>
          <t>2</t>
        </r>
        <r>
          <rPr>
            <sz val="9"/>
            <color indexed="81"/>
            <rFont val="ＭＳ 明朝"/>
            <family val="1"/>
            <charset val="128"/>
          </rPr>
          <t xml:space="preserve">  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２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>　600V CV-T 200sq (MW38)×</t>
        </r>
        <r>
          <rPr>
            <sz val="9"/>
            <color indexed="10"/>
            <rFont val="ＭＳ 明朝"/>
            <family val="1"/>
            <charset val="128"/>
          </rPr>
          <t>3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81"/>
            <rFont val="ＭＳ 明朝"/>
            <family val="1"/>
            <charset val="128"/>
          </rPr>
          <t>→</t>
        </r>
        <r>
          <rPr>
            <sz val="9"/>
            <color indexed="81"/>
            <rFont val="ＭＳ 明朝"/>
            <family val="1"/>
            <charset val="128"/>
          </rPr>
          <t xml:space="preserve"> </t>
        </r>
        <r>
          <rPr>
            <b/>
            <sz val="9"/>
            <color indexed="10"/>
            <rFont val="ＭＳ 明朝"/>
            <family val="1"/>
            <charset val="128"/>
          </rPr>
          <t>３</t>
        </r>
      </text>
    </comment>
    <comment ref="K21" authorId="0">
      <text>
        <r>
          <rPr>
            <b/>
            <sz val="9"/>
            <color indexed="53"/>
            <rFont val="ＭＳ 明朝"/>
            <family val="1"/>
            <charset val="128"/>
          </rPr>
          <t>　 多条張架ケーブル</t>
        </r>
        <r>
          <rPr>
            <b/>
            <sz val="14"/>
            <color indexed="53"/>
            <rFont val="ＭＳ 明朝"/>
            <family val="1"/>
            <charset val="128"/>
          </rPr>
          <t>　</t>
        </r>
        <r>
          <rPr>
            <b/>
            <sz val="9"/>
            <color indexed="53"/>
            <rFont val="ＭＳ 明朝"/>
            <family val="1"/>
            <charset val="128"/>
          </rPr>
          <t xml:space="preserve">
　 の平均外径(ｄ) 
</t>
        </r>
        <r>
          <rPr>
            <sz val="9"/>
            <color indexed="81"/>
            <rFont val="ＭＳ 明朝"/>
            <family val="1"/>
            <charset val="128"/>
          </rPr>
          <t>　Ｎ本のケーブルの外径</t>
        </r>
        <r>
          <rPr>
            <sz val="14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の平均値を</t>
        </r>
        <r>
          <rPr>
            <sz val="9"/>
            <color indexed="12"/>
            <rFont val="ＭＳ 明朝"/>
            <family val="1"/>
            <charset val="128"/>
          </rPr>
          <t>da</t>
        </r>
        <r>
          <rPr>
            <sz val="9"/>
            <color indexed="81"/>
            <rFont val="ＭＳ 明朝"/>
            <family val="1"/>
            <charset val="128"/>
          </rPr>
          <t xml:space="preserve">とすると、
　 </t>
        </r>
        <r>
          <rPr>
            <sz val="9"/>
            <color indexed="12"/>
            <rFont val="ＭＳ 明朝"/>
            <family val="1"/>
            <charset val="128"/>
          </rPr>
          <t>ｄ=ｄa×(Ｎ＾0.55)
　</t>
        </r>
        <r>
          <rPr>
            <sz val="9"/>
            <color indexed="81"/>
            <rFont val="ＭＳ 明朝"/>
            <family val="1"/>
            <charset val="128"/>
          </rPr>
          <t>として算出します。</t>
        </r>
        <r>
          <rPr>
            <sz val="9"/>
            <color indexed="12"/>
            <rFont val="ＭＳ 明朝"/>
            <family val="1"/>
            <charset val="128"/>
          </rPr>
          <t>　</t>
        </r>
      </text>
    </comment>
    <comment ref="L21" authorId="0">
      <text>
        <r>
          <rPr>
            <sz val="9"/>
            <color indexed="81"/>
            <rFont val="ＭＳ 明朝"/>
            <family val="1"/>
            <charset val="128"/>
          </rPr>
          <t xml:space="preserve"> 　　　 </t>
        </r>
        <r>
          <rPr>
            <b/>
            <sz val="9"/>
            <color indexed="53"/>
            <rFont val="ＭＳ 明朝"/>
            <family val="1"/>
            <charset val="128"/>
          </rPr>
          <t>断面積の表示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電線の種類を入力して"</t>
        </r>
        <r>
          <rPr>
            <sz val="9"/>
            <color indexed="12"/>
            <rFont val="ＭＳ 明朝"/>
            <family val="1"/>
            <charset val="128"/>
          </rPr>
          <t>0.00</t>
        </r>
        <r>
          <rPr>
            <sz val="9"/>
            <color indexed="81"/>
            <rFont val="ＭＳ 明朝"/>
            <family val="1"/>
            <charset val="128"/>
          </rPr>
          <t>"と</t>
        </r>
        <r>
          <rPr>
            <sz val="11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sz val="9"/>
            <color indexed="81"/>
            <rFont val="ＭＳ 明朝"/>
            <family val="1"/>
            <charset val="128"/>
          </rPr>
          <t xml:space="preserve">　表示された場合には、メッセン
　ジャ・ワイヤを選択し入力して
　下さい。
</t>
        </r>
        <r>
          <rPr>
            <sz val="9"/>
            <color indexed="14"/>
            <rFont val="ＭＳ 明朝"/>
            <family val="1"/>
            <charset val="128"/>
          </rPr>
          <t>　【注】メッセンジャ・ワイヤの</t>
        </r>
        <r>
          <rPr>
            <sz val="14"/>
            <color indexed="14"/>
            <rFont val="ＭＳ 明朝"/>
            <family val="1"/>
            <charset val="128"/>
          </rPr>
          <t xml:space="preserve"> </t>
        </r>
        <r>
          <rPr>
            <sz val="9"/>
            <color indexed="14"/>
            <rFont val="ＭＳ 明朝"/>
            <family val="1"/>
            <charset val="128"/>
          </rPr>
          <t xml:space="preserve">
　　　　外径は、表示されません。</t>
        </r>
      </text>
    </comment>
    <comment ref="B33" authorId="0">
      <text>
        <r>
          <rPr>
            <sz val="9"/>
            <color indexed="81"/>
            <rFont val="ＭＳ 明朝"/>
            <family val="1"/>
            <charset val="128"/>
          </rPr>
          <t xml:space="preserve">  　　　</t>
        </r>
        <r>
          <rPr>
            <b/>
            <sz val="9"/>
            <color indexed="53"/>
            <rFont val="ＭＳ 明朝"/>
            <family val="1"/>
            <charset val="128"/>
          </rPr>
          <t>弛度補正値の入力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基準弛度に対して張力が大き過ぎる</t>
        </r>
        <r>
          <rPr>
            <sz val="11"/>
            <color indexed="81"/>
            <rFont val="ＭＳ 明朝"/>
            <family val="1"/>
            <charset val="128"/>
          </rPr>
          <t xml:space="preserve"> 
</t>
        </r>
        <r>
          <rPr>
            <sz val="9"/>
            <color indexed="81"/>
            <rFont val="ＭＳ 明朝"/>
            <family val="1"/>
            <charset val="128"/>
          </rPr>
          <t>　場合等、補正すると補正値が適用さ
　れます。
　</t>
        </r>
        <r>
          <rPr>
            <sz val="9"/>
            <color indexed="12"/>
            <rFont val="ＭＳ 明朝"/>
            <family val="1"/>
            <charset val="128"/>
          </rPr>
          <t>適用された弛度補正値とは、現在、</t>
        </r>
        <r>
          <rPr>
            <sz val="12"/>
            <color indexed="12"/>
            <rFont val="ＭＳ 明朝"/>
            <family val="1"/>
            <charset val="128"/>
          </rPr>
          <t xml:space="preserve"> </t>
        </r>
        <r>
          <rPr>
            <sz val="9"/>
            <color indexed="12"/>
            <rFont val="ＭＳ 明朝"/>
            <family val="1"/>
            <charset val="128"/>
          </rPr>
          <t xml:space="preserve">
　入力されている径間長に対する無風
　15[℃]に換算した基準弛度を表して
　います。</t>
        </r>
      </text>
    </comment>
  </commentList>
</comments>
</file>

<file path=xl/comments6.xml><?xml version="1.0" encoding="utf-8"?>
<comments xmlns="http://schemas.openxmlformats.org/spreadsheetml/2006/main">
  <authors>
    <author>ESE Service</author>
  </authors>
  <commentList>
    <comment ref="B3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明朝"/>
            <family val="1"/>
            <charset val="128"/>
          </rPr>
          <t>Ｗｉｒｅのデータ値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住友電工-電線技術資料</t>
        </r>
        <r>
          <rPr>
            <sz val="14"/>
            <color indexed="81"/>
            <rFont val="ＭＳ 明朝"/>
            <family val="1"/>
            <charset val="128"/>
          </rPr>
          <t xml:space="preserve"> 
</t>
        </r>
        <r>
          <rPr>
            <sz val="9"/>
            <color indexed="81"/>
            <rFont val="ＭＳ 明朝"/>
            <family val="1"/>
            <charset val="128"/>
          </rPr>
          <t>　  JD-174R3(1996.1)</t>
        </r>
      </text>
    </comment>
    <comment ref="AS3" authorId="0">
      <text>
        <r>
          <rPr>
            <sz val="9"/>
            <color indexed="81"/>
            <rFont val="ＭＳ 明朝"/>
            <family val="1"/>
            <charset val="128"/>
          </rPr>
          <t xml:space="preserve"> 　 </t>
        </r>
        <r>
          <rPr>
            <b/>
            <sz val="9"/>
            <color indexed="53"/>
            <rFont val="ＭＳ Ｐ明朝"/>
            <family val="1"/>
            <charset val="128"/>
          </rPr>
          <t>Ｍ.Ｗｉｒｅ</t>
        </r>
        <r>
          <rPr>
            <b/>
            <sz val="9"/>
            <color indexed="53"/>
            <rFont val="ＭＳ 明朝"/>
            <family val="1"/>
            <charset val="128"/>
          </rPr>
          <t>のデータ値</t>
        </r>
        <r>
          <rPr>
            <sz val="14"/>
            <color indexed="81"/>
            <rFont val="ＭＳ 明朝"/>
            <family val="1"/>
            <charset val="128"/>
          </rPr>
          <t xml:space="preserve">　
</t>
        </r>
        <r>
          <rPr>
            <sz val="9"/>
            <color indexed="81"/>
            <rFont val="ＭＳ 明朝"/>
            <family val="1"/>
            <charset val="128"/>
          </rPr>
          <t>　JIS-C-3537</t>
        </r>
        <r>
          <rPr>
            <sz val="12"/>
            <color indexed="81"/>
            <rFont val="ＭＳ 明朝"/>
            <family val="1"/>
            <charset val="128"/>
          </rPr>
          <t xml:space="preserve"> </t>
        </r>
        <r>
          <rPr>
            <sz val="9"/>
            <color indexed="81"/>
            <rFont val="ＭＳ 明朝"/>
            <family val="1"/>
            <charset val="128"/>
          </rPr>
          <t xml:space="preserve">
　亜鉛メッキ鋼より線
</t>
        </r>
      </text>
    </comment>
  </commentList>
</comments>
</file>

<file path=xl/sharedStrings.xml><?xml version="1.0" encoding="utf-8"?>
<sst xmlns="http://schemas.openxmlformats.org/spreadsheetml/2006/main" count="6000" uniqueCount="358">
  <si>
    <t>f(x)</t>
    <phoneticPr fontId="2"/>
  </si>
  <si>
    <t>f'(x)</t>
    <phoneticPr fontId="2"/>
  </si>
  <si>
    <t>x-f(x)/f'(x)</t>
    <phoneticPr fontId="2"/>
  </si>
  <si>
    <t>f'(x1)</t>
    <phoneticPr fontId="2"/>
  </si>
  <si>
    <t>f'(x2)</t>
    <phoneticPr fontId="2"/>
  </si>
  <si>
    <t>f'(x)-x1</t>
    <phoneticPr fontId="2"/>
  </si>
  <si>
    <t>f'(x)-x2</t>
    <phoneticPr fontId="2"/>
  </si>
  <si>
    <r>
      <t>D</t>
    </r>
    <r>
      <rPr>
        <vertAlign val="subscript"/>
        <sz val="11"/>
        <rFont val="ＭＳ ゴシック"/>
        <family val="3"/>
        <charset val="128"/>
      </rPr>
      <t>t</t>
    </r>
    <phoneticPr fontId="2"/>
  </si>
  <si>
    <r>
      <t>A=D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+(3/8)S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α(t-t</t>
    </r>
    <r>
      <rPr>
        <vertAlign val="subscript"/>
        <sz val="11"/>
        <rFont val="ＭＳ ゴシック"/>
        <family val="3"/>
        <charset val="128"/>
      </rPr>
      <t>0</t>
    </r>
    <r>
      <rPr>
        <sz val="11"/>
        <rFont val="ＭＳ ゴシック"/>
        <family val="3"/>
        <charset val="128"/>
      </rPr>
      <t>)</t>
    </r>
    <phoneticPr fontId="2"/>
  </si>
  <si>
    <r>
      <t>B=(3/8)S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(T/EA)</t>
    </r>
    <phoneticPr fontId="2"/>
  </si>
  <si>
    <t>BD(Wt/W)</t>
    <phoneticPr fontId="2"/>
  </si>
  <si>
    <r>
      <t>　　　温度および荷重の影響を考慮した次式により求める。</t>
    </r>
    <r>
      <rPr>
        <sz val="8"/>
        <rFont val="ＭＳ 明朝"/>
        <family val="1"/>
        <charset val="128"/>
      </rPr>
      <t>(社団法人 日本電気協会編 配電規程による)</t>
    </r>
    <rPh sb="3" eb="5">
      <t>オンド</t>
    </rPh>
    <rPh sb="8" eb="10">
      <t>カジュウ</t>
    </rPh>
    <rPh sb="11" eb="13">
      <t>エイキョウ</t>
    </rPh>
    <rPh sb="14" eb="16">
      <t>コウリョ</t>
    </rPh>
    <rPh sb="18" eb="20">
      <t>ジシキ</t>
    </rPh>
    <rPh sb="23" eb="24">
      <t>モト</t>
    </rPh>
    <rPh sb="28" eb="30">
      <t>シャダン</t>
    </rPh>
    <rPh sb="30" eb="32">
      <t>ホウジン</t>
    </rPh>
    <rPh sb="33" eb="35">
      <t>ニホン</t>
    </rPh>
    <rPh sb="35" eb="37">
      <t>デンキ</t>
    </rPh>
    <rPh sb="37" eb="39">
      <t>キョウカイ</t>
    </rPh>
    <rPh sb="39" eb="40">
      <t>ヘン</t>
    </rPh>
    <rPh sb="41" eb="43">
      <t>ハイデン</t>
    </rPh>
    <rPh sb="43" eb="45">
      <t>キテイ</t>
    </rPh>
    <phoneticPr fontId="2"/>
  </si>
  <si>
    <r>
      <t>　◆</t>
    </r>
    <r>
      <rPr>
        <b/>
        <sz val="11"/>
        <rFont val="ＭＳ 明朝"/>
        <family val="1"/>
        <charset val="128"/>
      </rPr>
      <t>計 算 式</t>
    </r>
    <rPh sb="2" eb="3">
      <t>ケイ</t>
    </rPh>
    <rPh sb="4" eb="5">
      <t>ザン</t>
    </rPh>
    <rPh sb="6" eb="7">
      <t>シキ</t>
    </rPh>
    <phoneticPr fontId="2"/>
  </si>
  <si>
    <r>
      <t>高温季最悪条件時</t>
    </r>
    <r>
      <rPr>
        <sz val="8"/>
        <rFont val="ＭＳ ゴシック"/>
        <family val="3"/>
        <charset val="128"/>
      </rPr>
      <t xml:space="preserve">
15[℃],100[Kg/ｍ</t>
    </r>
    <r>
      <rPr>
        <vertAlign val="superscript"/>
        <sz val="7"/>
        <rFont val="ＭＳ ゴシック"/>
        <family val="3"/>
        <charset val="128"/>
      </rPr>
      <t>2</t>
    </r>
    <r>
      <rPr>
        <sz val="7"/>
        <rFont val="ＭＳ ゴシック"/>
        <family val="3"/>
        <charset val="128"/>
      </rPr>
      <t>]</t>
    </r>
    <rPh sb="0" eb="2">
      <t>コウオン</t>
    </rPh>
    <rPh sb="2" eb="3">
      <t>キ</t>
    </rPh>
    <rPh sb="3" eb="5">
      <t>サイアク</t>
    </rPh>
    <rPh sb="5" eb="7">
      <t>ジョウケン</t>
    </rPh>
    <rPh sb="7" eb="8">
      <t>ジ</t>
    </rPh>
    <phoneticPr fontId="2"/>
  </si>
  <si>
    <r>
      <t>無 着 氷 雪 時</t>
    </r>
    <r>
      <rPr>
        <sz val="8"/>
        <rFont val="ＭＳ ゴシック"/>
        <family val="3"/>
        <charset val="128"/>
      </rPr>
      <t xml:space="preserve">
-15[℃],50[Kg/ｍ</t>
    </r>
    <r>
      <rPr>
        <vertAlign val="superscript"/>
        <sz val="7"/>
        <rFont val="ＭＳ ゴシック"/>
        <family val="3"/>
        <charset val="128"/>
      </rPr>
      <t>2</t>
    </r>
    <r>
      <rPr>
        <sz val="7"/>
        <rFont val="ＭＳ ゴシック"/>
        <family val="3"/>
        <charset val="128"/>
      </rPr>
      <t>]</t>
    </r>
    <rPh sb="0" eb="1">
      <t>ム</t>
    </rPh>
    <rPh sb="2" eb="3">
      <t>キ</t>
    </rPh>
    <rPh sb="4" eb="5">
      <t>コオリ</t>
    </rPh>
    <rPh sb="6" eb="7">
      <t>ユキ</t>
    </rPh>
    <rPh sb="8" eb="9">
      <t>ジ</t>
    </rPh>
    <phoneticPr fontId="2"/>
  </si>
  <si>
    <r>
      <t>着 氷 雪 時</t>
    </r>
    <r>
      <rPr>
        <sz val="8"/>
        <rFont val="ＭＳ ゴシック"/>
        <family val="3"/>
        <charset val="128"/>
      </rPr>
      <t xml:space="preserve">
(6mm,</t>
    </r>
    <r>
      <rPr>
        <sz val="8"/>
        <rFont val="ＭＳ 明朝"/>
        <family val="1"/>
        <charset val="128"/>
      </rPr>
      <t>比重</t>
    </r>
    <r>
      <rPr>
        <sz val="8"/>
        <rFont val="ＭＳ ゴシック"/>
        <family val="3"/>
        <charset val="128"/>
      </rPr>
      <t>:0.9)
-15[℃],50[Kg/ｍ</t>
    </r>
    <r>
      <rPr>
        <vertAlign val="superscript"/>
        <sz val="8"/>
        <rFont val="ＭＳ ゴシック"/>
        <family val="3"/>
        <charset val="128"/>
      </rPr>
      <t>2</t>
    </r>
    <r>
      <rPr>
        <sz val="8"/>
        <rFont val="ＭＳ ゴシック"/>
        <family val="3"/>
        <charset val="128"/>
      </rPr>
      <t>]</t>
    </r>
    <rPh sb="0" eb="1">
      <t>キ</t>
    </rPh>
    <rPh sb="2" eb="3">
      <t>コオリ</t>
    </rPh>
    <rPh sb="4" eb="5">
      <t>ユキ</t>
    </rPh>
    <rPh sb="6" eb="7">
      <t>ジ</t>
    </rPh>
    <rPh sb="13" eb="15">
      <t>ヒジュウ</t>
    </rPh>
    <phoneticPr fontId="2"/>
  </si>
  <si>
    <r>
      <t>無 風 時</t>
    </r>
    <r>
      <rPr>
        <sz val="8"/>
        <rFont val="ＭＳ ゴシック"/>
        <family val="3"/>
        <charset val="128"/>
      </rPr>
      <t>　 0[℃]</t>
    </r>
    <rPh sb="0" eb="1">
      <t>ム</t>
    </rPh>
    <rPh sb="2" eb="3">
      <t>フウ</t>
    </rPh>
    <rPh sb="4" eb="5">
      <t>ジ</t>
    </rPh>
    <phoneticPr fontId="2"/>
  </si>
  <si>
    <r>
      <t>無 風 時</t>
    </r>
    <r>
      <rPr>
        <sz val="8"/>
        <rFont val="ＭＳ ゴシック"/>
        <family val="3"/>
        <charset val="128"/>
      </rPr>
      <t>　15[℃]</t>
    </r>
    <rPh sb="0" eb="1">
      <t>ム</t>
    </rPh>
    <rPh sb="2" eb="3">
      <t>フウ</t>
    </rPh>
    <rPh sb="4" eb="5">
      <t>ジ</t>
    </rPh>
    <phoneticPr fontId="2"/>
  </si>
  <si>
    <r>
      <t>無 風 時</t>
    </r>
    <r>
      <rPr>
        <sz val="8"/>
        <rFont val="ＭＳ ゴシック"/>
        <family val="3"/>
        <charset val="128"/>
      </rPr>
      <t>　30[℃]</t>
    </r>
    <rPh sb="0" eb="1">
      <t>ム</t>
    </rPh>
    <rPh sb="2" eb="3">
      <t>フウ</t>
    </rPh>
    <rPh sb="4" eb="5">
      <t>ジ</t>
    </rPh>
    <phoneticPr fontId="2"/>
  </si>
  <si>
    <r>
      <t>無 風 時</t>
    </r>
    <r>
      <rPr>
        <sz val="8"/>
        <rFont val="ＭＳ ゴシック"/>
        <family val="3"/>
        <charset val="128"/>
      </rPr>
      <t>　60[℃]</t>
    </r>
    <rPh sb="0" eb="1">
      <t>ム</t>
    </rPh>
    <rPh sb="2" eb="3">
      <t>フウ</t>
    </rPh>
    <rPh sb="4" eb="5">
      <t>ジ</t>
    </rPh>
    <phoneticPr fontId="2"/>
  </si>
  <si>
    <r>
      <t>無 風 時</t>
    </r>
    <r>
      <rPr>
        <sz val="8"/>
        <rFont val="ＭＳ ゴシック"/>
        <family val="3"/>
        <charset val="128"/>
      </rPr>
      <t>　90[℃]</t>
    </r>
    <rPh sb="0" eb="1">
      <t>ム</t>
    </rPh>
    <rPh sb="2" eb="3">
      <t>フウ</t>
    </rPh>
    <rPh sb="4" eb="5">
      <t>ジ</t>
    </rPh>
    <phoneticPr fontId="2"/>
  </si>
  <si>
    <t>張 力</t>
    <rPh sb="0" eb="1">
      <t>ハリ</t>
    </rPh>
    <rPh sb="2" eb="3">
      <t>チカラ</t>
    </rPh>
    <phoneticPr fontId="2"/>
  </si>
  <si>
    <t>弛 度</t>
    <rPh sb="0" eb="1">
      <t>チ</t>
    </rPh>
    <rPh sb="2" eb="3">
      <t>ド</t>
    </rPh>
    <phoneticPr fontId="2"/>
  </si>
  <si>
    <t>安全率</t>
    <rPh sb="0" eb="2">
      <t>アンゼン</t>
    </rPh>
    <rPh sb="2" eb="3">
      <t>リツ</t>
    </rPh>
    <phoneticPr fontId="2"/>
  </si>
  <si>
    <t>[ｍ]</t>
    <phoneticPr fontId="2"/>
  </si>
  <si>
    <t>合 計 値</t>
    <rPh sb="0" eb="1">
      <t>ゴウ</t>
    </rPh>
    <rPh sb="2" eb="3">
      <t>ケイ</t>
    </rPh>
    <rPh sb="4" eb="5">
      <t>チ</t>
    </rPh>
    <phoneticPr fontId="2"/>
  </si>
  <si>
    <t>電線の種類</t>
    <rPh sb="0" eb="2">
      <t>デンセン</t>
    </rPh>
    <rPh sb="3" eb="5">
      <t>シュルイ</t>
    </rPh>
    <phoneticPr fontId="2"/>
  </si>
  <si>
    <t>ﾒｯｾﾝｼﾞｬ･ﾜｲﾔ</t>
    <phoneticPr fontId="2"/>
  </si>
  <si>
    <t>サイズ</t>
    <phoneticPr fontId="2"/>
  </si>
  <si>
    <t>条数</t>
    <rPh sb="0" eb="2">
      <t>ジョウスウ</t>
    </rPh>
    <phoneticPr fontId="2"/>
  </si>
  <si>
    <t>MW  22sq</t>
    <phoneticPr fontId="2"/>
  </si>
  <si>
    <t>MW  38sq</t>
    <phoneticPr fontId="2"/>
  </si>
  <si>
    <t>外径</t>
    <rPh sb="0" eb="1">
      <t>ソト</t>
    </rPh>
    <rPh sb="1" eb="2">
      <t>ケイ</t>
    </rPh>
    <phoneticPr fontId="2"/>
  </si>
  <si>
    <t>[mm]</t>
    <phoneticPr fontId="2"/>
  </si>
  <si>
    <t>断面積</t>
    <rPh sb="0" eb="3">
      <t>ダンメンセキ</t>
    </rPh>
    <phoneticPr fontId="2"/>
  </si>
  <si>
    <t>[sqmm]</t>
    <phoneticPr fontId="2"/>
  </si>
  <si>
    <t>質量</t>
    <rPh sb="0" eb="2">
      <t>シツリョウ</t>
    </rPh>
    <phoneticPr fontId="2"/>
  </si>
  <si>
    <t>[Kg/m]</t>
    <phoneticPr fontId="2"/>
  </si>
  <si>
    <t>引張荷重</t>
    <rPh sb="0" eb="2">
      <t>ヒッパ</t>
    </rPh>
    <rPh sb="2" eb="4">
      <t>カジュウ</t>
    </rPh>
    <phoneticPr fontId="2"/>
  </si>
  <si>
    <t>ﾒｯｾﾝｼﾞｬ
ﾜｲﾔ</t>
    <phoneticPr fontId="2"/>
  </si>
  <si>
    <t>甲 種</t>
    <rPh sb="0" eb="1">
      <t>コウ</t>
    </rPh>
    <rPh sb="2" eb="3">
      <t>シュ</t>
    </rPh>
    <phoneticPr fontId="2"/>
  </si>
  <si>
    <t>乙 種</t>
    <rPh sb="0" eb="1">
      <t>オツ</t>
    </rPh>
    <rPh sb="2" eb="3">
      <t>シュ</t>
    </rPh>
    <phoneticPr fontId="2"/>
  </si>
  <si>
    <t>丙 種</t>
    <rPh sb="0" eb="1">
      <t>ヘイ</t>
    </rPh>
    <rPh sb="2" eb="3">
      <t>シュ</t>
    </rPh>
    <phoneticPr fontId="2"/>
  </si>
  <si>
    <t>電 線･ケーブル</t>
    <rPh sb="0" eb="1">
      <t>デン</t>
    </rPh>
    <rPh sb="2" eb="3">
      <t>セン</t>
    </rPh>
    <phoneticPr fontId="2"/>
  </si>
  <si>
    <r>
      <t xml:space="preserve">構内柱 </t>
    </r>
    <r>
      <rPr>
        <b/>
        <sz val="9"/>
        <rFont val="ＭＳ 明朝"/>
        <family val="1"/>
        <charset val="128"/>
      </rPr>
      <t>CP-P01</t>
    </r>
    <rPh sb="0" eb="2">
      <t>コウナイ</t>
    </rPh>
    <rPh sb="2" eb="3">
      <t>ハシラ</t>
    </rPh>
    <phoneticPr fontId="2"/>
  </si>
  <si>
    <t>基準弛度[ｍ]＝</t>
    <rPh sb="0" eb="2">
      <t>キジュン</t>
    </rPh>
    <rPh sb="2" eb="4">
      <t>シド</t>
    </rPh>
    <phoneticPr fontId="2"/>
  </si>
  <si>
    <t>張力計</t>
    <rPh sb="0" eb="1">
      <t>ハリ</t>
    </rPh>
    <rPh sb="1" eb="2">
      <t>チカラ</t>
    </rPh>
    <rPh sb="2" eb="3">
      <t>ケイ</t>
    </rPh>
    <phoneticPr fontId="2"/>
  </si>
  <si>
    <t>---〃---</t>
    <phoneticPr fontId="2"/>
  </si>
  <si>
    <t>C</t>
    <phoneticPr fontId="2"/>
  </si>
  <si>
    <t>M</t>
    <phoneticPr fontId="2"/>
  </si>
  <si>
    <t>使用電線</t>
    <phoneticPr fontId="2"/>
  </si>
  <si>
    <t>風圧合成荷重Ｗ[Kg/m]</t>
    <rPh sb="0" eb="2">
      <t>フウアツ</t>
    </rPh>
    <rPh sb="2" eb="4">
      <t>ゴウセイ</t>
    </rPh>
    <rPh sb="4" eb="6">
      <t>カジュウ</t>
    </rPh>
    <phoneticPr fontId="2"/>
  </si>
  <si>
    <t>W</t>
    <phoneticPr fontId="2"/>
  </si>
  <si>
    <r>
      <t>W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</si>
  <si>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D</t>
    <phoneticPr fontId="2"/>
  </si>
  <si>
    <t>S</t>
    <phoneticPr fontId="2"/>
  </si>
  <si>
    <t>T</t>
    <phoneticPr fontId="2"/>
  </si>
  <si>
    <t>E</t>
    <phoneticPr fontId="2"/>
  </si>
  <si>
    <t>A</t>
    <phoneticPr fontId="2"/>
  </si>
  <si>
    <t>α</t>
    <phoneticPr fontId="2"/>
  </si>
  <si>
    <t>使用電線</t>
    <rPh sb="0" eb="2">
      <t>シヨウ</t>
    </rPh>
    <rPh sb="2" eb="4">
      <t>デンセン</t>
    </rPh>
    <phoneticPr fontId="2"/>
  </si>
  <si>
    <t>組数</t>
    <rPh sb="0" eb="1">
      <t>クミ</t>
    </rPh>
    <rPh sb="1" eb="2">
      <t>スウ</t>
    </rPh>
    <phoneticPr fontId="2"/>
  </si>
  <si>
    <t xml:space="preserve">USER Reg. </t>
    <phoneticPr fontId="2"/>
  </si>
  <si>
    <t>Ｍ.Ｗｉｒｅ</t>
    <phoneticPr fontId="2"/>
  </si>
  <si>
    <t>断面積
[sqmm]</t>
    <rPh sb="0" eb="3">
      <t>ダンメンセキ</t>
    </rPh>
    <phoneticPr fontId="2"/>
  </si>
  <si>
    <t>質  量
[Kg/m]</t>
    <rPh sb="0" eb="1">
      <t>シツ</t>
    </rPh>
    <rPh sb="3" eb="4">
      <t>リョウ</t>
    </rPh>
    <phoneticPr fontId="2"/>
  </si>
  <si>
    <t>外  径
[mm]</t>
    <rPh sb="0" eb="1">
      <t>ソト</t>
    </rPh>
    <rPh sb="3" eb="4">
      <t>ケイ</t>
    </rPh>
    <phoneticPr fontId="2"/>
  </si>
  <si>
    <t>弾性係数
[kg/sqmm]</t>
    <rPh sb="0" eb="2">
      <t>ダンセイ</t>
    </rPh>
    <rPh sb="2" eb="4">
      <t>ケイスウ</t>
    </rPh>
    <phoneticPr fontId="2"/>
  </si>
  <si>
    <r>
      <t>線膨張係数
×10</t>
    </r>
    <r>
      <rPr>
        <vertAlign val="superscript"/>
        <sz val="11"/>
        <color indexed="12"/>
        <rFont val="ＭＳ Ｐ明朝"/>
        <family val="1"/>
        <charset val="128"/>
      </rPr>
      <t>-7</t>
    </r>
    <r>
      <rPr>
        <sz val="9"/>
        <color indexed="12"/>
        <rFont val="ＭＳ Ｐ明朝"/>
        <family val="1"/>
        <charset val="128"/>
      </rPr>
      <t>[1/℃]</t>
    </r>
    <rPh sb="0" eb="1">
      <t>セン</t>
    </rPh>
    <rPh sb="1" eb="3">
      <t>ボウチョウ</t>
    </rPh>
    <rPh sb="3" eb="5">
      <t>ケイスウ</t>
    </rPh>
    <phoneticPr fontId="2"/>
  </si>
  <si>
    <t>Ｗｉｒｅ</t>
    <phoneticPr fontId="2"/>
  </si>
  <si>
    <t xml:space="preserve">    外  径     [mm]</t>
    <phoneticPr fontId="2"/>
  </si>
  <si>
    <t xml:space="preserve">    質  量     [Kg/m]</t>
    <phoneticPr fontId="2"/>
  </si>
  <si>
    <t xml:space="preserve">  弾性係数  [kg/sqmm]</t>
    <phoneticPr fontId="2"/>
  </si>
  <si>
    <t xml:space="preserve"> 線膨張係数×10-7[1/℃]</t>
    <phoneticPr fontId="2"/>
  </si>
  <si>
    <t xml:space="preserve">    計算断面積 [sqmm]</t>
    <rPh sb="4" eb="6">
      <t>ケイサン</t>
    </rPh>
    <phoneticPr fontId="2"/>
  </si>
  <si>
    <t xml:space="preserve">  導体引張荷重    [N]</t>
    <phoneticPr fontId="2"/>
  </si>
  <si>
    <r>
      <t>01-</t>
    </r>
    <r>
      <rPr>
        <sz val="9"/>
        <rFont val="ＭＳ ゴシック"/>
        <family val="3"/>
        <charset val="128"/>
      </rPr>
      <t>600V ＯＷ</t>
    </r>
    <phoneticPr fontId="2"/>
  </si>
  <si>
    <r>
      <t>02-</t>
    </r>
    <r>
      <rPr>
        <sz val="9"/>
        <rFont val="ＭＳ ゴシック"/>
        <family val="3"/>
        <charset val="128"/>
      </rPr>
      <t>6KV ＯＣ</t>
    </r>
    <phoneticPr fontId="2"/>
  </si>
  <si>
    <r>
      <t>03-</t>
    </r>
    <r>
      <rPr>
        <sz val="9"/>
        <rFont val="ＭＳ ゴシック"/>
        <family val="3"/>
        <charset val="128"/>
      </rPr>
      <t>6KV ＯＥ</t>
    </r>
    <phoneticPr fontId="2"/>
  </si>
  <si>
    <r>
      <t>04-</t>
    </r>
    <r>
      <rPr>
        <sz val="9"/>
        <rFont val="ＭＳ ゴシック"/>
        <family val="3"/>
        <charset val="128"/>
      </rPr>
      <t>6KV ＯＰ</t>
    </r>
    <phoneticPr fontId="2"/>
  </si>
  <si>
    <r>
      <t>05-</t>
    </r>
    <r>
      <rPr>
        <sz val="9"/>
        <rFont val="ＭＳ ゴシック"/>
        <family val="3"/>
        <charset val="128"/>
      </rPr>
      <t>6KV ACSR-OC</t>
    </r>
    <phoneticPr fontId="2"/>
  </si>
  <si>
    <r>
      <t>06-</t>
    </r>
    <r>
      <rPr>
        <sz val="9"/>
        <rFont val="ＭＳ ゴシック"/>
        <family val="3"/>
        <charset val="128"/>
      </rPr>
      <t>6KV ACSR-OE</t>
    </r>
    <phoneticPr fontId="2"/>
  </si>
  <si>
    <r>
      <t>07-</t>
    </r>
    <r>
      <rPr>
        <sz val="9"/>
        <rFont val="ＭＳ ゴシック"/>
        <family val="3"/>
        <charset val="128"/>
      </rPr>
      <t>6KV AAAC-OC</t>
    </r>
    <phoneticPr fontId="2"/>
  </si>
  <si>
    <r>
      <t>09-</t>
    </r>
    <r>
      <rPr>
        <sz val="9"/>
        <rFont val="ＭＳ ゴシック"/>
        <family val="3"/>
        <charset val="128"/>
      </rPr>
      <t>600V CV-2C</t>
    </r>
    <phoneticPr fontId="2"/>
  </si>
  <si>
    <r>
      <t>10-</t>
    </r>
    <r>
      <rPr>
        <sz val="9"/>
        <rFont val="ＭＳ ゴシック"/>
        <family val="3"/>
        <charset val="128"/>
      </rPr>
      <t>600V CV-3C</t>
    </r>
    <phoneticPr fontId="2"/>
  </si>
  <si>
    <r>
      <t>11-</t>
    </r>
    <r>
      <rPr>
        <sz val="9"/>
        <rFont val="ＭＳ ゴシック"/>
        <family val="3"/>
        <charset val="128"/>
      </rPr>
      <t>600V CV-T</t>
    </r>
    <phoneticPr fontId="2"/>
  </si>
  <si>
    <r>
      <t>24-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</si>
  <si>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25-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</si>
  <si>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26-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</si>
  <si>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27-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</si>
  <si>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28-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</si>
  <si>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29-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</si>
  <si>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30-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</si>
  <si>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31-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</si>
  <si>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32-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</si>
  <si>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33-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</si>
  <si>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34-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</si>
  <si>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35-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</si>
  <si>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36-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</si>
  <si>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37-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</si>
  <si>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38-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</si>
  <si>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39-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</si>
  <si>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40-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</si>
  <si>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41-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</si>
  <si>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42-</t>
    </r>
    <r>
      <rPr>
        <sz val="9"/>
        <rFont val="ＭＳ ゴシック"/>
        <family val="3"/>
        <charset val="128"/>
      </rPr>
      <t xml:space="preserve">USER Reg. </t>
    </r>
    <phoneticPr fontId="2"/>
  </si>
  <si>
    <r>
      <t>12-</t>
    </r>
    <r>
      <rPr>
        <sz val="9"/>
        <rFont val="ＭＳ ゴシック"/>
        <family val="3"/>
        <charset val="128"/>
      </rPr>
      <t>CVV- 2C</t>
    </r>
    <phoneticPr fontId="2"/>
  </si>
  <si>
    <r>
      <t>13-</t>
    </r>
    <r>
      <rPr>
        <sz val="9"/>
        <rFont val="ＭＳ ゴシック"/>
        <family val="3"/>
        <charset val="128"/>
      </rPr>
      <t>CVV- 3C</t>
    </r>
    <phoneticPr fontId="2"/>
  </si>
  <si>
    <r>
      <t>14-</t>
    </r>
    <r>
      <rPr>
        <sz val="9"/>
        <rFont val="ＭＳ ゴシック"/>
        <family val="3"/>
        <charset val="128"/>
      </rPr>
      <t>CVV- 4C</t>
    </r>
    <phoneticPr fontId="2"/>
  </si>
  <si>
    <r>
      <t>15-</t>
    </r>
    <r>
      <rPr>
        <sz val="9"/>
        <rFont val="ＭＳ ゴシック"/>
        <family val="3"/>
        <charset val="128"/>
      </rPr>
      <t>CVV－5C</t>
    </r>
    <phoneticPr fontId="2"/>
  </si>
  <si>
    <r>
      <t>16-</t>
    </r>
    <r>
      <rPr>
        <sz val="9"/>
        <rFont val="ＭＳ ゴシック"/>
        <family val="3"/>
        <charset val="128"/>
      </rPr>
      <t>CVV- 6C</t>
    </r>
    <phoneticPr fontId="2"/>
  </si>
  <si>
    <r>
      <t>17-</t>
    </r>
    <r>
      <rPr>
        <sz val="9"/>
        <rFont val="ＭＳ ゴシック"/>
        <family val="3"/>
        <charset val="128"/>
      </rPr>
      <t>CVV- 7C</t>
    </r>
    <phoneticPr fontId="2"/>
  </si>
  <si>
    <r>
      <t>18-</t>
    </r>
    <r>
      <rPr>
        <sz val="9"/>
        <rFont val="ＭＳ ゴシック"/>
        <family val="3"/>
        <charset val="128"/>
      </rPr>
      <t>CVV- 8C</t>
    </r>
    <phoneticPr fontId="2"/>
  </si>
  <si>
    <r>
      <t>19-</t>
    </r>
    <r>
      <rPr>
        <sz val="9"/>
        <rFont val="ＭＳ ゴシック"/>
        <family val="3"/>
        <charset val="128"/>
      </rPr>
      <t>CVV-10C</t>
    </r>
    <phoneticPr fontId="2"/>
  </si>
  <si>
    <r>
      <t>20-</t>
    </r>
    <r>
      <rPr>
        <sz val="9"/>
        <rFont val="ＭＳ ゴシック"/>
        <family val="3"/>
        <charset val="128"/>
      </rPr>
      <t>CVV-12C</t>
    </r>
    <phoneticPr fontId="2"/>
  </si>
  <si>
    <r>
      <t>21-</t>
    </r>
    <r>
      <rPr>
        <sz val="9"/>
        <rFont val="ＭＳ ゴシック"/>
        <family val="3"/>
        <charset val="128"/>
      </rPr>
      <t>CVV-15C</t>
    </r>
    <phoneticPr fontId="2"/>
  </si>
  <si>
    <r>
      <t>22-</t>
    </r>
    <r>
      <rPr>
        <sz val="9"/>
        <rFont val="ＭＳ ゴシック"/>
        <family val="3"/>
        <charset val="128"/>
      </rPr>
      <t>CVV-20C</t>
    </r>
    <phoneticPr fontId="2"/>
  </si>
  <si>
    <r>
      <t>23-</t>
    </r>
    <r>
      <rPr>
        <sz val="9"/>
        <rFont val="ＭＳ ゴシック"/>
        <family val="3"/>
        <charset val="128"/>
      </rPr>
      <t>CVV-30C</t>
    </r>
    <phoneticPr fontId="2"/>
  </si>
  <si>
    <r>
      <t>08-</t>
    </r>
    <r>
      <rPr>
        <sz val="9"/>
        <rFont val="ＭＳ ゴシック"/>
        <family val="3"/>
        <charset val="128"/>
      </rPr>
      <t>6KV CV-T</t>
    </r>
    <phoneticPr fontId="2"/>
  </si>
  <si>
    <t>導体引張荷重
[N]</t>
    <rPh sb="0" eb="2">
      <t>ドウタイ</t>
    </rPh>
    <rPh sb="2" eb="3">
      <t>ヒ</t>
    </rPh>
    <rPh sb="3" eb="4">
      <t>パ</t>
    </rPh>
    <rPh sb="4" eb="6">
      <t>カジュウ</t>
    </rPh>
    <phoneticPr fontId="2"/>
  </si>
  <si>
    <t>E</t>
    <phoneticPr fontId="2"/>
  </si>
  <si>
    <t>α</t>
    <phoneticPr fontId="2"/>
  </si>
  <si>
    <t>甲23</t>
    <rPh sb="0" eb="1">
      <t>コウ</t>
    </rPh>
    <phoneticPr fontId="2"/>
  </si>
  <si>
    <t>980[Pa]</t>
    <phoneticPr fontId="2"/>
  </si>
  <si>
    <t>490[Pa]</t>
    <phoneticPr fontId="2"/>
  </si>
  <si>
    <t>490[Pa]</t>
    <phoneticPr fontId="2"/>
  </si>
  <si>
    <t>[Kg]</t>
    <phoneticPr fontId="2"/>
  </si>
  <si>
    <t>乙23</t>
    <rPh sb="0" eb="1">
      <t>オツ</t>
    </rPh>
    <phoneticPr fontId="2"/>
  </si>
  <si>
    <t>△</t>
    <phoneticPr fontId="2"/>
  </si>
  <si>
    <t>甲25</t>
    <rPh sb="0" eb="1">
      <t>コウ</t>
    </rPh>
    <phoneticPr fontId="2"/>
  </si>
  <si>
    <t>甲26</t>
    <rPh sb="0" eb="1">
      <t>コウ</t>
    </rPh>
    <phoneticPr fontId="2"/>
  </si>
  <si>
    <t>甲27</t>
    <rPh sb="0" eb="1">
      <t>コウ</t>
    </rPh>
    <phoneticPr fontId="2"/>
  </si>
  <si>
    <t>甲28</t>
    <rPh sb="0" eb="1">
      <t>コウ</t>
    </rPh>
    <phoneticPr fontId="2"/>
  </si>
  <si>
    <t>甲24</t>
    <rPh sb="0" eb="1">
      <t>コウ</t>
    </rPh>
    <phoneticPr fontId="2"/>
  </si>
  <si>
    <t>乙24</t>
    <rPh sb="0" eb="1">
      <t>オツ</t>
    </rPh>
    <phoneticPr fontId="2"/>
  </si>
  <si>
    <t>乙25</t>
    <rPh sb="0" eb="1">
      <t>オツ</t>
    </rPh>
    <phoneticPr fontId="2"/>
  </si>
  <si>
    <t>乙26</t>
    <rPh sb="0" eb="1">
      <t>オツ</t>
    </rPh>
    <phoneticPr fontId="2"/>
  </si>
  <si>
    <t>乙27</t>
    <rPh sb="0" eb="1">
      <t>オツ</t>
    </rPh>
    <phoneticPr fontId="2"/>
  </si>
  <si>
    <t>乙28</t>
    <rPh sb="0" eb="1">
      <t>オツ</t>
    </rPh>
    <phoneticPr fontId="2"/>
  </si>
  <si>
    <t>丙23</t>
    <rPh sb="0" eb="1">
      <t>ヘイ</t>
    </rPh>
    <phoneticPr fontId="2"/>
  </si>
  <si>
    <t>丙24</t>
    <phoneticPr fontId="2"/>
  </si>
  <si>
    <t>丙25</t>
    <phoneticPr fontId="2"/>
  </si>
  <si>
    <t>丙26</t>
    <phoneticPr fontId="2"/>
  </si>
  <si>
    <t>丙27</t>
    <phoneticPr fontId="2"/>
  </si>
  <si>
    <t>丙28</t>
    <phoneticPr fontId="2"/>
  </si>
  <si>
    <t xml:space="preserve"> -(A-B)</t>
    <phoneticPr fontId="2"/>
  </si>
  <si>
    <t>-BD(Wt/W)</t>
    <phoneticPr fontId="2"/>
  </si>
  <si>
    <t>.</t>
    <phoneticPr fontId="2"/>
  </si>
  <si>
    <t>温度</t>
    <rPh sb="0" eb="2">
      <t>オンド</t>
    </rPh>
    <phoneticPr fontId="2"/>
  </si>
  <si>
    <t>Ｄt</t>
    <phoneticPr fontId="2"/>
  </si>
  <si>
    <t>Ｔ</t>
    <phoneticPr fontId="2"/>
  </si>
  <si>
    <t>着氷雪時(6mm,比重:0.9)
-15[℃],50[Kg/ｍ2]</t>
    <phoneticPr fontId="2"/>
  </si>
  <si>
    <t>使用電線-5</t>
    <phoneticPr fontId="2"/>
  </si>
  <si>
    <t>使用電線-4</t>
    <phoneticPr fontId="2"/>
  </si>
  <si>
    <t>使用電線-3</t>
    <phoneticPr fontId="2"/>
  </si>
  <si>
    <t>使用電線-2</t>
    <phoneticPr fontId="2"/>
  </si>
  <si>
    <t>使用電線-1</t>
    <phoneticPr fontId="2"/>
  </si>
  <si>
    <r>
      <t xml:space="preserve">構内柱 </t>
    </r>
    <r>
      <rPr>
        <b/>
        <sz val="9"/>
        <rFont val="ＭＳ 明朝"/>
        <family val="1"/>
        <charset val="128"/>
      </rPr>
      <t>CP-P02</t>
    </r>
    <phoneticPr fontId="2"/>
  </si>
  <si>
    <t>大／小</t>
    <rPh sb="0" eb="1">
      <t>ダイ</t>
    </rPh>
    <rPh sb="2" eb="3">
      <t>ショウ</t>
    </rPh>
    <phoneticPr fontId="2"/>
  </si>
  <si>
    <t>MW-Ｒ</t>
    <phoneticPr fontId="2"/>
  </si>
  <si>
    <t>MW-Ｔ</t>
    <phoneticPr fontId="2"/>
  </si>
  <si>
    <t>→ 径間長Ｓ＝</t>
    <rPh sb="2" eb="3">
      <t>ケイ</t>
    </rPh>
    <rPh sb="3" eb="4">
      <t>カン</t>
    </rPh>
    <rPh sb="4" eb="5">
      <t>チョウ</t>
    </rPh>
    <phoneticPr fontId="2"/>
  </si>
  <si>
    <t>MW  55sq</t>
    <phoneticPr fontId="2"/>
  </si>
  <si>
    <t>MW  90sq</t>
    <phoneticPr fontId="2"/>
  </si>
  <si>
    <t>MW 110sq</t>
    <phoneticPr fontId="2"/>
  </si>
  <si>
    <t xml:space="preserve">No.      </t>
    <phoneticPr fontId="2"/>
  </si>
  <si>
    <t>径
間
長</t>
    <rPh sb="0" eb="1">
      <t>ケイ</t>
    </rPh>
    <rPh sb="2" eb="3">
      <t>カン</t>
    </rPh>
    <rPh sb="4" eb="5">
      <t>チョウ</t>
    </rPh>
    <phoneticPr fontId="2"/>
  </si>
  <si>
    <t>基
準
弛
度</t>
    <rPh sb="0" eb="1">
      <t>モト</t>
    </rPh>
    <rPh sb="2" eb="3">
      <t>ジュン</t>
    </rPh>
    <rPh sb="4" eb="5">
      <t>チ</t>
    </rPh>
    <rPh sb="6" eb="7">
      <t>タビ</t>
    </rPh>
    <phoneticPr fontId="2"/>
  </si>
  <si>
    <t>弛
度
補
正</t>
    <rPh sb="0" eb="1">
      <t>チ</t>
    </rPh>
    <rPh sb="2" eb="3">
      <t>タビ</t>
    </rPh>
    <rPh sb="4" eb="5">
      <t>タスク</t>
    </rPh>
    <rPh sb="6" eb="7">
      <t>セイ</t>
    </rPh>
    <phoneticPr fontId="2"/>
  </si>
  <si>
    <t>張 力</t>
    <rPh sb="0" eb="1">
      <t>チョウ</t>
    </rPh>
    <rPh sb="2" eb="3">
      <t>チカラ</t>
    </rPh>
    <phoneticPr fontId="2"/>
  </si>
  <si>
    <r>
      <t>15[℃],100[Kg/ｍ</t>
    </r>
    <r>
      <rPr>
        <vertAlign val="superscript"/>
        <sz val="8"/>
        <rFont val="ＭＳ 明朝"/>
        <family val="1"/>
        <charset val="128"/>
      </rPr>
      <t>2</t>
    </r>
    <r>
      <rPr>
        <sz val="8"/>
        <rFont val="ＭＳ 明朝"/>
        <family val="1"/>
        <charset val="128"/>
      </rPr>
      <t>]</t>
    </r>
    <rPh sb="14" eb="15">
      <t>２</t>
    </rPh>
    <phoneticPr fontId="2"/>
  </si>
  <si>
    <t>構内柱番号</t>
    <rPh sb="0" eb="2">
      <t>コウナイ</t>
    </rPh>
    <rPh sb="2" eb="3">
      <t>ハシラ</t>
    </rPh>
    <rPh sb="3" eb="5">
      <t>バンゴウ</t>
    </rPh>
    <phoneticPr fontId="2"/>
  </si>
  <si>
    <t>　1.</t>
    <phoneticPr fontId="2"/>
  </si>
  <si>
    <t>　2.</t>
    <phoneticPr fontId="2"/>
  </si>
  <si>
    <t>　3.</t>
    <phoneticPr fontId="2"/>
  </si>
  <si>
    <t>最小値</t>
    <rPh sb="0" eb="2">
      <t>サイショウ</t>
    </rPh>
    <rPh sb="2" eb="3">
      <t>チ</t>
    </rPh>
    <phoneticPr fontId="2"/>
  </si>
  <si>
    <t>Ｍ</t>
    <phoneticPr fontId="2"/>
  </si>
  <si>
    <t>Electro Systems Engineering SERVICE</t>
    <phoneticPr fontId="2"/>
  </si>
  <si>
    <r>
      <t xml:space="preserve"> </t>
    </r>
    <r>
      <rPr>
        <b/>
        <sz val="14"/>
        <color indexed="10"/>
        <rFont val="ＭＳ 明朝"/>
        <family val="1"/>
        <charset val="128"/>
      </rPr>
      <t>貴社名を入力して下さい</t>
    </r>
    <phoneticPr fontId="2"/>
  </si>
  <si>
    <t>物件名</t>
    <rPh sb="0" eb="2">
      <t>ブッケン</t>
    </rPh>
    <rPh sb="2" eb="3">
      <t>メイ</t>
    </rPh>
    <phoneticPr fontId="2"/>
  </si>
  <si>
    <t xml:space="preserve"> 物件名を入力して下さい</t>
    <rPh sb="1" eb="3">
      <t>ブッケン</t>
    </rPh>
    <rPh sb="3" eb="4">
      <t>メイ</t>
    </rPh>
    <rPh sb="5" eb="7">
      <t>ニュウリョク</t>
    </rPh>
    <rPh sb="9" eb="10">
      <t>クダ</t>
    </rPh>
    <phoneticPr fontId="2"/>
  </si>
  <si>
    <t>担当</t>
    <rPh sb="0" eb="2">
      <t>タントウ</t>
    </rPh>
    <phoneticPr fontId="2"/>
  </si>
  <si>
    <t>サイン</t>
    <phoneticPr fontId="2"/>
  </si>
  <si>
    <t>　架線弛度計算</t>
    <rPh sb="1" eb="3">
      <t>カセン</t>
    </rPh>
    <rPh sb="3" eb="4">
      <t>タル</t>
    </rPh>
    <rPh sb="4" eb="5">
      <t>ド</t>
    </rPh>
    <rPh sb="5" eb="7">
      <t>ケイサン</t>
    </rPh>
    <phoneticPr fontId="2"/>
  </si>
  <si>
    <t>Electro Systems Engineering SERVICE</t>
    <phoneticPr fontId="2"/>
  </si>
  <si>
    <r>
      <t xml:space="preserve">構内柱 </t>
    </r>
    <r>
      <rPr>
        <b/>
        <sz val="9"/>
        <rFont val="ＭＳ 明朝"/>
        <family val="1"/>
        <charset val="128"/>
      </rPr>
      <t>CP-P02</t>
    </r>
    <phoneticPr fontId="2"/>
  </si>
  <si>
    <t>サイズ</t>
    <phoneticPr fontId="2"/>
  </si>
  <si>
    <t>ﾒｯｾﾝｼﾞｬ
ﾜｲﾔ</t>
    <phoneticPr fontId="2"/>
  </si>
  <si>
    <t>Ｍ</t>
    <phoneticPr fontId="2"/>
  </si>
  <si>
    <t>[mm]</t>
    <phoneticPr fontId="2"/>
  </si>
  <si>
    <t>[sqmm]</t>
    <phoneticPr fontId="2"/>
  </si>
  <si>
    <t>[Kg/m]</t>
    <phoneticPr fontId="2"/>
  </si>
  <si>
    <t>[Kg]</t>
    <phoneticPr fontId="2"/>
  </si>
  <si>
    <t>980[Pa]</t>
    <phoneticPr fontId="2"/>
  </si>
  <si>
    <t>490[Pa]</t>
    <phoneticPr fontId="2"/>
  </si>
  <si>
    <t>E</t>
    <phoneticPr fontId="2"/>
  </si>
  <si>
    <t>α</t>
    <phoneticPr fontId="2"/>
  </si>
  <si>
    <t>C</t>
    <phoneticPr fontId="2"/>
  </si>
  <si>
    <t>M</t>
    <phoneticPr fontId="2"/>
  </si>
  <si>
    <t>丙24</t>
    <phoneticPr fontId="2"/>
  </si>
  <si>
    <t xml:space="preserve"> -(A-B)</t>
    <phoneticPr fontId="2"/>
  </si>
  <si>
    <t>-BD(Wt/W)</t>
    <phoneticPr fontId="2"/>
  </si>
  <si>
    <r>
      <t>D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</si>
  <si>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f(x)</t>
    <phoneticPr fontId="2"/>
  </si>
  <si>
    <t>f'(x)</t>
    <phoneticPr fontId="2"/>
  </si>
  <si>
    <t>x-f(x)/f'(x)</t>
    <phoneticPr fontId="2"/>
  </si>
  <si>
    <t>f'(x)-x1</t>
    <phoneticPr fontId="2"/>
  </si>
  <si>
    <t>f'(x)-x2</t>
    <phoneticPr fontId="2"/>
  </si>
  <si>
    <t>丙25</t>
    <phoneticPr fontId="2"/>
  </si>
  <si>
    <t>丙26</t>
    <phoneticPr fontId="2"/>
  </si>
  <si>
    <t>丙27</t>
    <phoneticPr fontId="2"/>
  </si>
  <si>
    <r>
      <t>A=D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+(3/8)S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α(t-t</t>
    </r>
    <r>
      <rPr>
        <vertAlign val="subscript"/>
        <sz val="11"/>
        <rFont val="ＭＳ ゴシック"/>
        <family val="3"/>
        <charset val="128"/>
      </rPr>
      <t>0</t>
    </r>
    <r>
      <rPr>
        <sz val="11"/>
        <rFont val="ＭＳ ゴシック"/>
        <family val="3"/>
        <charset val="128"/>
      </rPr>
      <t>)</t>
    </r>
    <phoneticPr fontId="2"/>
  </si>
  <si>
    <t>f'(x1)</t>
    <phoneticPr fontId="2"/>
  </si>
  <si>
    <t>f'(x2)</t>
    <phoneticPr fontId="2"/>
  </si>
  <si>
    <t>丙28</t>
    <phoneticPr fontId="2"/>
  </si>
  <si>
    <r>
      <t>B=(3/8)S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(T/EA)</t>
    </r>
    <phoneticPr fontId="2"/>
  </si>
  <si>
    <t>BD(Wt/W)</t>
    <phoneticPr fontId="2"/>
  </si>
  <si>
    <t>Ｄt</t>
    <phoneticPr fontId="2"/>
  </si>
  <si>
    <t>Ｔ</t>
    <phoneticPr fontId="2"/>
  </si>
  <si>
    <t>使用電線-1</t>
    <phoneticPr fontId="2"/>
  </si>
  <si>
    <t>使用電線-2</t>
    <phoneticPr fontId="2"/>
  </si>
  <si>
    <t>使用電線-3</t>
    <phoneticPr fontId="2"/>
  </si>
  <si>
    <t>使用電線-4</t>
    <phoneticPr fontId="2"/>
  </si>
  <si>
    <t>使用電線-5</t>
    <phoneticPr fontId="2"/>
  </si>
  <si>
    <t>W</t>
    <phoneticPr fontId="2"/>
  </si>
  <si>
    <r>
      <t>W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</si>
  <si>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D</t>
    <phoneticPr fontId="2"/>
  </si>
  <si>
    <t>S</t>
    <phoneticPr fontId="2"/>
  </si>
  <si>
    <t>T</t>
    <phoneticPr fontId="2"/>
  </si>
  <si>
    <t>E</t>
    <phoneticPr fontId="2"/>
  </si>
  <si>
    <t>A</t>
    <phoneticPr fontId="2"/>
  </si>
  <si>
    <t>α</t>
    <phoneticPr fontId="2"/>
  </si>
  <si>
    <t>.</t>
    <phoneticPr fontId="2"/>
  </si>
  <si>
    <t xml:space="preserve"> -(A-B)</t>
    <phoneticPr fontId="2"/>
  </si>
  <si>
    <t>-BD(Wt/W)</t>
    <phoneticPr fontId="2"/>
  </si>
  <si>
    <r>
      <t>D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</si>
  <si>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f(x)</t>
    <phoneticPr fontId="2"/>
  </si>
  <si>
    <t>f'(x)</t>
    <phoneticPr fontId="2"/>
  </si>
  <si>
    <t>x-f(x)/f'(x)</t>
    <phoneticPr fontId="2"/>
  </si>
  <si>
    <t>f'(x)-x1</t>
    <phoneticPr fontId="2"/>
  </si>
  <si>
    <t>f'(x)-x2</t>
    <phoneticPr fontId="2"/>
  </si>
  <si>
    <r>
      <t>A=D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+(3/8)S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α(t-t</t>
    </r>
    <r>
      <rPr>
        <vertAlign val="subscript"/>
        <sz val="11"/>
        <rFont val="ＭＳ ゴシック"/>
        <family val="3"/>
        <charset val="128"/>
      </rPr>
      <t>0</t>
    </r>
    <r>
      <rPr>
        <sz val="11"/>
        <rFont val="ＭＳ ゴシック"/>
        <family val="3"/>
        <charset val="128"/>
      </rPr>
      <t>)</t>
    </r>
    <phoneticPr fontId="2"/>
  </si>
  <si>
    <t>f'(x1)</t>
    <phoneticPr fontId="2"/>
  </si>
  <si>
    <t>f'(x2)</t>
    <phoneticPr fontId="2"/>
  </si>
  <si>
    <r>
      <t>B=(3/8)S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(T/EA)</t>
    </r>
    <phoneticPr fontId="2"/>
  </si>
  <si>
    <t>BD(Wt/W)</t>
    <phoneticPr fontId="2"/>
  </si>
  <si>
    <t>Ｄt</t>
    <phoneticPr fontId="2"/>
  </si>
  <si>
    <t>Ｔ</t>
    <phoneticPr fontId="2"/>
  </si>
  <si>
    <t>着氷雪時(6mm,比重:0.9)
-15[℃],50[Kg/ｍ2]</t>
    <phoneticPr fontId="2"/>
  </si>
  <si>
    <t>使用電線</t>
    <phoneticPr fontId="2"/>
  </si>
  <si>
    <t>　架線弛度計算集計表</t>
    <rPh sb="1" eb="3">
      <t>カセン</t>
    </rPh>
    <rPh sb="3" eb="4">
      <t>タル</t>
    </rPh>
    <rPh sb="4" eb="5">
      <t>ド</t>
    </rPh>
    <rPh sb="5" eb="7">
      <t>ケイサン</t>
    </rPh>
    <rPh sb="7" eb="9">
      <t>シュウケイ</t>
    </rPh>
    <rPh sb="9" eb="10">
      <t>ヒョウ</t>
    </rPh>
    <phoneticPr fontId="2"/>
  </si>
  <si>
    <t>高温季最悪条件時</t>
    <phoneticPr fontId="2"/>
  </si>
  <si>
    <t>無 着 氷 雪 時</t>
    <phoneticPr fontId="2"/>
  </si>
  <si>
    <t>無　風　時　</t>
    <phoneticPr fontId="2"/>
  </si>
  <si>
    <t xml:space="preserve"> 特記事項</t>
    <phoneticPr fontId="2"/>
  </si>
  <si>
    <r>
      <t>着氷雪時</t>
    </r>
    <r>
      <rPr>
        <sz val="8"/>
        <rFont val="ＭＳ 明朝"/>
        <family val="1"/>
        <charset val="128"/>
      </rPr>
      <t>(6mm,比重:0.9)</t>
    </r>
    <phoneticPr fontId="2"/>
  </si>
  <si>
    <r>
      <t>-15[℃],50[Kg/ｍ</t>
    </r>
    <r>
      <rPr>
        <vertAlign val="superscript"/>
        <sz val="8"/>
        <rFont val="ＭＳ 明朝"/>
        <family val="1"/>
        <charset val="128"/>
      </rPr>
      <t>2</t>
    </r>
    <r>
      <rPr>
        <sz val="8"/>
        <rFont val="ＭＳ 明朝"/>
        <family val="1"/>
        <charset val="128"/>
      </rPr>
      <t>]</t>
    </r>
    <phoneticPr fontId="2"/>
  </si>
  <si>
    <t>15[℃]</t>
    <phoneticPr fontId="2"/>
  </si>
  <si>
    <t>ﾒｯｾﾝｼﾞｬ
ﾜｲﾔ</t>
    <phoneticPr fontId="2"/>
  </si>
  <si>
    <t>[mm]</t>
    <phoneticPr fontId="2"/>
  </si>
  <si>
    <t>[sqmm]</t>
    <phoneticPr fontId="2"/>
  </si>
  <si>
    <t>[Kg/m]</t>
    <phoneticPr fontId="2"/>
  </si>
  <si>
    <t>[Kg]</t>
    <phoneticPr fontId="2"/>
  </si>
  <si>
    <t>980[Pa]</t>
    <phoneticPr fontId="2"/>
  </si>
  <si>
    <t>490[Pa]</t>
    <phoneticPr fontId="2"/>
  </si>
  <si>
    <t>E</t>
    <phoneticPr fontId="2"/>
  </si>
  <si>
    <t>α</t>
    <phoneticPr fontId="2"/>
  </si>
  <si>
    <t>C</t>
    <phoneticPr fontId="2"/>
  </si>
  <si>
    <t>M</t>
    <phoneticPr fontId="2"/>
  </si>
  <si>
    <t>丙24</t>
    <phoneticPr fontId="2"/>
  </si>
  <si>
    <t xml:space="preserve"> -(A-B)</t>
    <phoneticPr fontId="2"/>
  </si>
  <si>
    <t>-BD(Wt/W)</t>
    <phoneticPr fontId="2"/>
  </si>
  <si>
    <r>
      <t>D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</si>
  <si>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f(x)</t>
    <phoneticPr fontId="2"/>
  </si>
  <si>
    <t>f'(x)</t>
    <phoneticPr fontId="2"/>
  </si>
  <si>
    <t>x-f(x)/f'(x)</t>
    <phoneticPr fontId="2"/>
  </si>
  <si>
    <t>f'(x)-x1</t>
    <phoneticPr fontId="2"/>
  </si>
  <si>
    <t>f'(x)-x2</t>
    <phoneticPr fontId="2"/>
  </si>
  <si>
    <t>丙25</t>
    <phoneticPr fontId="2"/>
  </si>
  <si>
    <t>丙26</t>
    <phoneticPr fontId="2"/>
  </si>
  <si>
    <t>丙27</t>
    <phoneticPr fontId="2"/>
  </si>
  <si>
    <r>
      <t>A=D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+(3/8)S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α(t-t</t>
    </r>
    <r>
      <rPr>
        <vertAlign val="subscript"/>
        <sz val="11"/>
        <rFont val="ＭＳ ゴシック"/>
        <family val="3"/>
        <charset val="128"/>
      </rPr>
      <t>0</t>
    </r>
    <r>
      <rPr>
        <sz val="11"/>
        <rFont val="ＭＳ ゴシック"/>
        <family val="3"/>
        <charset val="128"/>
      </rPr>
      <t>)</t>
    </r>
    <phoneticPr fontId="2"/>
  </si>
  <si>
    <t>f'(x1)</t>
    <phoneticPr fontId="2"/>
  </si>
  <si>
    <t>f'(x2)</t>
    <phoneticPr fontId="2"/>
  </si>
  <si>
    <t>丙28</t>
    <phoneticPr fontId="2"/>
  </si>
  <si>
    <r>
      <t>B=(3/8)S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(T/EA)</t>
    </r>
    <phoneticPr fontId="2"/>
  </si>
  <si>
    <t>BD(Wt/W)</t>
    <phoneticPr fontId="2"/>
  </si>
  <si>
    <t>Ｄt</t>
    <phoneticPr fontId="2"/>
  </si>
  <si>
    <t>Ｔ</t>
    <phoneticPr fontId="2"/>
  </si>
  <si>
    <t>△</t>
    <phoneticPr fontId="2"/>
  </si>
  <si>
    <t xml:space="preserve">No.      </t>
    <phoneticPr fontId="2"/>
  </si>
  <si>
    <t>使用電線</t>
    <phoneticPr fontId="2"/>
  </si>
  <si>
    <t>ﾒｯｾﾝｼﾞｬ･ﾜｲﾔ</t>
    <phoneticPr fontId="2"/>
  </si>
  <si>
    <t>ﾒｯｾﾝｼﾞｬ
ﾜｲﾔ</t>
    <phoneticPr fontId="2"/>
  </si>
  <si>
    <t>[mm]</t>
    <phoneticPr fontId="2"/>
  </si>
  <si>
    <t>[sqmm]</t>
    <phoneticPr fontId="2"/>
  </si>
  <si>
    <t>[Kg/m]</t>
    <phoneticPr fontId="2"/>
  </si>
  <si>
    <t>[Kg]</t>
    <phoneticPr fontId="2"/>
  </si>
  <si>
    <t>980[Pa]</t>
    <phoneticPr fontId="2"/>
  </si>
  <si>
    <t>490[Pa]</t>
    <phoneticPr fontId="2"/>
  </si>
  <si>
    <t>E</t>
    <phoneticPr fontId="2"/>
  </si>
  <si>
    <t>α</t>
    <phoneticPr fontId="2"/>
  </si>
  <si>
    <t>C</t>
    <phoneticPr fontId="2"/>
  </si>
  <si>
    <t>M</t>
    <phoneticPr fontId="2"/>
  </si>
  <si>
    <t>丙24</t>
    <phoneticPr fontId="2"/>
  </si>
  <si>
    <t xml:space="preserve"> -(A-B)</t>
    <phoneticPr fontId="2"/>
  </si>
  <si>
    <t>-BD(Wt/W)</t>
    <phoneticPr fontId="2"/>
  </si>
  <si>
    <r>
      <t>D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</si>
  <si>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f(x)</t>
    <phoneticPr fontId="2"/>
  </si>
  <si>
    <t>f'(x)</t>
    <phoneticPr fontId="2"/>
  </si>
  <si>
    <t>x-f(x)/f'(x)</t>
    <phoneticPr fontId="2"/>
  </si>
  <si>
    <t>f'(x)-x1</t>
    <phoneticPr fontId="2"/>
  </si>
  <si>
    <t>f'(x)-x2</t>
    <phoneticPr fontId="2"/>
  </si>
  <si>
    <t>丙25</t>
    <phoneticPr fontId="2"/>
  </si>
  <si>
    <t>丙26</t>
    <phoneticPr fontId="2"/>
  </si>
  <si>
    <t>丙27</t>
    <phoneticPr fontId="2"/>
  </si>
  <si>
    <r>
      <t>A=D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+(3/8)S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α(t-t</t>
    </r>
    <r>
      <rPr>
        <vertAlign val="subscript"/>
        <sz val="11"/>
        <rFont val="ＭＳ ゴシック"/>
        <family val="3"/>
        <charset val="128"/>
      </rPr>
      <t>0</t>
    </r>
    <r>
      <rPr>
        <sz val="11"/>
        <rFont val="ＭＳ ゴシック"/>
        <family val="3"/>
        <charset val="128"/>
      </rPr>
      <t>)</t>
    </r>
    <phoneticPr fontId="2"/>
  </si>
  <si>
    <t>f'(x1)</t>
    <phoneticPr fontId="2"/>
  </si>
  <si>
    <t>f'(x2)</t>
    <phoneticPr fontId="2"/>
  </si>
  <si>
    <t>丙28</t>
    <phoneticPr fontId="2"/>
  </si>
  <si>
    <r>
      <t>B=(3/8)S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(T/EA)</t>
    </r>
    <phoneticPr fontId="2"/>
  </si>
  <si>
    <t>BD(Wt/W)</t>
    <phoneticPr fontId="2"/>
  </si>
  <si>
    <t>Ｄt</t>
    <phoneticPr fontId="2"/>
  </si>
  <si>
    <t>Ｔ</t>
    <phoneticPr fontId="2"/>
  </si>
  <si>
    <t>ﾒｯｾﾝｼﾞｬ
ﾜｲﾔ</t>
    <phoneticPr fontId="2"/>
  </si>
  <si>
    <t>Ｍ</t>
    <phoneticPr fontId="2"/>
  </si>
  <si>
    <t>[mm]</t>
    <phoneticPr fontId="2"/>
  </si>
  <si>
    <t>[sqmm]</t>
    <phoneticPr fontId="2"/>
  </si>
  <si>
    <t>[Kg/m]</t>
    <phoneticPr fontId="2"/>
  </si>
  <si>
    <t>[Kg]</t>
    <phoneticPr fontId="2"/>
  </si>
  <si>
    <t>980[Pa]</t>
    <phoneticPr fontId="2"/>
  </si>
  <si>
    <t>490[Pa]</t>
    <phoneticPr fontId="2"/>
  </si>
  <si>
    <t>E</t>
    <phoneticPr fontId="2"/>
  </si>
  <si>
    <t>α</t>
    <phoneticPr fontId="2"/>
  </si>
  <si>
    <t>C</t>
    <phoneticPr fontId="2"/>
  </si>
  <si>
    <t>M</t>
    <phoneticPr fontId="2"/>
  </si>
  <si>
    <t>丙24</t>
    <phoneticPr fontId="2"/>
  </si>
  <si>
    <t xml:space="preserve"> -(A-B)</t>
    <phoneticPr fontId="2"/>
  </si>
  <si>
    <t>-BD(Wt/W)</t>
    <phoneticPr fontId="2"/>
  </si>
  <si>
    <r>
      <t>D</t>
    </r>
    <r>
      <rPr>
        <vertAlign val="subscript"/>
        <sz val="11"/>
        <rFont val="ＭＳ ゴシック"/>
        <family val="3"/>
        <charset val="128"/>
      </rPr>
      <t>t</t>
    </r>
    <phoneticPr fontId="2"/>
  </si>
  <si>
    <t>f(x)</t>
    <phoneticPr fontId="2"/>
  </si>
  <si>
    <t>f'(x)</t>
    <phoneticPr fontId="2"/>
  </si>
  <si>
    <t>x-f(x)/f'(x)</t>
    <phoneticPr fontId="2"/>
  </si>
  <si>
    <t>f'(x)-x1</t>
    <phoneticPr fontId="2"/>
  </si>
  <si>
    <t>f'(x)-x2</t>
    <phoneticPr fontId="2"/>
  </si>
  <si>
    <t>丙25</t>
    <phoneticPr fontId="2"/>
  </si>
  <si>
    <t>丙26</t>
    <phoneticPr fontId="2"/>
  </si>
  <si>
    <t>丙27</t>
    <phoneticPr fontId="2"/>
  </si>
  <si>
    <r>
      <t>A=D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+(3/8)S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α(t-t</t>
    </r>
    <r>
      <rPr>
        <vertAlign val="subscript"/>
        <sz val="11"/>
        <rFont val="ＭＳ ゴシック"/>
        <family val="3"/>
        <charset val="128"/>
      </rPr>
      <t>0</t>
    </r>
    <r>
      <rPr>
        <sz val="11"/>
        <rFont val="ＭＳ ゴシック"/>
        <family val="3"/>
        <charset val="128"/>
      </rPr>
      <t>)</t>
    </r>
    <phoneticPr fontId="2"/>
  </si>
  <si>
    <t>f'(x1)</t>
    <phoneticPr fontId="2"/>
  </si>
  <si>
    <t>f'(x2)</t>
    <phoneticPr fontId="2"/>
  </si>
  <si>
    <t>丙28</t>
    <phoneticPr fontId="2"/>
  </si>
  <si>
    <r>
      <t>B=(3/8)S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(T/EA)</t>
    </r>
    <phoneticPr fontId="2"/>
  </si>
  <si>
    <t>BD(Wt/W)</t>
    <phoneticPr fontId="2"/>
  </si>
  <si>
    <t>Ｄt</t>
    <phoneticPr fontId="2"/>
  </si>
  <si>
    <t>Ｔ</t>
    <phoneticPr fontId="2"/>
  </si>
  <si>
    <t>03-6KV ＯＥ</t>
  </si>
  <si>
    <t>MW  38sq</t>
  </si>
  <si>
    <t>20-CVV-12C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</si>
</sst>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&quot; m&quot;"/>
    <numFmt numFmtId="177" formatCode="0.0_ "/>
    <numFmt numFmtId="178" formatCode="0_ "/>
    <numFmt numFmtId="179" formatCode="0.00_ "/>
    <numFmt numFmtId="180" formatCode="0.000_ "/>
    <numFmt numFmtId="181" formatCode="#,##0_ "/>
    <numFmt numFmtId="182" formatCode="0.0_);[Red]\(0.0\)"/>
    <numFmt numFmtId="183" formatCode="0_);[Red]\(0\)"/>
    <numFmt numFmtId="184" formatCode="#,##0_);[Red]\(#,##0\)"/>
    <numFmt numFmtId="185" formatCode="0.000_);[Red]\(0.000\)"/>
    <numFmt numFmtId="186" formatCode="0.00_);[Red]\(0.00\)"/>
    <numFmt numFmtId="187" formatCode="#,##0.000_ "/>
    <numFmt numFmtId="188" formatCode="0.00&quot;m&quot;"/>
    <numFmt numFmtId="189" formatCode="#,##0.00_ "/>
  </numFmts>
  <fonts count="10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vertAlign val="superscript"/>
      <sz val="11"/>
      <name val="ＭＳ ゴシック"/>
      <family val="3"/>
      <charset val="128"/>
    </font>
    <font>
      <sz val="11"/>
      <color indexed="9"/>
      <name val="Times New Roman"/>
      <family val="1"/>
    </font>
    <font>
      <b/>
      <sz val="12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name val="ＭＳ Ｐ明朝"/>
      <family val="1"/>
      <charset val="128"/>
    </font>
    <font>
      <u/>
      <sz val="11"/>
      <name val="ＭＳ 明朝"/>
      <family val="1"/>
      <charset val="128"/>
    </font>
    <font>
      <b/>
      <u/>
      <sz val="10"/>
      <name val="ＭＳ 明朝"/>
      <family val="1"/>
      <charset val="128"/>
    </font>
    <font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b/>
      <u/>
      <sz val="9"/>
      <name val="ＭＳ 明朝"/>
      <family val="1"/>
      <charset val="128"/>
    </font>
    <font>
      <vertAlign val="superscript"/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perscript"/>
      <sz val="7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0"/>
      <name val="ＭＳ 明朝"/>
      <family val="1"/>
      <charset val="128"/>
    </font>
    <font>
      <sz val="11"/>
      <color indexed="12"/>
      <name val="ＭＳ 明朝"/>
      <family val="1"/>
      <charset val="128"/>
    </font>
    <font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indexed="81"/>
      <name val="ＭＳ 明朝"/>
      <family val="1"/>
      <charset val="128"/>
    </font>
    <font>
      <sz val="14"/>
      <color indexed="81"/>
      <name val="ＭＳ 明朝"/>
      <family val="1"/>
      <charset val="128"/>
    </font>
    <font>
      <b/>
      <sz val="9"/>
      <color indexed="81"/>
      <name val="ＭＳ 明朝"/>
      <family val="1"/>
      <charset val="128"/>
    </font>
    <font>
      <b/>
      <sz val="9"/>
      <color indexed="53"/>
      <name val="ＭＳ 明朝"/>
      <family val="1"/>
      <charset val="128"/>
    </font>
    <font>
      <sz val="11"/>
      <color indexed="81"/>
      <name val="ＭＳ 明朝"/>
      <family val="1"/>
      <charset val="128"/>
    </font>
    <font>
      <b/>
      <sz val="9"/>
      <color indexed="10"/>
      <name val="ＭＳ 明朝"/>
      <family val="1"/>
      <charset val="128"/>
    </font>
    <font>
      <sz val="9"/>
      <color indexed="12"/>
      <name val="ＭＳ Ｐゴシック"/>
      <family val="3"/>
      <charset val="128"/>
    </font>
    <font>
      <sz val="9"/>
      <color indexed="10"/>
      <name val="ＭＳ 明朝"/>
      <family val="1"/>
      <charset val="128"/>
    </font>
    <font>
      <sz val="9"/>
      <color indexed="12"/>
      <name val="ＭＳ 明朝"/>
      <family val="1"/>
      <charset val="128"/>
    </font>
    <font>
      <b/>
      <sz val="9"/>
      <name val="ＭＳ 明朝"/>
      <family val="1"/>
      <charset val="128"/>
    </font>
    <font>
      <sz val="9"/>
      <color indexed="14"/>
      <name val="ＭＳ 明朝"/>
      <family val="1"/>
      <charset val="128"/>
    </font>
    <font>
      <sz val="9"/>
      <color indexed="12"/>
      <name val="ＭＳ Ｐ明朝"/>
      <family val="1"/>
      <charset val="128"/>
    </font>
    <font>
      <b/>
      <sz val="9"/>
      <color indexed="14"/>
      <name val="ＭＳ Ｐ明朝"/>
      <family val="1"/>
      <charset val="128"/>
    </font>
    <font>
      <b/>
      <sz val="9"/>
      <color indexed="14"/>
      <name val="ＭＳ 明朝"/>
      <family val="1"/>
      <charset val="128"/>
    </font>
    <font>
      <b/>
      <sz val="14"/>
      <color indexed="14"/>
      <name val="ＭＳ 明朝"/>
      <family val="1"/>
      <charset val="128"/>
    </font>
    <font>
      <sz val="16"/>
      <color indexed="14"/>
      <name val="ＭＳ 明朝"/>
      <family val="1"/>
      <charset val="128"/>
    </font>
    <font>
      <b/>
      <sz val="14"/>
      <color indexed="53"/>
      <name val="ＭＳ 明朝"/>
      <family val="1"/>
      <charset val="128"/>
    </font>
    <font>
      <sz val="10"/>
      <color indexed="12"/>
      <name val="ＭＳ Ｐ明朝"/>
      <family val="1"/>
      <charset val="128"/>
    </font>
    <font>
      <vertAlign val="superscript"/>
      <sz val="11"/>
      <color indexed="12"/>
      <name val="ＭＳ Ｐ明朝"/>
      <family val="1"/>
      <charset val="128"/>
    </font>
    <font>
      <sz val="8"/>
      <color indexed="12"/>
      <name val="ＭＳ ゴシック"/>
      <family val="3"/>
      <charset val="128"/>
    </font>
    <font>
      <sz val="1"/>
      <color indexed="9"/>
      <name val="ＭＳ ゴシック"/>
      <family val="3"/>
      <charset val="128"/>
    </font>
    <font>
      <sz val="8"/>
      <color indexed="12"/>
      <name val="ＭＳ 明朝"/>
      <family val="1"/>
      <charset val="128"/>
    </font>
    <font>
      <sz val="10"/>
      <name val="ＭＳ Ｐゴシック"/>
      <family val="3"/>
      <charset val="128"/>
    </font>
    <font>
      <sz val="10"/>
      <color indexed="12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14"/>
      <color indexed="14"/>
      <name val="ＭＳ 明朝"/>
      <family val="1"/>
      <charset val="128"/>
    </font>
    <font>
      <sz val="8"/>
      <name val="ＭＳ Ｐ明朝"/>
      <family val="1"/>
      <charset val="128"/>
    </font>
    <font>
      <b/>
      <sz val="10"/>
      <color indexed="81"/>
      <name val="ＭＳ 明朝"/>
      <family val="1"/>
      <charset val="128"/>
    </font>
    <font>
      <b/>
      <sz val="14"/>
      <color indexed="81"/>
      <name val="ＭＳ 明朝"/>
      <family val="1"/>
      <charset val="128"/>
    </font>
    <font>
      <b/>
      <sz val="8"/>
      <color indexed="12"/>
      <name val="ＭＳ 明朝"/>
      <family val="1"/>
      <charset val="128"/>
    </font>
    <font>
      <b/>
      <sz val="9"/>
      <color indexed="12"/>
      <name val="ＭＳ 明朝"/>
      <family val="1"/>
      <charset val="128"/>
    </font>
    <font>
      <b/>
      <sz val="9"/>
      <color indexed="46"/>
      <name val="ＭＳ 明朝"/>
      <family val="1"/>
      <charset val="128"/>
    </font>
    <font>
      <b/>
      <sz val="9"/>
      <color indexed="51"/>
      <name val="ＭＳ 明朝"/>
      <family val="1"/>
      <charset val="128"/>
    </font>
    <font>
      <b/>
      <sz val="12"/>
      <color indexed="81"/>
      <name val="ＭＳ 明朝"/>
      <family val="1"/>
      <charset val="128"/>
    </font>
    <font>
      <b/>
      <sz val="9"/>
      <color indexed="19"/>
      <name val="ＭＳ 明朝"/>
      <family val="1"/>
      <charset val="128"/>
    </font>
    <font>
      <b/>
      <sz val="8"/>
      <color indexed="19"/>
      <name val="ＭＳ 明朝"/>
      <family val="1"/>
      <charset val="128"/>
    </font>
    <font>
      <b/>
      <sz val="12"/>
      <color indexed="19"/>
      <name val="ＭＳ 明朝"/>
      <family val="1"/>
      <charset val="128"/>
    </font>
    <font>
      <b/>
      <sz val="10"/>
      <color indexed="19"/>
      <name val="ＭＳ 明朝"/>
      <family val="1"/>
      <charset val="128"/>
    </font>
    <font>
      <b/>
      <vertAlign val="superscript"/>
      <sz val="11"/>
      <color indexed="19"/>
      <name val="ＭＳ 明朝"/>
      <family val="1"/>
      <charset val="128"/>
    </font>
    <font>
      <b/>
      <sz val="10"/>
      <color indexed="54"/>
      <name val="ＭＳ 明朝"/>
      <family val="1"/>
      <charset val="128"/>
    </font>
    <font>
      <b/>
      <sz val="12"/>
      <color indexed="54"/>
      <name val="Times New Roman"/>
      <family val="1"/>
    </font>
    <font>
      <b/>
      <sz val="10"/>
      <color indexed="54"/>
      <name val="Times New Roman"/>
      <family val="1"/>
    </font>
    <font>
      <b/>
      <sz val="9"/>
      <color indexed="54"/>
      <name val="Times New Roman"/>
      <family val="1"/>
    </font>
    <font>
      <b/>
      <sz val="14"/>
      <color indexed="19"/>
      <name val="ＭＳ 明朝"/>
      <family val="1"/>
      <charset val="128"/>
    </font>
    <font>
      <b/>
      <sz val="9"/>
      <color indexed="54"/>
      <name val="ＭＳ 明朝"/>
      <family val="1"/>
      <charset val="128"/>
    </font>
    <font>
      <b/>
      <sz val="8"/>
      <color indexed="54"/>
      <name val="ＭＳ 明朝"/>
      <family val="1"/>
      <charset val="128"/>
    </font>
    <font>
      <sz val="8"/>
      <name val="ＭＳ Ｐゴシック"/>
      <family val="3"/>
      <charset val="128"/>
    </font>
    <font>
      <sz val="12"/>
      <color indexed="12"/>
      <name val="ＭＳ 明朝"/>
      <family val="1"/>
      <charset val="128"/>
    </font>
    <font>
      <b/>
      <sz val="8"/>
      <color indexed="45"/>
      <name val="Times New Roman"/>
      <family val="1"/>
    </font>
    <font>
      <b/>
      <sz val="20"/>
      <color indexed="81"/>
      <name val="ＭＳ 明朝"/>
      <family val="1"/>
      <charset val="128"/>
    </font>
    <font>
      <b/>
      <sz val="12"/>
      <color indexed="54"/>
      <name val="ＭＳ 明朝"/>
      <family val="1"/>
      <charset val="128"/>
    </font>
    <font>
      <sz val="11"/>
      <color indexed="19"/>
      <name val="ＭＳ Ｐゴシック"/>
      <family val="3"/>
      <charset val="128"/>
    </font>
    <font>
      <b/>
      <sz val="10"/>
      <color indexed="53"/>
      <name val="ＭＳ Ｐゴシック"/>
      <family val="3"/>
      <charset val="128"/>
    </font>
    <font>
      <b/>
      <sz val="9"/>
      <color indexed="53"/>
      <name val="ＭＳ Ｐ明朝"/>
      <family val="1"/>
      <charset val="128"/>
    </font>
    <font>
      <sz val="12"/>
      <color indexed="81"/>
      <name val="ＭＳ 明朝"/>
      <family val="1"/>
      <charset val="128"/>
    </font>
    <font>
      <b/>
      <sz val="9"/>
      <color indexed="52"/>
      <name val="ＭＳ 明朝"/>
      <family val="1"/>
      <charset val="128"/>
    </font>
    <font>
      <b/>
      <sz val="16"/>
      <color indexed="12"/>
      <name val="ＭＳ 明朝"/>
      <family val="1"/>
      <charset val="128"/>
    </font>
    <font>
      <b/>
      <sz val="16"/>
      <color indexed="53"/>
      <name val="ＭＳ 明朝"/>
      <family val="1"/>
      <charset val="128"/>
    </font>
    <font>
      <sz val="9"/>
      <name val="ＭＳ Ｐ明朝"/>
      <family val="1"/>
      <charset val="128"/>
    </font>
    <font>
      <sz val="5"/>
      <color indexed="12"/>
      <name val="ＭＳ Ｐゴシック"/>
      <family val="3"/>
      <charset val="128"/>
    </font>
    <font>
      <vertAlign val="superscript"/>
      <sz val="8"/>
      <name val="ＭＳ 明朝"/>
      <family val="1"/>
      <charset val="128"/>
    </font>
    <font>
      <b/>
      <sz val="11"/>
      <color indexed="51"/>
      <name val="ＭＳ 明朝"/>
      <family val="1"/>
      <charset val="128"/>
    </font>
    <font>
      <b/>
      <sz val="14"/>
      <color indexed="12"/>
      <name val="ＭＳ 明朝"/>
      <family val="1"/>
      <charset val="128"/>
    </font>
    <font>
      <b/>
      <vertAlign val="superscript"/>
      <sz val="8"/>
      <color indexed="19"/>
      <name val="ＭＳ 明朝"/>
      <family val="1"/>
      <charset val="128"/>
    </font>
    <font>
      <b/>
      <sz val="20"/>
      <color indexed="14"/>
      <name val="ＭＳ Ｐ明朝"/>
      <family val="1"/>
      <charset val="128"/>
    </font>
    <font>
      <sz val="11"/>
      <color indexed="14"/>
      <name val="ＭＳ Ｐ明朝"/>
      <family val="1"/>
      <charset val="128"/>
    </font>
    <font>
      <b/>
      <sz val="10"/>
      <color indexed="9"/>
      <name val="Times New Roman"/>
      <family val="1"/>
    </font>
    <font>
      <b/>
      <u/>
      <sz val="9"/>
      <name val="ＭＳ Ｐ明朝"/>
      <family val="1"/>
      <charset val="128"/>
    </font>
    <font>
      <b/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b/>
      <sz val="12"/>
      <color indexed="10"/>
      <name val="ＭＳ 明朝"/>
      <family val="1"/>
      <charset val="128"/>
    </font>
    <font>
      <b/>
      <sz val="11"/>
      <color indexed="10"/>
      <name val="ＭＳ 明朝"/>
      <family val="1"/>
      <charset val="128"/>
    </font>
    <font>
      <b/>
      <sz val="14"/>
      <color indexed="10"/>
      <name val="ＭＳ Ｐ明朝"/>
      <family val="1"/>
      <charset val="128"/>
    </font>
    <font>
      <sz val="1"/>
      <color indexed="9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2"/>
        <bgColor indexed="9"/>
      </patternFill>
    </fill>
    <fill>
      <patternFill patternType="lightGray">
        <fgColor indexed="43"/>
        <bgColor indexed="9"/>
      </patternFill>
    </fill>
    <fill>
      <patternFill patternType="lightGray">
        <fgColor indexed="22"/>
        <bgColor indexed="9"/>
      </patternFill>
    </fill>
  </fills>
  <borders count="1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492">
    <xf numFmtId="0" fontId="0" fillId="0" borderId="0" xfId="0">
      <alignment vertical="center"/>
    </xf>
    <xf numFmtId="0" fontId="0" fillId="2" borderId="0" xfId="0" applyFill="1" applyProtection="1">
      <alignment vertical="center"/>
      <protection hidden="1"/>
    </xf>
    <xf numFmtId="0" fontId="3" fillId="2" borderId="1" xfId="0" applyFont="1" applyFill="1" applyBorder="1" applyAlignment="1" applyProtection="1">
      <alignment horizontal="center" vertical="center" shrinkToFit="1"/>
      <protection hidden="1"/>
    </xf>
    <xf numFmtId="0" fontId="0" fillId="2" borderId="0" xfId="0" applyFill="1" applyBorder="1" applyProtection="1">
      <alignment vertical="center"/>
      <protection hidden="1"/>
    </xf>
    <xf numFmtId="0" fontId="0" fillId="2" borderId="2" xfId="0" applyFill="1" applyBorder="1" applyProtection="1">
      <alignment vertical="center"/>
      <protection hidden="1"/>
    </xf>
    <xf numFmtId="0" fontId="0" fillId="2" borderId="3" xfId="0" applyFill="1" applyBorder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 shrinkToFit="1"/>
      <protection hidden="1"/>
    </xf>
    <xf numFmtId="0" fontId="3" fillId="2" borderId="2" xfId="0" applyFont="1" applyFill="1" applyBorder="1" applyAlignment="1" applyProtection="1">
      <alignment horizontal="center" vertical="center" shrinkToFit="1"/>
      <protection hidden="1"/>
    </xf>
    <xf numFmtId="0" fontId="0" fillId="2" borderId="4" xfId="0" applyFill="1" applyBorder="1" applyProtection="1">
      <alignment vertical="center"/>
      <protection hidden="1"/>
    </xf>
    <xf numFmtId="0" fontId="0" fillId="2" borderId="5" xfId="0" applyFill="1" applyBorder="1" applyProtection="1">
      <alignment vertical="center"/>
      <protection hidden="1"/>
    </xf>
    <xf numFmtId="0" fontId="0" fillId="2" borderId="6" xfId="0" applyFill="1" applyBorder="1" applyProtection="1">
      <alignment vertical="center"/>
      <protection hidden="1"/>
    </xf>
    <xf numFmtId="0" fontId="0" fillId="2" borderId="7" xfId="0" applyFill="1" applyBorder="1" applyProtection="1">
      <alignment vertical="center"/>
      <protection hidden="1"/>
    </xf>
    <xf numFmtId="0" fontId="3" fillId="2" borderId="8" xfId="0" applyFont="1" applyFill="1" applyBorder="1" applyAlignment="1" applyProtection="1">
      <alignment horizontal="center" vertical="center" shrinkToFit="1"/>
      <protection hidden="1"/>
    </xf>
    <xf numFmtId="0" fontId="3" fillId="2" borderId="9" xfId="0" applyFont="1" applyFill="1" applyBorder="1" applyAlignment="1" applyProtection="1">
      <alignment horizontal="center" vertical="center" shrinkToFit="1"/>
      <protection hidden="1"/>
    </xf>
    <xf numFmtId="0" fontId="3" fillId="2" borderId="10" xfId="0" applyFont="1" applyFill="1" applyBorder="1" applyAlignment="1" applyProtection="1">
      <alignment horizontal="center" vertical="center" shrinkToFit="1"/>
      <protection hidden="1"/>
    </xf>
    <xf numFmtId="0" fontId="3" fillId="2" borderId="11" xfId="0" applyFont="1" applyFill="1" applyBorder="1" applyAlignment="1" applyProtection="1">
      <alignment horizontal="center" vertical="center" shrinkToFit="1"/>
      <protection hidden="1"/>
    </xf>
    <xf numFmtId="0" fontId="0" fillId="3" borderId="12" xfId="0" applyFill="1" applyBorder="1" applyProtection="1">
      <alignment vertical="center"/>
      <protection hidden="1"/>
    </xf>
    <xf numFmtId="0" fontId="0" fillId="3" borderId="13" xfId="0" applyFill="1" applyBorder="1" applyProtection="1">
      <alignment vertical="center"/>
      <protection hidden="1"/>
    </xf>
    <xf numFmtId="0" fontId="0" fillId="4" borderId="10" xfId="0" applyFill="1" applyBorder="1" applyProtection="1">
      <alignment vertical="center"/>
      <protection hidden="1"/>
    </xf>
    <xf numFmtId="0" fontId="0" fillId="4" borderId="11" xfId="0" applyFill="1" applyBorder="1" applyProtection="1">
      <alignment vertical="center"/>
      <protection hidden="1"/>
    </xf>
    <xf numFmtId="0" fontId="8" fillId="5" borderId="14" xfId="0" applyFont="1" applyFill="1" applyBorder="1" applyAlignment="1" applyProtection="1">
      <alignment horizontal="left" vertical="center"/>
      <protection hidden="1"/>
    </xf>
    <xf numFmtId="0" fontId="0" fillId="5" borderId="15" xfId="0" applyFill="1" applyBorder="1" applyProtection="1">
      <alignment vertical="center"/>
      <protection hidden="1"/>
    </xf>
    <xf numFmtId="0" fontId="7" fillId="5" borderId="16" xfId="0" applyFont="1" applyFill="1" applyBorder="1" applyAlignment="1" applyProtection="1">
      <alignment horizontal="right" vertical="center"/>
      <protection hidden="1"/>
    </xf>
    <xf numFmtId="0" fontId="0" fillId="2" borderId="17" xfId="0" applyFill="1" applyBorder="1" applyProtection="1">
      <alignment vertical="center"/>
      <protection hidden="1"/>
    </xf>
    <xf numFmtId="0" fontId="11" fillId="2" borderId="0" xfId="0" applyFont="1" applyFill="1" applyBorder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top"/>
      <protection hidden="1"/>
    </xf>
    <xf numFmtId="0" fontId="20" fillId="2" borderId="0" xfId="0" applyFont="1" applyFill="1" applyProtection="1">
      <alignment vertical="center"/>
      <protection hidden="1"/>
    </xf>
    <xf numFmtId="22" fontId="21" fillId="2" borderId="0" xfId="0" applyNumberFormat="1" applyFont="1" applyFill="1" applyAlignment="1" applyProtection="1">
      <alignment horizontal="center" shrinkToFit="1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shrinkToFit="1"/>
      <protection hidden="1"/>
    </xf>
    <xf numFmtId="0" fontId="10" fillId="2" borderId="19" xfId="0" applyFont="1" applyFill="1" applyBorder="1" applyAlignment="1" applyProtection="1">
      <alignment horizontal="center" vertical="center" shrinkToFit="1"/>
      <protection hidden="1"/>
    </xf>
    <xf numFmtId="0" fontId="27" fillId="2" borderId="0" xfId="0" applyFont="1" applyFill="1" applyBorder="1" applyAlignment="1" applyProtection="1">
      <alignment horizontal="centerContinuous"/>
      <protection hidden="1"/>
    </xf>
    <xf numFmtId="0" fontId="27" fillId="2" borderId="2" xfId="0" applyFont="1" applyFill="1" applyBorder="1" applyAlignment="1" applyProtection="1">
      <alignment horizontal="centerContinuous"/>
      <protection hidden="1"/>
    </xf>
    <xf numFmtId="49" fontId="13" fillId="2" borderId="3" xfId="0" applyNumberFormat="1" applyFont="1" applyFill="1" applyBorder="1" applyAlignment="1" applyProtection="1">
      <alignment horizontal="center" vertical="center" wrapText="1"/>
      <protection hidden="1"/>
    </xf>
    <xf numFmtId="49" fontId="13" fillId="2" borderId="7" xfId="0" applyNumberFormat="1" applyFont="1" applyFill="1" applyBorder="1" applyAlignment="1" applyProtection="1">
      <alignment horizontal="center" vertical="center" wrapText="1"/>
      <protection hidden="1"/>
    </xf>
    <xf numFmtId="49" fontId="16" fillId="2" borderId="0" xfId="0" applyNumberFormat="1" applyFont="1" applyFill="1" applyBorder="1" applyAlignment="1" applyProtection="1">
      <alignment horizontal="right" vertical="center"/>
      <protection hidden="1"/>
    </xf>
    <xf numFmtId="0" fontId="10" fillId="2" borderId="0" xfId="0" applyFont="1" applyFill="1" applyBorder="1" applyAlignment="1" applyProtection="1">
      <alignment horizontal="center" vertical="center" shrinkToFit="1"/>
      <protection hidden="1"/>
    </xf>
    <xf numFmtId="0" fontId="10" fillId="2" borderId="20" xfId="0" applyFont="1" applyFill="1" applyBorder="1" applyAlignment="1" applyProtection="1">
      <alignment horizontal="center" vertical="center" shrinkToFit="1"/>
      <protection hidden="1"/>
    </xf>
    <xf numFmtId="0" fontId="0" fillId="2" borderId="15" xfId="0" applyFill="1" applyBorder="1" applyProtection="1">
      <alignment vertical="center"/>
      <protection hidden="1"/>
    </xf>
    <xf numFmtId="49" fontId="16" fillId="2" borderId="16" xfId="0" applyNumberFormat="1" applyFont="1" applyFill="1" applyBorder="1" applyAlignment="1" applyProtection="1">
      <alignment horizontal="right" vertical="center"/>
      <protection hidden="1"/>
    </xf>
    <xf numFmtId="49" fontId="4" fillId="2" borderId="0" xfId="0" applyNumberFormat="1" applyFont="1" applyFill="1" applyBorder="1" applyAlignment="1" applyProtection="1">
      <alignment horizontal="center" vertical="center" shrinkToFit="1"/>
      <protection hidden="1"/>
    </xf>
    <xf numFmtId="49" fontId="11" fillId="2" borderId="0" xfId="0" applyNumberFormat="1" applyFont="1" applyFill="1" applyBorder="1" applyAlignment="1" applyProtection="1">
      <alignment vertical="center" shrinkToFit="1"/>
      <protection hidden="1"/>
    </xf>
    <xf numFmtId="49" fontId="4" fillId="6" borderId="10" xfId="0" applyNumberFormat="1" applyFont="1" applyFill="1" applyBorder="1" applyAlignment="1" applyProtection="1">
      <alignment horizontal="center" vertical="center" shrinkToFit="1"/>
      <protection hidden="1"/>
    </xf>
    <xf numFmtId="49" fontId="11" fillId="2" borderId="21" xfId="0" applyNumberFormat="1" applyFont="1" applyFill="1" applyBorder="1" applyAlignment="1" applyProtection="1">
      <alignment horizontal="center" vertical="center" shrinkToFit="1"/>
      <protection hidden="1"/>
    </xf>
    <xf numFmtId="49" fontId="10" fillId="2" borderId="12" xfId="0" applyNumberFormat="1" applyFont="1" applyFill="1" applyBorder="1" applyAlignment="1" applyProtection="1">
      <alignment horizontal="center" vertical="center" shrinkToFit="1"/>
      <protection hidden="1"/>
    </xf>
    <xf numFmtId="0" fontId="11" fillId="2" borderId="7" xfId="0" applyFont="1" applyFill="1" applyBorder="1" applyAlignment="1" applyProtection="1">
      <alignment horizontal="center" vertical="center" shrinkToFit="1"/>
      <protection hidden="1"/>
    </xf>
    <xf numFmtId="177" fontId="11" fillId="2" borderId="7" xfId="0" applyNumberFormat="1" applyFont="1" applyFill="1" applyBorder="1" applyAlignment="1" applyProtection="1">
      <alignment horizontal="right" vertical="center"/>
      <protection hidden="1"/>
    </xf>
    <xf numFmtId="0" fontId="11" fillId="2" borderId="7" xfId="0" applyNumberFormat="1" applyFont="1" applyFill="1" applyBorder="1" applyAlignment="1" applyProtection="1">
      <alignment horizontal="center" vertical="center"/>
      <protection hidden="1"/>
    </xf>
    <xf numFmtId="178" fontId="11" fillId="2" borderId="7" xfId="0" applyNumberFormat="1" applyFont="1" applyFill="1" applyBorder="1" applyAlignment="1" applyProtection="1">
      <alignment horizontal="right" vertical="center" shrinkToFit="1"/>
      <protection hidden="1"/>
    </xf>
    <xf numFmtId="0" fontId="10" fillId="2" borderId="22" xfId="0" applyFont="1" applyFill="1" applyBorder="1" applyAlignment="1" applyProtection="1">
      <alignment horizontal="center" vertical="center" shrinkToFit="1"/>
      <protection hidden="1"/>
    </xf>
    <xf numFmtId="0" fontId="10" fillId="2" borderId="23" xfId="0" applyFont="1" applyFill="1" applyBorder="1" applyAlignment="1" applyProtection="1">
      <alignment horizontal="center" vertical="center" shrinkToFit="1"/>
      <protection hidden="1"/>
    </xf>
    <xf numFmtId="0" fontId="10" fillId="2" borderId="24" xfId="0" applyFont="1" applyFill="1" applyBorder="1" applyAlignment="1" applyProtection="1">
      <alignment horizontal="center" vertical="center" shrinkToFit="1"/>
      <protection hidden="1"/>
    </xf>
    <xf numFmtId="0" fontId="10" fillId="2" borderId="25" xfId="0" applyFont="1" applyFill="1" applyBorder="1" applyAlignment="1" applyProtection="1">
      <alignment horizontal="center" vertical="center" shrinkToFit="1"/>
      <protection hidden="1"/>
    </xf>
    <xf numFmtId="178" fontId="12" fillId="2" borderId="21" xfId="0" applyNumberFormat="1" applyFont="1" applyFill="1" applyBorder="1" applyAlignment="1" applyProtection="1">
      <alignment horizontal="right" vertical="center" shrinkToFit="1"/>
      <protection hidden="1"/>
    </xf>
    <xf numFmtId="180" fontId="12" fillId="2" borderId="21" xfId="0" applyNumberFormat="1" applyFont="1" applyFill="1" applyBorder="1" applyAlignment="1" applyProtection="1">
      <alignment horizontal="right" vertical="center" shrinkToFit="1"/>
      <protection hidden="1"/>
    </xf>
    <xf numFmtId="0" fontId="12" fillId="2" borderId="24" xfId="0" applyFont="1" applyFill="1" applyBorder="1" applyAlignment="1" applyProtection="1">
      <alignment horizontal="center" vertical="top" shrinkToFit="1"/>
      <protection hidden="1"/>
    </xf>
    <xf numFmtId="0" fontId="10" fillId="2" borderId="19" xfId="0" applyFont="1" applyFill="1" applyBorder="1" applyAlignment="1" applyProtection="1">
      <alignment horizontal="center" vertical="top" shrinkToFit="1"/>
      <protection hidden="1"/>
    </xf>
    <xf numFmtId="0" fontId="10" fillId="2" borderId="26" xfId="0" applyFont="1" applyFill="1" applyBorder="1" applyAlignment="1" applyProtection="1">
      <alignment horizontal="center" shrinkToFit="1"/>
      <protection hidden="1"/>
    </xf>
    <xf numFmtId="180" fontId="12" fillId="2" borderId="0" xfId="0" applyNumberFormat="1" applyFont="1" applyFill="1" applyBorder="1" applyAlignment="1" applyProtection="1">
      <alignment horizontal="right" vertical="center" shrinkToFit="1"/>
      <protection hidden="1"/>
    </xf>
    <xf numFmtId="177" fontId="11" fillId="2" borderId="0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shrinkToFit="1"/>
      <protection hidden="1"/>
    </xf>
    <xf numFmtId="0" fontId="10" fillId="2" borderId="0" xfId="0" applyFont="1" applyFill="1" applyBorder="1" applyAlignment="1" applyProtection="1">
      <alignment horizontal="center" vertical="top" shrinkToFit="1"/>
      <protection hidden="1"/>
    </xf>
    <xf numFmtId="0" fontId="3" fillId="2" borderId="27" xfId="0" applyFont="1" applyFill="1" applyBorder="1" applyAlignment="1" applyProtection="1">
      <alignment horizontal="center" vertical="center" shrinkToFit="1"/>
      <protection hidden="1"/>
    </xf>
    <xf numFmtId="0" fontId="3" fillId="2" borderId="28" xfId="0" applyFont="1" applyFill="1" applyBorder="1" applyAlignment="1" applyProtection="1">
      <alignment horizontal="center" vertical="center" shrinkToFit="1"/>
      <protection hidden="1"/>
    </xf>
    <xf numFmtId="49" fontId="11" fillId="2" borderId="21" xfId="0" applyNumberFormat="1" applyFont="1" applyFill="1" applyBorder="1" applyAlignment="1" applyProtection="1">
      <alignment vertical="center" shrinkToFit="1"/>
      <protection locked="0"/>
    </xf>
    <xf numFmtId="49" fontId="50" fillId="2" borderId="21" xfId="0" applyNumberFormat="1" applyFont="1" applyFill="1" applyBorder="1" applyAlignment="1" applyProtection="1">
      <alignment vertical="center" shrinkToFit="1"/>
      <protection locked="0"/>
    </xf>
    <xf numFmtId="49" fontId="47" fillId="2" borderId="27" xfId="0" applyNumberFormat="1" applyFont="1" applyFill="1" applyBorder="1" applyAlignment="1" applyProtection="1">
      <alignment horizontal="center" vertical="center" wrapText="1" shrinkToFit="1"/>
      <protection hidden="1"/>
    </xf>
    <xf numFmtId="0" fontId="47" fillId="2" borderId="27" xfId="0" applyFont="1" applyFill="1" applyBorder="1" applyAlignment="1" applyProtection="1">
      <alignment horizontal="center" vertical="center" shrinkToFit="1"/>
      <protection hidden="1"/>
    </xf>
    <xf numFmtId="0" fontId="41" fillId="2" borderId="29" xfId="0" applyFont="1" applyFill="1" applyBorder="1" applyAlignment="1" applyProtection="1">
      <alignment horizontal="center" vertical="center" wrapText="1"/>
      <protection hidden="1"/>
    </xf>
    <xf numFmtId="0" fontId="41" fillId="2" borderId="30" xfId="0" applyFont="1" applyFill="1" applyBorder="1" applyAlignment="1" applyProtection="1">
      <alignment horizontal="center" vertical="center" wrapText="1"/>
      <protection hidden="1"/>
    </xf>
    <xf numFmtId="0" fontId="41" fillId="2" borderId="31" xfId="0" applyFont="1" applyFill="1" applyBorder="1" applyAlignment="1" applyProtection="1">
      <alignment horizontal="center" vertical="center" wrapText="1"/>
      <protection hidden="1"/>
    </xf>
    <xf numFmtId="0" fontId="49" fillId="2" borderId="32" xfId="0" applyNumberFormat="1" applyFont="1" applyFill="1" applyBorder="1" applyAlignment="1" applyProtection="1">
      <alignment horizontal="center" vertical="center" shrinkToFit="1"/>
      <protection hidden="1"/>
    </xf>
    <xf numFmtId="49" fontId="11" fillId="2" borderId="32" xfId="0" applyNumberFormat="1" applyFont="1" applyFill="1" applyBorder="1" applyAlignment="1" applyProtection="1">
      <alignment horizontal="center" vertical="center" shrinkToFit="1"/>
      <protection hidden="1"/>
    </xf>
    <xf numFmtId="182" fontId="12" fillId="2" borderId="32" xfId="0" applyNumberFormat="1" applyFont="1" applyFill="1" applyBorder="1" applyAlignment="1" applyProtection="1">
      <alignment horizontal="left" vertical="center" shrinkToFit="1"/>
      <protection hidden="1"/>
    </xf>
    <xf numFmtId="182" fontId="11" fillId="2" borderId="32" xfId="0" applyNumberFormat="1" applyFont="1" applyFill="1" applyBorder="1" applyAlignment="1" applyProtection="1">
      <alignment horizontal="center" vertical="center" shrinkToFit="1"/>
      <protection hidden="1"/>
    </xf>
    <xf numFmtId="49" fontId="49" fillId="2" borderId="32" xfId="0" applyNumberFormat="1" applyFont="1" applyFill="1" applyBorder="1" applyAlignment="1" applyProtection="1">
      <alignment horizontal="center" vertical="center" shrinkToFit="1"/>
      <protection hidden="1"/>
    </xf>
    <xf numFmtId="182" fontId="11" fillId="2" borderId="33" xfId="0" applyNumberFormat="1" applyFont="1" applyFill="1" applyBorder="1" applyAlignment="1" applyProtection="1">
      <alignment horizontal="center" vertical="center" shrinkToFit="1"/>
      <protection hidden="1"/>
    </xf>
    <xf numFmtId="177" fontId="41" fillId="2" borderId="31" xfId="0" applyNumberFormat="1" applyFont="1" applyFill="1" applyBorder="1" applyAlignment="1" applyProtection="1">
      <alignment horizontal="center" vertical="center" wrapText="1"/>
      <protection locked="0"/>
    </xf>
    <xf numFmtId="185" fontId="13" fillId="2" borderId="34" xfId="0" applyNumberFormat="1" applyFont="1" applyFill="1" applyBorder="1" applyAlignment="1" applyProtection="1">
      <alignment horizontal="right" vertical="center" shrinkToFit="1"/>
      <protection locked="0"/>
    </xf>
    <xf numFmtId="185" fontId="13" fillId="2" borderId="21" xfId="0" applyNumberFormat="1" applyFont="1" applyFill="1" applyBorder="1" applyAlignment="1" applyProtection="1">
      <alignment horizontal="right" vertical="center" shrinkToFit="1"/>
      <protection locked="0"/>
    </xf>
    <xf numFmtId="185" fontId="13" fillId="2" borderId="35" xfId="0" applyNumberFormat="1" applyFont="1" applyFill="1" applyBorder="1" applyAlignment="1" applyProtection="1">
      <alignment horizontal="right" vertical="center" shrinkToFit="1"/>
      <protection locked="0"/>
    </xf>
    <xf numFmtId="185" fontId="13" fillId="2" borderId="36" xfId="0" applyNumberFormat="1" applyFont="1" applyFill="1" applyBorder="1" applyAlignment="1" applyProtection="1">
      <alignment horizontal="right" vertical="center" shrinkToFit="1"/>
      <protection locked="0"/>
    </xf>
    <xf numFmtId="177" fontId="10" fillId="2" borderId="38" xfId="0" applyNumberFormat="1" applyFont="1" applyFill="1" applyBorder="1" applyAlignment="1" applyProtection="1">
      <alignment horizontal="right" vertical="center" shrinkToFit="1"/>
      <protection locked="0"/>
    </xf>
    <xf numFmtId="49" fontId="11" fillId="2" borderId="39" xfId="0" applyNumberFormat="1" applyFont="1" applyFill="1" applyBorder="1" applyAlignment="1" applyProtection="1">
      <alignment horizontal="center" vertical="center" shrinkToFit="1"/>
      <protection hidden="1"/>
    </xf>
    <xf numFmtId="177" fontId="10" fillId="2" borderId="40" xfId="0" applyNumberFormat="1" applyFont="1" applyFill="1" applyBorder="1" applyAlignment="1" applyProtection="1">
      <alignment horizontal="right" vertical="center" shrinkToFit="1"/>
      <protection locked="0"/>
    </xf>
    <xf numFmtId="49" fontId="11" fillId="2" borderId="41" xfId="0" applyNumberFormat="1" applyFont="1" applyFill="1" applyBorder="1" applyAlignment="1" applyProtection="1">
      <alignment horizontal="center" vertical="center" shrinkToFit="1"/>
      <protection hidden="1"/>
    </xf>
    <xf numFmtId="177" fontId="10" fillId="2" borderId="42" xfId="0" applyNumberFormat="1" applyFont="1" applyFill="1" applyBorder="1" applyAlignment="1" applyProtection="1">
      <alignment horizontal="right" vertical="center" shrinkToFit="1"/>
      <protection locked="0"/>
    </xf>
    <xf numFmtId="180" fontId="10" fillId="2" borderId="43" xfId="0" applyNumberFormat="1" applyFont="1" applyFill="1" applyBorder="1" applyAlignment="1" applyProtection="1">
      <alignment horizontal="right" vertical="center" shrinkToFit="1"/>
      <protection locked="0"/>
    </xf>
    <xf numFmtId="180" fontId="10" fillId="2" borderId="37" xfId="0" applyNumberFormat="1" applyFont="1" applyFill="1" applyBorder="1" applyAlignment="1" applyProtection="1">
      <alignment horizontal="right" vertical="center" shrinkToFit="1"/>
      <protection locked="0"/>
    </xf>
    <xf numFmtId="180" fontId="10" fillId="2" borderId="34" xfId="0" applyNumberFormat="1" applyFont="1" applyFill="1" applyBorder="1" applyAlignment="1" applyProtection="1">
      <alignment horizontal="right" vertical="center" shrinkToFit="1"/>
      <protection locked="0"/>
    </xf>
    <xf numFmtId="181" fontId="10" fillId="2" borderId="37" xfId="0" applyNumberFormat="1" applyFont="1" applyFill="1" applyBorder="1" applyAlignment="1" applyProtection="1">
      <alignment horizontal="right" vertical="center" shrinkToFit="1"/>
      <protection locked="0"/>
    </xf>
    <xf numFmtId="181" fontId="10" fillId="2" borderId="34" xfId="0" applyNumberFormat="1" applyFont="1" applyFill="1" applyBorder="1" applyAlignment="1" applyProtection="1">
      <alignment horizontal="right" vertical="center" shrinkToFit="1"/>
      <protection locked="0"/>
    </xf>
    <xf numFmtId="181" fontId="10" fillId="2" borderId="44" xfId="0" applyNumberFormat="1" applyFont="1" applyFill="1" applyBorder="1" applyAlignment="1" applyProtection="1">
      <alignment horizontal="right" vertical="center" shrinkToFit="1"/>
      <protection locked="0"/>
    </xf>
    <xf numFmtId="181" fontId="10" fillId="2" borderId="36" xfId="0" applyNumberFormat="1" applyFont="1" applyFill="1" applyBorder="1" applyAlignment="1" applyProtection="1">
      <alignment horizontal="right" vertical="center" shrinkToFit="1"/>
      <protection locked="0"/>
    </xf>
    <xf numFmtId="183" fontId="12" fillId="2" borderId="21" xfId="0" applyNumberFormat="1" applyFont="1" applyFill="1" applyBorder="1" applyAlignment="1" applyProtection="1">
      <alignment horizontal="right" vertical="center"/>
      <protection hidden="1"/>
    </xf>
    <xf numFmtId="0" fontId="10" fillId="2" borderId="21" xfId="0" applyFont="1" applyFill="1" applyBorder="1" applyAlignment="1" applyProtection="1">
      <alignment horizontal="center" vertical="center" shrinkToFit="1"/>
      <protection hidden="1"/>
    </xf>
    <xf numFmtId="178" fontId="12" fillId="2" borderId="34" xfId="0" applyNumberFormat="1" applyFont="1" applyFill="1" applyBorder="1" applyAlignment="1" applyProtection="1">
      <alignment horizontal="right" vertical="center" shrinkToFit="1"/>
      <protection hidden="1"/>
    </xf>
    <xf numFmtId="179" fontId="12" fillId="2" borderId="21" xfId="0" applyNumberFormat="1" applyFont="1" applyFill="1" applyBorder="1" applyAlignment="1" applyProtection="1">
      <alignment horizontal="right" vertical="center" shrinkToFit="1"/>
      <protection hidden="1"/>
    </xf>
    <xf numFmtId="180" fontId="12" fillId="2" borderId="45" xfId="0" applyNumberFormat="1" applyFont="1" applyFill="1" applyBorder="1" applyAlignment="1" applyProtection="1">
      <alignment horizontal="right" vertical="center" shrinkToFit="1"/>
      <protection hidden="1"/>
    </xf>
    <xf numFmtId="185" fontId="12" fillId="2" borderId="21" xfId="0" applyNumberFormat="1" applyFont="1" applyFill="1" applyBorder="1" applyAlignment="1" applyProtection="1">
      <alignment horizontal="right" vertical="center" shrinkToFit="1"/>
      <protection hidden="1"/>
    </xf>
    <xf numFmtId="0" fontId="29" fillId="2" borderId="0" xfId="0" applyFont="1" applyFill="1" applyBorder="1" applyAlignment="1" applyProtection="1">
      <alignment horizontal="center" vertical="center" shrinkToFit="1"/>
      <protection hidden="1"/>
    </xf>
    <xf numFmtId="178" fontId="12" fillId="2" borderId="0" xfId="0" applyNumberFormat="1" applyFont="1" applyFill="1" applyBorder="1" applyAlignment="1" applyProtection="1">
      <alignment horizontal="right" vertical="center" shrinkToFit="1"/>
      <protection hidden="1"/>
    </xf>
    <xf numFmtId="185" fontId="12" fillId="2" borderId="0" xfId="0" applyNumberFormat="1" applyFont="1" applyFill="1" applyBorder="1" applyAlignment="1" applyProtection="1">
      <alignment horizontal="right" vertical="center" shrinkToFit="1"/>
      <protection hidden="1"/>
    </xf>
    <xf numFmtId="0" fontId="10" fillId="4" borderId="21" xfId="0" applyFont="1" applyFill="1" applyBorder="1" applyAlignment="1" applyProtection="1">
      <alignment horizontal="center" vertical="center" shrinkToFit="1"/>
      <protection hidden="1"/>
    </xf>
    <xf numFmtId="0" fontId="29" fillId="4" borderId="21" xfId="0" applyFont="1" applyFill="1" applyBorder="1" applyAlignment="1" applyProtection="1">
      <alignment horizontal="center" vertical="center" shrinkToFit="1"/>
      <protection hidden="1"/>
    </xf>
    <xf numFmtId="177" fontId="12" fillId="2" borderId="46" xfId="0" applyNumberFormat="1" applyFont="1" applyFill="1" applyBorder="1" applyAlignment="1" applyProtection="1">
      <alignment horizontal="right" vertical="center" shrinkToFit="1"/>
      <protection hidden="1"/>
    </xf>
    <xf numFmtId="0" fontId="13" fillId="2" borderId="0" xfId="0" applyFont="1" applyFill="1" applyBorder="1" applyAlignment="1" applyProtection="1">
      <alignment horizontal="left" vertical="center"/>
      <protection hidden="1"/>
    </xf>
    <xf numFmtId="185" fontId="10" fillId="2" borderId="47" xfId="0" applyNumberFormat="1" applyFont="1" applyFill="1" applyBorder="1" applyAlignment="1" applyProtection="1">
      <alignment horizontal="right" vertical="center" shrinkToFit="1"/>
      <protection hidden="1"/>
    </xf>
    <xf numFmtId="185" fontId="10" fillId="2" borderId="48" xfId="0" applyNumberFormat="1" applyFont="1" applyFill="1" applyBorder="1" applyAlignment="1" applyProtection="1">
      <alignment horizontal="right" vertical="center" shrinkToFit="1"/>
      <protection hidden="1"/>
    </xf>
    <xf numFmtId="185" fontId="10" fillId="2" borderId="49" xfId="0" applyNumberFormat="1" applyFont="1" applyFill="1" applyBorder="1" applyAlignment="1" applyProtection="1">
      <alignment horizontal="right" vertical="center" shrinkToFit="1"/>
      <protection hidden="1"/>
    </xf>
    <xf numFmtId="185" fontId="10" fillId="2" borderId="50" xfId="0" applyNumberFormat="1" applyFont="1" applyFill="1" applyBorder="1" applyAlignment="1" applyProtection="1">
      <alignment horizontal="right" vertical="center" shrinkToFit="1"/>
      <protection hidden="1"/>
    </xf>
    <xf numFmtId="49" fontId="3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14" fillId="6" borderId="10" xfId="0" applyFont="1" applyFill="1" applyBorder="1" applyAlignment="1" applyProtection="1">
      <alignment horizontal="center" vertical="center" shrinkToFit="1"/>
      <protection hidden="1"/>
    </xf>
    <xf numFmtId="177" fontId="4" fillId="6" borderId="11" xfId="0" applyNumberFormat="1" applyFont="1" applyFill="1" applyBorder="1" applyAlignment="1" applyProtection="1">
      <alignment horizontal="center" vertical="center" shrinkToFit="1"/>
      <protection hidden="1"/>
    </xf>
    <xf numFmtId="0" fontId="0" fillId="3" borderId="52" xfId="0" applyFill="1" applyBorder="1" applyProtection="1">
      <alignment vertical="center"/>
      <protection hidden="1"/>
    </xf>
    <xf numFmtId="0" fontId="0" fillId="4" borderId="52" xfId="0" applyFill="1" applyBorder="1" applyProtection="1">
      <alignment vertical="center"/>
      <protection hidden="1"/>
    </xf>
    <xf numFmtId="49" fontId="28" fillId="2" borderId="0" xfId="0" applyNumberFormat="1" applyFont="1" applyFill="1" applyBorder="1" applyAlignment="1" applyProtection="1">
      <alignment horizontal="centerContinuous" vertical="top"/>
      <protection hidden="1"/>
    </xf>
    <xf numFmtId="0" fontId="28" fillId="2" borderId="2" xfId="0" applyFont="1" applyFill="1" applyBorder="1" applyAlignment="1" applyProtection="1">
      <alignment horizontal="centerContinuous" vertical="top"/>
      <protection hidden="1"/>
    </xf>
    <xf numFmtId="0" fontId="0" fillId="4" borderId="53" xfId="0" applyFill="1" applyBorder="1" applyProtection="1">
      <alignment vertical="center"/>
      <protection hidden="1"/>
    </xf>
    <xf numFmtId="49" fontId="28" fillId="2" borderId="54" xfId="0" applyNumberFormat="1" applyFont="1" applyFill="1" applyBorder="1" applyAlignment="1" applyProtection="1">
      <alignment horizontal="centerContinuous" vertical="top"/>
      <protection hidden="1"/>
    </xf>
    <xf numFmtId="0" fontId="28" fillId="2" borderId="55" xfId="0" applyFont="1" applyFill="1" applyBorder="1" applyAlignment="1" applyProtection="1">
      <alignment horizontal="centerContinuous" vertical="top"/>
      <protection hidden="1"/>
    </xf>
    <xf numFmtId="0" fontId="0" fillId="2" borderId="56" xfId="0" applyFill="1" applyBorder="1" applyAlignment="1" applyProtection="1">
      <alignment horizontal="center" vertical="center"/>
      <protection hidden="1"/>
    </xf>
    <xf numFmtId="0" fontId="0" fillId="2" borderId="57" xfId="0" applyFill="1" applyBorder="1" applyAlignment="1" applyProtection="1">
      <alignment horizontal="center" vertical="center"/>
      <protection hidden="1"/>
    </xf>
    <xf numFmtId="180" fontId="0" fillId="3" borderId="11" xfId="0" applyNumberFormat="1" applyFill="1" applyBorder="1" applyAlignment="1" applyProtection="1">
      <alignment horizontal="center" vertical="center" shrinkToFit="1"/>
      <protection hidden="1"/>
    </xf>
    <xf numFmtId="179" fontId="0" fillId="3" borderId="11" xfId="0" applyNumberFormat="1" applyFill="1" applyBorder="1" applyAlignment="1" applyProtection="1">
      <alignment horizontal="center" vertical="center" shrinkToFit="1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58" xfId="0" applyFill="1" applyBorder="1" applyAlignment="1" applyProtection="1">
      <alignment horizontal="center" vertical="center"/>
      <protection hidden="1"/>
    </xf>
    <xf numFmtId="180" fontId="10" fillId="2" borderId="48" xfId="0" applyNumberFormat="1" applyFont="1" applyFill="1" applyBorder="1" applyAlignment="1" applyProtection="1">
      <alignment horizontal="right" vertical="center" shrinkToFit="1"/>
      <protection hidden="1"/>
    </xf>
    <xf numFmtId="0" fontId="54" fillId="2" borderId="0" xfId="0" applyFont="1" applyFill="1" applyBorder="1" applyAlignment="1" applyProtection="1">
      <alignment horizontal="centerContinuous"/>
      <protection hidden="1"/>
    </xf>
    <xf numFmtId="180" fontId="13" fillId="2" borderId="34" xfId="0" applyNumberFormat="1" applyFont="1" applyFill="1" applyBorder="1" applyAlignment="1" applyProtection="1">
      <alignment horizontal="right" vertical="center" shrinkToFit="1"/>
      <protection locked="0"/>
    </xf>
    <xf numFmtId="177" fontId="15" fillId="2" borderId="37" xfId="0" applyNumberFormat="1" applyFont="1" applyFill="1" applyBorder="1" applyAlignment="1" applyProtection="1">
      <alignment horizontal="right" vertical="center" shrinkToFit="1"/>
      <protection locked="0"/>
    </xf>
    <xf numFmtId="177" fontId="15" fillId="2" borderId="43" xfId="0" applyNumberFormat="1" applyFont="1" applyFill="1" applyBorder="1" applyAlignment="1" applyProtection="1">
      <alignment horizontal="right" vertical="center" shrinkToFit="1"/>
      <protection locked="0"/>
    </xf>
    <xf numFmtId="177" fontId="15" fillId="2" borderId="59" xfId="0" applyNumberFormat="1" applyFont="1" applyFill="1" applyBorder="1" applyAlignment="1" applyProtection="1">
      <alignment horizontal="right" vertical="center" shrinkToFit="1"/>
      <protection locked="0"/>
    </xf>
    <xf numFmtId="177" fontId="15" fillId="2" borderId="60" xfId="0" applyNumberFormat="1" applyFont="1" applyFill="1" applyBorder="1" applyAlignment="1" applyProtection="1">
      <alignment horizontal="right" vertical="center" shrinkToFit="1"/>
      <protection locked="0"/>
    </xf>
    <xf numFmtId="177" fontId="13" fillId="2" borderId="34" xfId="0" applyNumberFormat="1" applyFont="1" applyFill="1" applyBorder="1" applyAlignment="1" applyProtection="1">
      <alignment vertical="center" shrinkToFit="1"/>
      <protection locked="0"/>
    </xf>
    <xf numFmtId="177" fontId="13" fillId="2" borderId="21" xfId="0" applyNumberFormat="1" applyFont="1" applyFill="1" applyBorder="1" applyAlignment="1" applyProtection="1">
      <alignment vertical="center" shrinkToFit="1"/>
      <protection locked="0"/>
    </xf>
    <xf numFmtId="177" fontId="13" fillId="2" borderId="35" xfId="0" applyNumberFormat="1" applyFont="1" applyFill="1" applyBorder="1" applyAlignment="1" applyProtection="1">
      <alignment vertical="center" shrinkToFit="1"/>
      <protection locked="0"/>
    </xf>
    <xf numFmtId="177" fontId="13" fillId="2" borderId="36" xfId="0" applyNumberFormat="1" applyFont="1" applyFill="1" applyBorder="1" applyAlignment="1" applyProtection="1">
      <alignment vertical="center" shrinkToFit="1"/>
      <protection locked="0"/>
    </xf>
    <xf numFmtId="180" fontId="13" fillId="2" borderId="21" xfId="0" applyNumberFormat="1" applyFont="1" applyFill="1" applyBorder="1" applyAlignment="1" applyProtection="1">
      <alignment horizontal="right" vertical="center" shrinkToFit="1"/>
      <protection locked="0"/>
    </xf>
    <xf numFmtId="180" fontId="13" fillId="2" borderId="35" xfId="0" applyNumberFormat="1" applyFont="1" applyFill="1" applyBorder="1" applyAlignment="1" applyProtection="1">
      <alignment horizontal="right" vertical="center" shrinkToFit="1"/>
      <protection locked="0"/>
    </xf>
    <xf numFmtId="180" fontId="13" fillId="2" borderId="36" xfId="0" applyNumberFormat="1" applyFont="1" applyFill="1" applyBorder="1" applyAlignment="1" applyProtection="1">
      <alignment horizontal="right" vertical="center" shrinkToFit="1"/>
      <protection locked="0"/>
    </xf>
    <xf numFmtId="181" fontId="13" fillId="2" borderId="34" xfId="0" applyNumberFormat="1" applyFont="1" applyFill="1" applyBorder="1" applyAlignment="1" applyProtection="1">
      <alignment vertical="center" shrinkToFit="1"/>
      <protection locked="0"/>
    </xf>
    <xf numFmtId="181" fontId="13" fillId="2" borderId="21" xfId="0" applyNumberFormat="1" applyFont="1" applyFill="1" applyBorder="1" applyAlignment="1" applyProtection="1">
      <alignment vertical="center" shrinkToFit="1"/>
      <protection locked="0"/>
    </xf>
    <xf numFmtId="181" fontId="13" fillId="2" borderId="35" xfId="0" applyNumberFormat="1" applyFont="1" applyFill="1" applyBorder="1" applyAlignment="1" applyProtection="1">
      <alignment vertical="center" shrinkToFit="1"/>
      <protection locked="0"/>
    </xf>
    <xf numFmtId="181" fontId="13" fillId="2" borderId="36" xfId="0" applyNumberFormat="1" applyFont="1" applyFill="1" applyBorder="1" applyAlignment="1" applyProtection="1">
      <alignment vertical="center" shrinkToFit="1"/>
      <protection locked="0"/>
    </xf>
    <xf numFmtId="178" fontId="0" fillId="2" borderId="34" xfId="0" applyNumberFormat="1" applyFill="1" applyBorder="1" applyAlignment="1" applyProtection="1">
      <alignment vertical="center" shrinkToFit="1"/>
      <protection locked="0"/>
    </xf>
    <xf numFmtId="178" fontId="0" fillId="2" borderId="21" xfId="0" applyNumberFormat="1" applyFill="1" applyBorder="1" applyAlignment="1" applyProtection="1">
      <alignment vertical="center" shrinkToFit="1"/>
      <protection locked="0"/>
    </xf>
    <xf numFmtId="178" fontId="0" fillId="2" borderId="35" xfId="0" applyNumberFormat="1" applyFill="1" applyBorder="1" applyAlignment="1" applyProtection="1">
      <alignment vertical="center" shrinkToFit="1"/>
      <protection locked="0"/>
    </xf>
    <xf numFmtId="178" fontId="0" fillId="2" borderId="36" xfId="0" applyNumberFormat="1" applyFill="1" applyBorder="1" applyAlignment="1" applyProtection="1">
      <alignment vertical="center" shrinkToFit="1"/>
      <protection locked="0"/>
    </xf>
    <xf numFmtId="178" fontId="0" fillId="2" borderId="61" xfId="0" applyNumberFormat="1" applyFill="1" applyBorder="1" applyAlignment="1" applyProtection="1">
      <alignment vertical="center" shrinkToFit="1"/>
      <protection locked="0"/>
    </xf>
    <xf numFmtId="178" fontId="0" fillId="2" borderId="23" xfId="0" applyNumberFormat="1" applyFill="1" applyBorder="1" applyAlignment="1" applyProtection="1">
      <alignment vertical="center" shrinkToFit="1"/>
      <protection locked="0"/>
    </xf>
    <xf numFmtId="178" fontId="0" fillId="2" borderId="62" xfId="0" applyNumberFormat="1" applyFill="1" applyBorder="1" applyAlignment="1" applyProtection="1">
      <alignment vertical="center" shrinkToFit="1"/>
      <protection locked="0"/>
    </xf>
    <xf numFmtId="178" fontId="0" fillId="2" borderId="25" xfId="0" applyNumberFormat="1" applyFill="1" applyBorder="1" applyAlignment="1" applyProtection="1">
      <alignment vertical="center" shrinkToFit="1"/>
      <protection locked="0"/>
    </xf>
    <xf numFmtId="182" fontId="13" fillId="2" borderId="34" xfId="0" applyNumberFormat="1" applyFont="1" applyFill="1" applyBorder="1" applyAlignment="1" applyProtection="1">
      <alignment horizontal="right" vertical="center" shrinkToFit="1"/>
      <protection locked="0"/>
    </xf>
    <xf numFmtId="182" fontId="13" fillId="2" borderId="21" xfId="0" applyNumberFormat="1" applyFont="1" applyFill="1" applyBorder="1" applyAlignment="1" applyProtection="1">
      <alignment horizontal="right" vertical="center" shrinkToFit="1"/>
      <protection locked="0"/>
    </xf>
    <xf numFmtId="182" fontId="13" fillId="2" borderId="35" xfId="0" applyNumberFormat="1" applyFont="1" applyFill="1" applyBorder="1" applyAlignment="1" applyProtection="1">
      <alignment horizontal="right" vertical="center" shrinkToFit="1"/>
      <protection locked="0"/>
    </xf>
    <xf numFmtId="182" fontId="13" fillId="2" borderId="36" xfId="0" applyNumberFormat="1" applyFont="1" applyFill="1" applyBorder="1" applyAlignment="1" applyProtection="1">
      <alignment horizontal="right" vertical="center" shrinkToFit="1"/>
      <protection locked="0"/>
    </xf>
    <xf numFmtId="181" fontId="13" fillId="2" borderId="61" xfId="0" applyNumberFormat="1" applyFont="1" applyFill="1" applyBorder="1" applyAlignment="1" applyProtection="1">
      <alignment vertical="center" shrinkToFit="1"/>
      <protection locked="0"/>
    </xf>
    <xf numFmtId="181" fontId="13" fillId="2" borderId="23" xfId="0" applyNumberFormat="1" applyFont="1" applyFill="1" applyBorder="1" applyAlignment="1" applyProtection="1">
      <alignment vertical="center" shrinkToFit="1"/>
      <protection locked="0"/>
    </xf>
    <xf numFmtId="181" fontId="13" fillId="2" borderId="62" xfId="0" applyNumberFormat="1" applyFont="1" applyFill="1" applyBorder="1" applyAlignment="1" applyProtection="1">
      <alignment vertical="center" shrinkToFit="1"/>
      <protection locked="0"/>
    </xf>
    <xf numFmtId="181" fontId="13" fillId="2" borderId="25" xfId="0" applyNumberFormat="1" applyFont="1" applyFill="1" applyBorder="1" applyAlignment="1" applyProtection="1">
      <alignment vertical="center" shrinkToFit="1"/>
      <protection locked="0"/>
    </xf>
    <xf numFmtId="178" fontId="0" fillId="2" borderId="63" xfId="0" applyNumberFormat="1" applyFill="1" applyBorder="1" applyAlignment="1" applyProtection="1">
      <alignment vertical="center" shrinkToFit="1"/>
      <protection locked="0"/>
    </xf>
    <xf numFmtId="178" fontId="0" fillId="2" borderId="64" xfId="0" applyNumberFormat="1" applyFill="1" applyBorder="1" applyAlignment="1" applyProtection="1">
      <alignment vertical="center" shrinkToFit="1"/>
      <protection locked="0"/>
    </xf>
    <xf numFmtId="178" fontId="0" fillId="2" borderId="65" xfId="0" applyNumberFormat="1" applyFill="1" applyBorder="1" applyAlignment="1" applyProtection="1">
      <alignment vertical="center" shrinkToFit="1"/>
      <protection locked="0"/>
    </xf>
    <xf numFmtId="178" fontId="0" fillId="2" borderId="66" xfId="0" applyNumberFormat="1" applyFill="1" applyBorder="1" applyAlignment="1" applyProtection="1">
      <alignment vertical="center" shrinkToFit="1"/>
      <protection locked="0"/>
    </xf>
    <xf numFmtId="180" fontId="10" fillId="2" borderId="21" xfId="0" applyNumberFormat="1" applyFont="1" applyFill="1" applyBorder="1" applyAlignment="1" applyProtection="1">
      <alignment horizontal="right" vertical="center" shrinkToFit="1"/>
      <protection locked="0"/>
    </xf>
    <xf numFmtId="0" fontId="0" fillId="2" borderId="21" xfId="0" applyFill="1" applyBorder="1" applyProtection="1">
      <alignment vertical="center"/>
      <protection hidden="1"/>
    </xf>
    <xf numFmtId="0" fontId="56" fillId="2" borderId="24" xfId="0" applyFont="1" applyFill="1" applyBorder="1" applyAlignment="1" applyProtection="1">
      <alignment horizontal="center" vertical="top" shrinkToFit="1"/>
      <protection hidden="1"/>
    </xf>
    <xf numFmtId="184" fontId="0" fillId="2" borderId="0" xfId="0" applyNumberFormat="1" applyFill="1" applyProtection="1">
      <alignment vertical="center"/>
      <protection hidden="1"/>
    </xf>
    <xf numFmtId="183" fontId="10" fillId="2" borderId="21" xfId="0" applyNumberFormat="1" applyFont="1" applyFill="1" applyBorder="1" applyAlignment="1" applyProtection="1">
      <alignment horizontal="right" vertical="center" shrinkToFit="1"/>
      <protection hidden="1"/>
    </xf>
    <xf numFmtId="183" fontId="10" fillId="2" borderId="21" xfId="0" applyNumberFormat="1" applyFont="1" applyFill="1" applyBorder="1" applyAlignment="1" applyProtection="1">
      <alignment horizontal="right" vertical="center"/>
      <protection hidden="1"/>
    </xf>
    <xf numFmtId="180" fontId="10" fillId="2" borderId="67" xfId="0" applyNumberFormat="1" applyFont="1" applyFill="1" applyBorder="1" applyAlignment="1" applyProtection="1">
      <alignment horizontal="right" vertical="center" shrinkToFit="1"/>
      <protection locked="0"/>
    </xf>
    <xf numFmtId="180" fontId="10" fillId="2" borderId="68" xfId="0" applyNumberFormat="1" applyFont="1" applyFill="1" applyBorder="1" applyAlignment="1" applyProtection="1">
      <alignment horizontal="right" vertical="center" shrinkToFit="1"/>
      <protection locked="0"/>
    </xf>
    <xf numFmtId="181" fontId="10" fillId="2" borderId="68" xfId="0" applyNumberFormat="1" applyFont="1" applyFill="1" applyBorder="1" applyAlignment="1" applyProtection="1">
      <alignment horizontal="right" vertical="center" shrinkToFit="1"/>
      <protection locked="0"/>
    </xf>
    <xf numFmtId="181" fontId="10" fillId="2" borderId="69" xfId="0" applyNumberFormat="1" applyFont="1" applyFill="1" applyBorder="1" applyAlignment="1" applyProtection="1">
      <alignment horizontal="right" vertical="center" shrinkToFit="1"/>
      <protection locked="0"/>
    </xf>
    <xf numFmtId="49" fontId="41" fillId="2" borderId="0" xfId="0" applyNumberFormat="1" applyFont="1" applyFill="1" applyAlignment="1" applyProtection="1">
      <alignment horizontal="center" vertical="center"/>
      <protection locked="0"/>
    </xf>
    <xf numFmtId="0" fontId="0" fillId="2" borderId="0" xfId="0" applyFill="1" applyProtection="1">
      <alignment vertical="center"/>
      <protection locked="0"/>
    </xf>
    <xf numFmtId="177" fontId="41" fillId="2" borderId="29" xfId="0" applyNumberFormat="1" applyFont="1" applyFill="1" applyBorder="1" applyAlignment="1" applyProtection="1">
      <alignment horizontal="center" vertical="center" shrinkToFit="1"/>
      <protection locked="0"/>
    </xf>
    <xf numFmtId="179" fontId="41" fillId="2" borderId="29" xfId="0" applyNumberFormat="1" applyFont="1" applyFill="1" applyBorder="1" applyAlignment="1" applyProtection="1">
      <alignment horizontal="center" vertical="center" shrinkToFit="1"/>
      <protection locked="0"/>
    </xf>
    <xf numFmtId="177" fontId="41" fillId="2" borderId="30" xfId="0" applyNumberFormat="1" applyFont="1" applyFill="1" applyBorder="1" applyAlignment="1" applyProtection="1">
      <alignment horizontal="center" vertical="center" wrapText="1"/>
      <protection locked="0"/>
    </xf>
    <xf numFmtId="177" fontId="41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56" fillId="2" borderId="71" xfId="0" applyFont="1" applyFill="1" applyBorder="1" applyAlignment="1" applyProtection="1">
      <alignment horizontal="center" vertical="center" shrinkToFit="1"/>
      <protection hidden="1"/>
    </xf>
    <xf numFmtId="188" fontId="52" fillId="4" borderId="72" xfId="0" applyNumberFormat="1" applyFont="1" applyFill="1" applyBorder="1" applyAlignment="1" applyProtection="1">
      <alignment horizontal="center" vertical="center" shrinkToFit="1"/>
      <protection locked="0"/>
    </xf>
    <xf numFmtId="0" fontId="8" fillId="5" borderId="15" xfId="0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Border="1" applyAlignment="1" applyProtection="1">
      <alignment horizontal="left" vertical="top"/>
      <protection hidden="1"/>
    </xf>
    <xf numFmtId="49" fontId="10" fillId="2" borderId="7" xfId="0" applyNumberFormat="1" applyFont="1" applyFill="1" applyBorder="1" applyAlignment="1" applyProtection="1">
      <alignment horizontal="center" vertical="center" shrinkToFit="1"/>
      <protection hidden="1"/>
    </xf>
    <xf numFmtId="49" fontId="13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56" fillId="2" borderId="73" xfId="0" applyFont="1" applyFill="1" applyBorder="1" applyAlignment="1" applyProtection="1">
      <alignment horizontal="center" vertical="center" shrinkToFit="1"/>
      <protection hidden="1"/>
    </xf>
    <xf numFmtId="0" fontId="12" fillId="2" borderId="74" xfId="0" applyFont="1" applyFill="1" applyBorder="1" applyAlignment="1" applyProtection="1">
      <alignment horizontal="center" vertical="top" shrinkToFit="1"/>
      <protection hidden="1"/>
    </xf>
    <xf numFmtId="179" fontId="76" fillId="2" borderId="21" xfId="0" applyNumberFormat="1" applyFont="1" applyFill="1" applyBorder="1" applyAlignment="1" applyProtection="1">
      <alignment horizontal="right" vertical="center" shrinkToFit="1"/>
      <protection hidden="1"/>
    </xf>
    <xf numFmtId="177" fontId="76" fillId="2" borderId="75" xfId="0" applyNumberFormat="1" applyFont="1" applyFill="1" applyBorder="1" applyAlignment="1" applyProtection="1">
      <alignment horizontal="right" vertical="center" shrinkToFit="1"/>
      <protection hidden="1"/>
    </xf>
    <xf numFmtId="180" fontId="76" fillId="2" borderId="18" xfId="0" applyNumberFormat="1" applyFont="1" applyFill="1" applyBorder="1" applyAlignment="1" applyProtection="1">
      <alignment horizontal="right" vertical="center" shrinkToFit="1"/>
      <protection hidden="1"/>
    </xf>
    <xf numFmtId="183" fontId="76" fillId="2" borderId="76" xfId="0" applyNumberFormat="1" applyFont="1" applyFill="1" applyBorder="1" applyAlignment="1" applyProtection="1">
      <alignment horizontal="right" vertical="center"/>
      <protection hidden="1"/>
    </xf>
    <xf numFmtId="180" fontId="76" fillId="2" borderId="26" xfId="0" applyNumberFormat="1" applyFont="1" applyFill="1" applyBorder="1" applyAlignment="1" applyProtection="1">
      <alignment horizontal="right" vertical="center" shrinkToFit="1"/>
      <protection hidden="1"/>
    </xf>
    <xf numFmtId="177" fontId="76" fillId="2" borderId="46" xfId="0" applyNumberFormat="1" applyFont="1" applyFill="1" applyBorder="1" applyAlignment="1" applyProtection="1">
      <alignment horizontal="right" vertical="center" shrinkToFit="1"/>
      <protection hidden="1"/>
    </xf>
    <xf numFmtId="180" fontId="76" fillId="2" borderId="21" xfId="0" applyNumberFormat="1" applyFont="1" applyFill="1" applyBorder="1" applyAlignment="1" applyProtection="1">
      <alignment horizontal="right" vertical="center" shrinkToFit="1"/>
      <protection hidden="1"/>
    </xf>
    <xf numFmtId="183" fontId="76" fillId="2" borderId="21" xfId="0" applyNumberFormat="1" applyFont="1" applyFill="1" applyBorder="1" applyAlignment="1" applyProtection="1">
      <alignment horizontal="right" vertical="center"/>
      <protection hidden="1"/>
    </xf>
    <xf numFmtId="180" fontId="76" fillId="2" borderId="36" xfId="0" applyNumberFormat="1" applyFont="1" applyFill="1" applyBorder="1" applyAlignment="1" applyProtection="1">
      <alignment horizontal="right" vertical="center" shrinkToFit="1"/>
      <protection hidden="1"/>
    </xf>
    <xf numFmtId="184" fontId="76" fillId="2" borderId="21" xfId="0" applyNumberFormat="1" applyFont="1" applyFill="1" applyBorder="1" applyAlignment="1" applyProtection="1">
      <alignment horizontal="right" vertical="center" shrinkToFit="1"/>
      <protection hidden="1"/>
    </xf>
    <xf numFmtId="185" fontId="76" fillId="2" borderId="21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35" xfId="0" applyNumberFormat="1" applyFont="1" applyFill="1" applyBorder="1" applyAlignment="1" applyProtection="1">
      <alignment horizontal="right" vertical="center" shrinkToFit="1"/>
      <protection hidden="1"/>
    </xf>
    <xf numFmtId="184" fontId="76" fillId="2" borderId="72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77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36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45" xfId="0" applyNumberFormat="1" applyFont="1" applyFill="1" applyBorder="1" applyAlignment="1" applyProtection="1">
      <alignment horizontal="right" vertical="center" shrinkToFit="1"/>
      <protection hidden="1"/>
    </xf>
    <xf numFmtId="185" fontId="76" fillId="2" borderId="72" xfId="0" applyNumberFormat="1" applyFont="1" applyFill="1" applyBorder="1" applyAlignment="1" applyProtection="1">
      <alignment horizontal="right" vertical="center" shrinkToFit="1"/>
      <protection hidden="1"/>
    </xf>
    <xf numFmtId="179" fontId="76" fillId="2" borderId="18" xfId="0" applyNumberFormat="1" applyFont="1" applyFill="1" applyBorder="1" applyAlignment="1" applyProtection="1">
      <alignment horizontal="right" shrinkToFit="1"/>
      <protection hidden="1"/>
    </xf>
    <xf numFmtId="179" fontId="76" fillId="2" borderId="21" xfId="0" applyNumberFormat="1" applyFont="1" applyFill="1" applyBorder="1" applyAlignment="1" applyProtection="1">
      <alignment horizontal="right" vertical="top" shrinkToFit="1"/>
      <protection hidden="1"/>
    </xf>
    <xf numFmtId="179" fontId="76" fillId="2" borderId="23" xfId="0" applyNumberFormat="1" applyFont="1" applyFill="1" applyBorder="1" applyAlignment="1" applyProtection="1">
      <alignment horizontal="right" shrinkToFit="1"/>
      <protection hidden="1"/>
    </xf>
    <xf numFmtId="179" fontId="76" fillId="2" borderId="21" xfId="0" applyNumberFormat="1" applyFont="1" applyFill="1" applyBorder="1" applyAlignment="1" applyProtection="1">
      <alignment horizontal="right" shrinkToFit="1"/>
      <protection hidden="1"/>
    </xf>
    <xf numFmtId="179" fontId="76" fillId="2" borderId="43" xfId="0" applyNumberFormat="1" applyFont="1" applyFill="1" applyBorder="1" applyAlignment="1" applyProtection="1">
      <alignment horizontal="right" vertical="top" shrinkToFit="1"/>
      <protection hidden="1"/>
    </xf>
    <xf numFmtId="179" fontId="76" fillId="2" borderId="72" xfId="0" applyNumberFormat="1" applyFont="1" applyFill="1" applyBorder="1" applyAlignment="1" applyProtection="1">
      <alignment horizontal="right" vertical="center" shrinkToFit="1"/>
      <protection hidden="1"/>
    </xf>
    <xf numFmtId="0" fontId="81" fillId="2" borderId="0" xfId="0" applyFont="1" applyFill="1" applyBorder="1" applyProtection="1">
      <alignment vertical="center"/>
      <protection hidden="1"/>
    </xf>
    <xf numFmtId="0" fontId="82" fillId="2" borderId="15" xfId="0" applyFont="1" applyFill="1" applyBorder="1" applyProtection="1">
      <alignment vertical="center"/>
      <protection hidden="1"/>
    </xf>
    <xf numFmtId="188" fontId="52" fillId="4" borderId="78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3" xfId="0" applyFont="1" applyFill="1" applyBorder="1" applyAlignment="1" applyProtection="1">
      <alignment horizontal="left" vertical="center"/>
      <protection hidden="1"/>
    </xf>
    <xf numFmtId="0" fontId="1" fillId="2" borderId="0" xfId="1" applyFill="1" applyProtection="1"/>
    <xf numFmtId="0" fontId="10" fillId="2" borderId="79" xfId="1" applyNumberFormat="1" applyFont="1" applyFill="1" applyBorder="1" applyAlignment="1" applyProtection="1">
      <alignment horizontal="center" shrinkToFit="1"/>
      <protection hidden="1"/>
    </xf>
    <xf numFmtId="0" fontId="10" fillId="2" borderId="23" xfId="1" applyNumberFormat="1" applyFont="1" applyFill="1" applyBorder="1" applyAlignment="1" applyProtection="1">
      <alignment horizontal="center" shrinkToFit="1"/>
      <protection hidden="1"/>
    </xf>
    <xf numFmtId="0" fontId="10" fillId="2" borderId="80" xfId="1" applyNumberFormat="1" applyFont="1" applyFill="1" applyBorder="1" applyAlignment="1" applyProtection="1">
      <alignment horizontal="center" vertical="top"/>
      <protection hidden="1"/>
    </xf>
    <xf numFmtId="0" fontId="10" fillId="2" borderId="24" xfId="1" applyNumberFormat="1" applyFont="1" applyFill="1" applyBorder="1" applyAlignment="1" applyProtection="1">
      <alignment horizontal="center" vertical="top"/>
      <protection hidden="1"/>
    </xf>
    <xf numFmtId="0" fontId="10" fillId="2" borderId="81" xfId="1" applyNumberFormat="1" applyFont="1" applyFill="1" applyBorder="1" applyAlignment="1" applyProtection="1">
      <alignment horizontal="center" vertical="top"/>
      <protection hidden="1"/>
    </xf>
    <xf numFmtId="0" fontId="8" fillId="2" borderId="82" xfId="0" applyFont="1" applyFill="1" applyBorder="1" applyAlignment="1" applyProtection="1">
      <alignment horizontal="left" vertical="center"/>
      <protection hidden="1"/>
    </xf>
    <xf numFmtId="0" fontId="8" fillId="2" borderId="83" xfId="0" applyFont="1" applyFill="1" applyBorder="1" applyAlignment="1" applyProtection="1">
      <alignment horizontal="left" vertical="center"/>
      <protection hidden="1"/>
    </xf>
    <xf numFmtId="0" fontId="0" fillId="2" borderId="83" xfId="0" applyFill="1" applyBorder="1" applyProtection="1">
      <alignment vertical="center"/>
      <protection hidden="1"/>
    </xf>
    <xf numFmtId="0" fontId="7" fillId="2" borderId="83" xfId="0" applyFont="1" applyFill="1" applyBorder="1" applyAlignment="1" applyProtection="1">
      <alignment horizontal="right" vertical="center"/>
      <protection hidden="1"/>
    </xf>
    <xf numFmtId="0" fontId="7" fillId="2" borderId="84" xfId="0" applyFont="1" applyFill="1" applyBorder="1" applyAlignment="1" applyProtection="1">
      <alignment horizontal="right" vertical="center"/>
      <protection hidden="1"/>
    </xf>
    <xf numFmtId="0" fontId="10" fillId="2" borderId="74" xfId="1" applyNumberFormat="1" applyFont="1" applyFill="1" applyBorder="1" applyAlignment="1" applyProtection="1">
      <alignment horizontal="center" vertical="top"/>
      <protection hidden="1"/>
    </xf>
    <xf numFmtId="0" fontId="89" fillId="2" borderId="3" xfId="1" applyNumberFormat="1" applyFont="1" applyFill="1" applyBorder="1" applyAlignment="1" applyProtection="1">
      <alignment horizontal="center" vertical="center"/>
      <protection hidden="1"/>
    </xf>
    <xf numFmtId="49" fontId="15" fillId="2" borderId="85" xfId="1" applyNumberFormat="1" applyFont="1" applyFill="1" applyBorder="1" applyAlignment="1" applyProtection="1">
      <alignment horizontal="left" shrinkToFit="1"/>
      <protection locked="0"/>
    </xf>
    <xf numFmtId="49" fontId="15" fillId="2" borderId="86" xfId="1" applyNumberFormat="1" applyFont="1" applyFill="1" applyBorder="1" applyAlignment="1" applyProtection="1">
      <alignment horizontal="left"/>
      <protection locked="0"/>
    </xf>
    <xf numFmtId="49" fontId="53" fillId="2" borderId="86" xfId="1" applyNumberFormat="1" applyFont="1" applyFill="1" applyBorder="1" applyAlignment="1" applyProtection="1">
      <alignment horizontal="left"/>
      <protection locked="0"/>
    </xf>
    <xf numFmtId="49" fontId="15" fillId="2" borderId="87" xfId="1" applyNumberFormat="1" applyFont="1" applyFill="1" applyBorder="1" applyAlignment="1" applyProtection="1">
      <alignment horizontal="left"/>
      <protection locked="0"/>
    </xf>
    <xf numFmtId="49" fontId="15" fillId="2" borderId="88" xfId="1" applyNumberFormat="1" applyFont="1" applyFill="1" applyBorder="1" applyAlignment="1" applyProtection="1">
      <alignment horizontal="left" shrinkToFit="1"/>
      <protection locked="0"/>
    </xf>
    <xf numFmtId="49" fontId="15" fillId="2" borderId="38" xfId="1" applyNumberFormat="1" applyFont="1" applyFill="1" applyBorder="1" applyAlignment="1" applyProtection="1">
      <alignment horizontal="left"/>
      <protection locked="0"/>
    </xf>
    <xf numFmtId="49" fontId="53" fillId="2" borderId="38" xfId="1" applyNumberFormat="1" applyFont="1" applyFill="1" applyBorder="1" applyAlignment="1" applyProtection="1">
      <alignment horizontal="left"/>
      <protection locked="0"/>
    </xf>
    <xf numFmtId="49" fontId="15" fillId="2" borderId="89" xfId="1" applyNumberFormat="1" applyFont="1" applyFill="1" applyBorder="1" applyAlignment="1" applyProtection="1">
      <alignment horizontal="left"/>
      <protection locked="0"/>
    </xf>
    <xf numFmtId="49" fontId="15" fillId="2" borderId="90" xfId="1" applyNumberFormat="1" applyFont="1" applyFill="1" applyBorder="1" applyAlignment="1" applyProtection="1">
      <alignment horizontal="left" shrinkToFit="1"/>
      <protection locked="0"/>
    </xf>
    <xf numFmtId="49" fontId="15" fillId="2" borderId="91" xfId="1" applyNumberFormat="1" applyFont="1" applyFill="1" applyBorder="1" applyAlignment="1" applyProtection="1">
      <alignment horizontal="left" shrinkToFit="1"/>
      <protection locked="0"/>
    </xf>
    <xf numFmtId="49" fontId="15" fillId="2" borderId="92" xfId="1" applyNumberFormat="1" applyFont="1" applyFill="1" applyBorder="1" applyAlignment="1" applyProtection="1">
      <alignment horizontal="left"/>
      <protection locked="0"/>
    </xf>
    <xf numFmtId="49" fontId="53" fillId="2" borderId="92" xfId="1" applyNumberFormat="1" applyFont="1" applyFill="1" applyBorder="1" applyAlignment="1" applyProtection="1">
      <alignment horizontal="left"/>
      <protection locked="0"/>
    </xf>
    <xf numFmtId="49" fontId="15" fillId="2" borderId="93" xfId="1" applyNumberFormat="1" applyFont="1" applyFill="1" applyBorder="1" applyAlignment="1" applyProtection="1">
      <alignment horizontal="left"/>
      <protection locked="0"/>
    </xf>
    <xf numFmtId="49" fontId="53" fillId="2" borderId="90" xfId="1" applyNumberFormat="1" applyFont="1" applyFill="1" applyBorder="1" applyAlignment="1" applyProtection="1">
      <alignment horizontal="left"/>
      <protection locked="0"/>
    </xf>
    <xf numFmtId="49" fontId="15" fillId="2" borderId="94" xfId="1" applyNumberFormat="1" applyFont="1" applyFill="1" applyBorder="1" applyAlignment="1" applyProtection="1">
      <alignment horizontal="left"/>
      <protection locked="0"/>
    </xf>
    <xf numFmtId="49" fontId="15" fillId="2" borderId="95" xfId="1" applyNumberFormat="1" applyFont="1" applyFill="1" applyBorder="1" applyAlignment="1" applyProtection="1">
      <alignment horizontal="left"/>
      <protection locked="0"/>
    </xf>
    <xf numFmtId="0" fontId="15" fillId="2" borderId="96" xfId="1" applyNumberFormat="1" applyFont="1" applyFill="1" applyBorder="1" applyAlignment="1" applyProtection="1">
      <alignment horizontal="center" vertical="center" shrinkToFit="1"/>
      <protection hidden="1"/>
    </xf>
    <xf numFmtId="0" fontId="94" fillId="2" borderId="0" xfId="0" applyFont="1" applyFill="1" applyAlignment="1" applyProtection="1">
      <alignment horizontal="center" vertical="center"/>
      <protection hidden="1"/>
    </xf>
    <xf numFmtId="0" fontId="95" fillId="2" borderId="0" xfId="0" applyFont="1" applyFill="1" applyAlignment="1" applyProtection="1">
      <alignment horizontal="center" vertical="center"/>
      <protection hidden="1"/>
    </xf>
    <xf numFmtId="49" fontId="15" fillId="2" borderId="2" xfId="0" applyNumberFormat="1" applyFont="1" applyFill="1" applyBorder="1" applyAlignment="1" applyProtection="1">
      <alignment horizontal="left"/>
      <protection hidden="1"/>
    </xf>
    <xf numFmtId="184" fontId="76" fillId="7" borderId="21" xfId="0" applyNumberFormat="1" applyFont="1" applyFill="1" applyBorder="1" applyAlignment="1" applyProtection="1">
      <alignment horizontal="right" vertical="center" shrinkToFit="1"/>
      <protection hidden="1"/>
    </xf>
    <xf numFmtId="185" fontId="76" fillId="7" borderId="21" xfId="0" applyNumberFormat="1" applyFont="1" applyFill="1" applyBorder="1" applyAlignment="1" applyProtection="1">
      <alignment horizontal="right" vertical="center" shrinkToFit="1"/>
      <protection hidden="1"/>
    </xf>
    <xf numFmtId="186" fontId="76" fillId="7" borderId="35" xfId="0" applyNumberFormat="1" applyFont="1" applyFill="1" applyBorder="1" applyAlignment="1" applyProtection="1">
      <alignment horizontal="right" vertical="center" shrinkToFit="1"/>
      <protection hidden="1"/>
    </xf>
    <xf numFmtId="186" fontId="76" fillId="7" borderId="36" xfId="0" applyNumberFormat="1" applyFont="1" applyFill="1" applyBorder="1" applyAlignment="1" applyProtection="1">
      <alignment horizontal="right" vertical="center" shrinkToFit="1"/>
      <protection hidden="1"/>
    </xf>
    <xf numFmtId="179" fontId="76" fillId="7" borderId="21" xfId="0" applyNumberFormat="1" applyFont="1" applyFill="1" applyBorder="1" applyAlignment="1" applyProtection="1">
      <alignment horizontal="right" vertical="center" shrinkToFit="1"/>
      <protection hidden="1"/>
    </xf>
    <xf numFmtId="178" fontId="13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96" fillId="5" borderId="16" xfId="0" applyFont="1" applyFill="1" applyBorder="1" applyAlignment="1" applyProtection="1">
      <alignment horizontal="right" vertical="center"/>
      <protection hidden="1"/>
    </xf>
    <xf numFmtId="0" fontId="17" fillId="2" borderId="0" xfId="0" applyFont="1" applyFill="1" applyProtection="1">
      <alignment vertical="center"/>
      <protection locked="0"/>
    </xf>
    <xf numFmtId="0" fontId="98" fillId="2" borderId="51" xfId="0" applyFont="1" applyFill="1" applyBorder="1" applyAlignment="1" applyProtection="1">
      <alignment horizontal="center" vertical="center"/>
      <protection locked="0"/>
    </xf>
    <xf numFmtId="0" fontId="98" fillId="2" borderId="97" xfId="0" applyFont="1" applyFill="1" applyBorder="1" applyAlignment="1" applyProtection="1">
      <alignment horizontal="center" vertical="center"/>
      <protection locked="0"/>
    </xf>
    <xf numFmtId="0" fontId="98" fillId="2" borderId="98" xfId="0" applyFont="1" applyFill="1" applyBorder="1" applyAlignment="1" applyProtection="1">
      <alignment horizontal="center" vertical="center"/>
      <protection locked="0"/>
    </xf>
    <xf numFmtId="0" fontId="98" fillId="2" borderId="20" xfId="0" applyFont="1" applyFill="1" applyBorder="1" applyAlignment="1" applyProtection="1">
      <alignment horizontal="center" vertical="center"/>
      <protection locked="0"/>
    </xf>
    <xf numFmtId="0" fontId="98" fillId="2" borderId="99" xfId="0" applyFont="1" applyFill="1" applyBorder="1" applyAlignment="1" applyProtection="1">
      <alignment horizontal="center" vertical="center"/>
      <protection locked="0"/>
    </xf>
    <xf numFmtId="0" fontId="98" fillId="2" borderId="100" xfId="0" applyFont="1" applyFill="1" applyBorder="1" applyAlignment="1" applyProtection="1">
      <alignment horizontal="center" vertical="center"/>
      <protection locked="0"/>
    </xf>
    <xf numFmtId="0" fontId="15" fillId="2" borderId="48" xfId="0" applyFont="1" applyFill="1" applyBorder="1" applyAlignment="1" applyProtection="1">
      <alignment horizontal="center" vertical="center"/>
      <protection locked="0"/>
    </xf>
    <xf numFmtId="0" fontId="96" fillId="5" borderId="16" xfId="0" applyFont="1" applyFill="1" applyBorder="1" applyAlignment="1" applyProtection="1">
      <alignment horizontal="right" vertical="center"/>
      <protection locked="0"/>
    </xf>
    <xf numFmtId="0" fontId="103" fillId="2" borderId="0" xfId="0" applyFont="1" applyFill="1" applyBorder="1" applyProtection="1">
      <alignment vertical="center"/>
      <protection hidden="1"/>
    </xf>
    <xf numFmtId="0" fontId="11" fillId="2" borderId="21" xfId="0" applyNumberFormat="1" applyFont="1" applyFill="1" applyBorder="1" applyAlignment="1" applyProtection="1">
      <alignment vertical="center" shrinkToFit="1"/>
      <protection hidden="1"/>
    </xf>
    <xf numFmtId="0" fontId="3" fillId="2" borderId="12" xfId="0" applyFont="1" applyFill="1" applyBorder="1" applyAlignment="1" applyProtection="1">
      <alignment horizontal="center" vertical="center" shrinkToFit="1"/>
      <protection hidden="1"/>
    </xf>
    <xf numFmtId="0" fontId="0" fillId="0" borderId="7" xfId="0" applyBorder="1" applyAlignment="1">
      <alignment horizontal="center" vertical="center" shrinkToFit="1"/>
    </xf>
    <xf numFmtId="0" fontId="3" fillId="4" borderId="12" xfId="0" applyFont="1" applyFill="1" applyBorder="1" applyAlignment="1" applyProtection="1">
      <alignment horizontal="center" vertical="center" shrinkToFit="1"/>
      <protection hidden="1"/>
    </xf>
    <xf numFmtId="0" fontId="0" fillId="4" borderId="7" xfId="0" applyFill="1" applyBorder="1" applyAlignment="1">
      <alignment horizontal="center" vertical="center" shrinkToFit="1"/>
    </xf>
    <xf numFmtId="0" fontId="0" fillId="4" borderId="12" xfId="0" applyFill="1" applyBorder="1" applyAlignment="1" applyProtection="1">
      <alignment horizontal="center" vertical="center"/>
      <protection hidden="1"/>
    </xf>
    <xf numFmtId="0" fontId="0" fillId="4" borderId="103" xfId="0" applyFill="1" applyBorder="1" applyAlignment="1" applyProtection="1">
      <alignment horizontal="center" vertical="center"/>
      <protection hidden="1"/>
    </xf>
    <xf numFmtId="49" fontId="53" fillId="2" borderId="22" xfId="0" applyNumberFormat="1" applyFont="1" applyFill="1" applyBorder="1" applyAlignment="1" applyProtection="1">
      <alignment horizontal="center" vertical="center" wrapText="1"/>
      <protection hidden="1"/>
    </xf>
    <xf numFmtId="0" fontId="53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53" fillId="2" borderId="104" xfId="0" applyNumberFormat="1" applyFont="1" applyFill="1" applyBorder="1" applyAlignment="1" applyProtection="1">
      <alignment horizontal="center" vertical="center" wrapText="1"/>
      <protection hidden="1"/>
    </xf>
    <xf numFmtId="0" fontId="53" fillId="2" borderId="6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12" xfId="0" applyFont="1" applyFill="1" applyBorder="1" applyAlignment="1" applyProtection="1">
      <alignment horizontal="center" vertical="center" shrinkToFit="1"/>
      <protection hidden="1"/>
    </xf>
    <xf numFmtId="0" fontId="52" fillId="4" borderId="7" xfId="0" applyFont="1" applyFill="1" applyBorder="1" applyAlignment="1">
      <alignment horizontal="center" vertical="center" shrinkToFit="1"/>
    </xf>
    <xf numFmtId="0" fontId="51" fillId="2" borderId="22" xfId="0" applyFont="1" applyFill="1" applyBorder="1" applyAlignment="1" applyProtection="1">
      <alignment horizontal="center" vertical="center" wrapText="1"/>
      <protection hidden="1"/>
    </xf>
    <xf numFmtId="0" fontId="51" fillId="2" borderId="2" xfId="0" applyFont="1" applyFill="1" applyBorder="1" applyAlignment="1" applyProtection="1">
      <alignment horizontal="center" vertical="center" wrapText="1"/>
      <protection hidden="1"/>
    </xf>
    <xf numFmtId="0" fontId="51" fillId="2" borderId="104" xfId="0" applyFont="1" applyFill="1" applyBorder="1" applyAlignment="1" applyProtection="1">
      <alignment horizontal="center" vertical="center" wrapText="1"/>
      <protection hidden="1"/>
    </xf>
    <xf numFmtId="0" fontId="51" fillId="2" borderId="6" xfId="0" applyFont="1" applyFill="1" applyBorder="1" applyAlignment="1" applyProtection="1">
      <alignment horizontal="center" vertical="center" wrapText="1"/>
      <protection hidden="1"/>
    </xf>
    <xf numFmtId="0" fontId="53" fillId="2" borderId="22" xfId="0" applyFont="1" applyFill="1" applyBorder="1" applyAlignment="1" applyProtection="1">
      <alignment horizontal="center" vertical="center" wrapText="1"/>
      <protection hidden="1"/>
    </xf>
    <xf numFmtId="0" fontId="53" fillId="2" borderId="2" xfId="0" applyFont="1" applyFill="1" applyBorder="1" applyAlignment="1" applyProtection="1">
      <alignment horizontal="center" vertical="center" wrapText="1"/>
      <protection hidden="1"/>
    </xf>
    <xf numFmtId="0" fontId="53" fillId="2" borderId="104" xfId="0" applyFont="1" applyFill="1" applyBorder="1" applyAlignment="1" applyProtection="1">
      <alignment horizontal="center" vertical="center" wrapText="1"/>
      <protection hidden="1"/>
    </xf>
    <xf numFmtId="0" fontId="53" fillId="2" borderId="6" xfId="0" applyFont="1" applyFill="1" applyBorder="1" applyAlignment="1" applyProtection="1">
      <alignment horizontal="center" vertical="center" wrapText="1"/>
      <protection hidden="1"/>
    </xf>
    <xf numFmtId="0" fontId="13" fillId="2" borderId="75" xfId="0" applyFont="1" applyFill="1" applyBorder="1" applyAlignment="1" applyProtection="1">
      <alignment horizontal="center" vertical="center" wrapText="1"/>
      <protection hidden="1"/>
    </xf>
    <xf numFmtId="0" fontId="13" fillId="2" borderId="54" xfId="0" applyFont="1" applyFill="1" applyBorder="1" applyAlignment="1" applyProtection="1">
      <alignment horizontal="center" vertical="center" wrapText="1"/>
      <protection hidden="1"/>
    </xf>
    <xf numFmtId="0" fontId="13" fillId="2" borderId="108" xfId="0" applyFont="1" applyFill="1" applyBorder="1" applyAlignment="1" applyProtection="1">
      <alignment horizontal="center" vertical="center" wrapText="1"/>
      <protection hidden="1"/>
    </xf>
    <xf numFmtId="0" fontId="13" fillId="2" borderId="109" xfId="0" applyFont="1" applyFill="1" applyBorder="1" applyAlignment="1" applyProtection="1">
      <alignment horizontal="center" vertical="center" wrapText="1"/>
      <protection hidden="1"/>
    </xf>
    <xf numFmtId="0" fontId="13" fillId="2" borderId="38" xfId="0" applyFont="1" applyFill="1" applyBorder="1" applyAlignment="1" applyProtection="1">
      <alignment horizontal="center" vertical="center" wrapText="1"/>
      <protection hidden="1"/>
    </xf>
    <xf numFmtId="0" fontId="13" fillId="2" borderId="37" xfId="0" applyFont="1" applyFill="1" applyBorder="1" applyAlignment="1" applyProtection="1">
      <alignment horizontal="center" vertical="center" wrapText="1"/>
      <protection hidden="1"/>
    </xf>
    <xf numFmtId="0" fontId="13" fillId="2" borderId="110" xfId="0" applyFont="1" applyFill="1" applyBorder="1" applyAlignment="1" applyProtection="1">
      <alignment horizontal="center" vertical="center" wrapText="1"/>
      <protection hidden="1"/>
    </xf>
    <xf numFmtId="0" fontId="13" fillId="2" borderId="94" xfId="0" applyFont="1" applyFill="1" applyBorder="1" applyAlignment="1" applyProtection="1">
      <alignment horizontal="center" vertical="center" wrapText="1"/>
      <protection hidden="1"/>
    </xf>
    <xf numFmtId="0" fontId="13" fillId="2" borderId="61" xfId="0" applyFont="1" applyFill="1" applyBorder="1" applyAlignment="1" applyProtection="1">
      <alignment horizontal="center" vertical="center" wrapText="1"/>
      <protection hidden="1"/>
    </xf>
    <xf numFmtId="49" fontId="13" fillId="2" borderId="46" xfId="0" applyNumberFormat="1" applyFont="1" applyFill="1" applyBorder="1" applyAlignment="1" applyProtection="1">
      <alignment horizontal="center" vertical="center" wrapText="1"/>
      <protection hidden="1"/>
    </xf>
    <xf numFmtId="49" fontId="13" fillId="2" borderId="92" xfId="0" applyNumberFormat="1" applyFont="1" applyFill="1" applyBorder="1" applyAlignment="1" applyProtection="1">
      <alignment horizontal="center" vertical="center" wrapText="1"/>
      <protection hidden="1"/>
    </xf>
    <xf numFmtId="49" fontId="13" fillId="2" borderId="34" xfId="0" applyNumberFormat="1" applyFont="1" applyFill="1" applyBorder="1" applyAlignment="1" applyProtection="1">
      <alignment horizontal="center" vertical="center" wrapText="1"/>
      <protection hidden="1"/>
    </xf>
    <xf numFmtId="49" fontId="13" fillId="7" borderId="46" xfId="0" applyNumberFormat="1" applyFont="1" applyFill="1" applyBorder="1" applyAlignment="1" applyProtection="1">
      <alignment horizontal="center" vertical="center" wrapText="1"/>
      <protection hidden="1"/>
    </xf>
    <xf numFmtId="49" fontId="13" fillId="7" borderId="92" xfId="0" applyNumberFormat="1" applyFont="1" applyFill="1" applyBorder="1" applyAlignment="1" applyProtection="1">
      <alignment horizontal="center" vertical="center" wrapText="1"/>
      <protection hidden="1"/>
    </xf>
    <xf numFmtId="49" fontId="13" fillId="7" borderId="34" xfId="0" applyNumberFormat="1" applyFont="1" applyFill="1" applyBorder="1" applyAlignment="1" applyProtection="1">
      <alignment horizontal="center" vertical="center" wrapText="1"/>
      <protection hidden="1"/>
    </xf>
    <xf numFmtId="186" fontId="76" fillId="2" borderId="122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123" xfId="0" applyNumberFormat="1" applyFont="1" applyFill="1" applyBorder="1" applyAlignment="1" applyProtection="1">
      <alignment horizontal="right" vertical="center" shrinkToFit="1"/>
      <protection hidden="1"/>
    </xf>
    <xf numFmtId="0" fontId="56" fillId="2" borderId="71" xfId="0" applyFont="1" applyFill="1" applyBorder="1" applyAlignment="1" applyProtection="1">
      <alignment horizontal="center" vertical="center" shrinkToFit="1"/>
      <protection hidden="1"/>
    </xf>
    <xf numFmtId="0" fontId="56" fillId="2" borderId="72" xfId="0" applyFont="1" applyFill="1" applyBorder="1" applyAlignment="1" applyProtection="1">
      <alignment horizontal="center" vertical="center" shrinkToFit="1"/>
      <protection hidden="1"/>
    </xf>
    <xf numFmtId="186" fontId="76" fillId="2" borderId="26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132" xfId="0" applyNumberFormat="1" applyFont="1" applyFill="1" applyBorder="1" applyAlignment="1" applyProtection="1">
      <alignment horizontal="right" vertical="center" shrinkToFit="1"/>
      <protection hidden="1"/>
    </xf>
    <xf numFmtId="49" fontId="13" fillId="2" borderId="105" xfId="0" applyNumberFormat="1" applyFont="1" applyFill="1" applyBorder="1" applyAlignment="1" applyProtection="1">
      <alignment horizontal="center" vertical="center" wrapText="1"/>
      <protection hidden="1"/>
    </xf>
    <xf numFmtId="49" fontId="13" fillId="2" borderId="106" xfId="0" applyNumberFormat="1" applyFont="1" applyFill="1" applyBorder="1" applyAlignment="1" applyProtection="1">
      <alignment horizontal="center" vertical="center" wrapText="1"/>
      <protection hidden="1"/>
    </xf>
    <xf numFmtId="49" fontId="26" fillId="2" borderId="75" xfId="0" applyNumberFormat="1" applyFont="1" applyFill="1" applyBorder="1" applyAlignment="1" applyProtection="1">
      <alignment horizontal="center" vertical="center"/>
      <protection hidden="1"/>
    </xf>
    <xf numFmtId="49" fontId="26" fillId="2" borderId="107" xfId="0" applyNumberFormat="1" applyFont="1" applyFill="1" applyBorder="1" applyAlignment="1" applyProtection="1">
      <alignment horizontal="center" vertical="center"/>
      <protection hidden="1"/>
    </xf>
    <xf numFmtId="49" fontId="26" fillId="2" borderId="20" xfId="0" applyNumberFormat="1" applyFont="1" applyFill="1" applyBorder="1" applyAlignment="1" applyProtection="1">
      <alignment horizontal="center" vertical="center"/>
      <protection hidden="1"/>
    </xf>
    <xf numFmtId="49" fontId="26" fillId="2" borderId="74" xfId="0" applyNumberFormat="1" applyFont="1" applyFill="1" applyBorder="1" applyAlignment="1" applyProtection="1">
      <alignment horizontal="center" vertical="center"/>
      <protection hidden="1"/>
    </xf>
    <xf numFmtId="184" fontId="76" fillId="2" borderId="23" xfId="0" applyNumberFormat="1" applyFont="1" applyFill="1" applyBorder="1" applyAlignment="1" applyProtection="1">
      <alignment horizontal="right" vertical="center" shrinkToFit="1"/>
      <protection hidden="1"/>
    </xf>
    <xf numFmtId="184" fontId="76" fillId="2" borderId="43" xfId="0" applyNumberFormat="1" applyFont="1" applyFill="1" applyBorder="1" applyAlignment="1" applyProtection="1">
      <alignment horizontal="right" vertical="center" shrinkToFit="1"/>
      <protection hidden="1"/>
    </xf>
    <xf numFmtId="49" fontId="10" fillId="4" borderId="115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116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102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108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117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74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111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76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12" fillId="2" borderId="118" xfId="0" applyFont="1" applyFill="1" applyBorder="1" applyAlignment="1" applyProtection="1">
      <alignment horizontal="center" vertical="center" shrinkToFit="1"/>
      <protection hidden="1"/>
    </xf>
    <xf numFmtId="0" fontId="12" fillId="2" borderId="119" xfId="0" applyFont="1" applyFill="1" applyBorder="1" applyAlignment="1" applyProtection="1">
      <alignment horizontal="center" vertical="center" shrinkToFit="1"/>
      <protection hidden="1"/>
    </xf>
    <xf numFmtId="0" fontId="12" fillId="2" borderId="35" xfId="0" applyFont="1" applyFill="1" applyBorder="1" applyAlignment="1" applyProtection="1">
      <alignment horizontal="center" vertical="center" shrinkToFit="1"/>
      <protection hidden="1"/>
    </xf>
    <xf numFmtId="0" fontId="12" fillId="2" borderId="34" xfId="0" applyFont="1" applyFill="1" applyBorder="1" applyAlignment="1" applyProtection="1">
      <alignment horizontal="center" vertical="center" shrinkToFit="1"/>
      <protection hidden="1"/>
    </xf>
    <xf numFmtId="0" fontId="36" fillId="2" borderId="75" xfId="0" applyFont="1" applyFill="1" applyBorder="1" applyAlignment="1" applyProtection="1">
      <alignment horizontal="center" vertical="center" shrinkToFit="1"/>
      <protection hidden="1"/>
    </xf>
    <xf numFmtId="0" fontId="36" fillId="2" borderId="54" xfId="0" applyFont="1" applyFill="1" applyBorder="1" applyAlignment="1" applyProtection="1">
      <alignment horizontal="center" vertical="center" shrinkToFit="1"/>
      <protection hidden="1"/>
    </xf>
    <xf numFmtId="0" fontId="36" fillId="2" borderId="107" xfId="0" applyFont="1" applyFill="1" applyBorder="1" applyAlignment="1" applyProtection="1">
      <alignment horizontal="center" vertical="center" shrinkToFit="1"/>
      <protection hidden="1"/>
    </xf>
    <xf numFmtId="49" fontId="13" fillId="2" borderId="121" xfId="0" applyNumberFormat="1" applyFont="1" applyFill="1" applyBorder="1" applyAlignment="1" applyProtection="1">
      <alignment horizontal="center" vertical="center" wrapText="1"/>
      <protection hidden="1"/>
    </xf>
    <xf numFmtId="187" fontId="76" fillId="2" borderId="23" xfId="0" applyNumberFormat="1" applyFont="1" applyFill="1" applyBorder="1" applyAlignment="1" applyProtection="1">
      <alignment horizontal="right" vertical="center" shrinkToFit="1"/>
      <protection hidden="1"/>
    </xf>
    <xf numFmtId="187" fontId="76" fillId="2" borderId="43" xfId="0" applyNumberFormat="1" applyFont="1" applyFill="1" applyBorder="1" applyAlignment="1" applyProtection="1">
      <alignment horizontal="right" vertical="center" shrinkToFit="1"/>
      <protection hidden="1"/>
    </xf>
    <xf numFmtId="184" fontId="76" fillId="2" borderId="18" xfId="0" applyNumberFormat="1" applyFont="1" applyFill="1" applyBorder="1" applyAlignment="1" applyProtection="1">
      <alignment horizontal="right" vertical="center" shrinkToFit="1"/>
      <protection hidden="1"/>
    </xf>
    <xf numFmtId="184" fontId="76" fillId="2" borderId="76" xfId="0" applyNumberFormat="1" applyFont="1" applyFill="1" applyBorder="1" applyAlignment="1" applyProtection="1">
      <alignment horizontal="right" vertical="center" shrinkToFit="1"/>
      <protection hidden="1"/>
    </xf>
    <xf numFmtId="187" fontId="76" fillId="2" borderId="18" xfId="0" applyNumberFormat="1" applyFont="1" applyFill="1" applyBorder="1" applyAlignment="1" applyProtection="1">
      <alignment horizontal="right" vertical="center" shrinkToFit="1"/>
      <protection hidden="1"/>
    </xf>
    <xf numFmtId="187" fontId="76" fillId="2" borderId="76" xfId="0" applyNumberFormat="1" applyFont="1" applyFill="1" applyBorder="1" applyAlignment="1" applyProtection="1">
      <alignment horizontal="right" vertical="center" shrinkToFit="1"/>
      <protection hidden="1"/>
    </xf>
    <xf numFmtId="0" fontId="4" fillId="2" borderId="0" xfId="0" applyFont="1" applyFill="1" applyAlignment="1" applyProtection="1">
      <alignment horizontal="center" vertical="center" textRotation="180"/>
      <protection hidden="1"/>
    </xf>
    <xf numFmtId="49" fontId="10" fillId="4" borderId="111" xfId="0" applyNumberFormat="1" applyFont="1" applyFill="1" applyBorder="1" applyAlignment="1" applyProtection="1">
      <alignment horizontal="center" vertical="center" wrapText="1"/>
      <protection hidden="1"/>
    </xf>
    <xf numFmtId="49" fontId="10" fillId="4" borderId="76" xfId="0" applyNumberFormat="1" applyFont="1" applyFill="1" applyBorder="1" applyAlignment="1" applyProtection="1">
      <alignment horizontal="center" vertical="center"/>
      <protection hidden="1"/>
    </xf>
    <xf numFmtId="49" fontId="10" fillId="4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112" xfId="0" applyFont="1" applyFill="1" applyBorder="1" applyAlignment="1" applyProtection="1">
      <alignment horizontal="center" vertical="center" shrinkToFit="1"/>
      <protection hidden="1"/>
    </xf>
    <xf numFmtId="0" fontId="10" fillId="2" borderId="113" xfId="0" applyFont="1" applyFill="1" applyBorder="1" applyAlignment="1" applyProtection="1">
      <alignment horizontal="center" vertical="center" shrinkToFit="1"/>
      <protection hidden="1"/>
    </xf>
    <xf numFmtId="0" fontId="10" fillId="2" borderId="114" xfId="0" applyFont="1" applyFill="1" applyBorder="1" applyAlignment="1" applyProtection="1">
      <alignment horizontal="center" vertical="center" shrinkToFit="1"/>
      <protection hidden="1"/>
    </xf>
    <xf numFmtId="0" fontId="13" fillId="2" borderId="56" xfId="0" applyFont="1" applyFill="1" applyBorder="1" applyAlignment="1" applyProtection="1">
      <alignment horizontal="center" vertical="center" wrapText="1"/>
      <protection hidden="1"/>
    </xf>
    <xf numFmtId="0" fontId="13" fillId="2" borderId="107" xfId="0" applyFont="1" applyFill="1" applyBorder="1" applyAlignment="1" applyProtection="1">
      <alignment horizontal="center" vertical="center" wrapText="1"/>
      <protection hidden="1"/>
    </xf>
    <xf numFmtId="0" fontId="13" fillId="2" borderId="88" xfId="0" applyFont="1" applyFill="1" applyBorder="1" applyAlignment="1" applyProtection="1">
      <alignment horizontal="center" vertical="center" wrapText="1"/>
      <protection hidden="1"/>
    </xf>
    <xf numFmtId="49" fontId="10" fillId="4" borderId="101" xfId="0" applyNumberFormat="1" applyFont="1" applyFill="1" applyBorder="1" applyAlignment="1" applyProtection="1">
      <alignment horizontal="center" vertical="center" shrinkToFit="1"/>
      <protection locked="0"/>
    </xf>
    <xf numFmtId="49" fontId="10" fillId="4" borderId="120" xfId="0" applyNumberFormat="1" applyFont="1" applyFill="1" applyBorder="1" applyAlignment="1" applyProtection="1">
      <alignment horizontal="center" vertical="center" shrinkToFit="1"/>
      <protection locked="0"/>
    </xf>
    <xf numFmtId="0" fontId="11" fillId="2" borderId="124" xfId="0" applyFont="1" applyFill="1" applyBorder="1" applyAlignment="1" applyProtection="1">
      <alignment horizontal="right" vertical="center" shrinkToFit="1"/>
      <protection hidden="1"/>
    </xf>
    <xf numFmtId="0" fontId="11" fillId="2" borderId="125" xfId="0" applyFont="1" applyFill="1" applyBorder="1" applyAlignment="1" applyProtection="1">
      <alignment horizontal="right" vertical="center" shrinkToFit="1"/>
      <protection hidden="1"/>
    </xf>
    <xf numFmtId="49" fontId="10" fillId="4" borderId="126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127" xfId="0" applyNumberFormat="1" applyFont="1" applyFill="1" applyBorder="1" applyAlignment="1" applyProtection="1">
      <alignment horizontal="center" vertical="center" shrinkToFit="1"/>
      <protection hidden="1"/>
    </xf>
    <xf numFmtId="49" fontId="10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10" fillId="2" borderId="128" xfId="0" applyFont="1" applyFill="1" applyBorder="1" applyAlignment="1" applyProtection="1">
      <alignment horizontal="center" vertical="center" shrinkToFit="1"/>
      <protection hidden="1"/>
    </xf>
    <xf numFmtId="0" fontId="10" fillId="2" borderId="117" xfId="0" applyFont="1" applyFill="1" applyBorder="1" applyAlignment="1" applyProtection="1">
      <alignment horizontal="center" vertical="center" shrinkToFit="1"/>
      <protection hidden="1"/>
    </xf>
    <xf numFmtId="186" fontId="76" fillId="2" borderId="25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60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129" xfId="0" applyNumberFormat="1" applyFont="1" applyFill="1" applyBorder="1" applyAlignment="1" applyProtection="1">
      <alignment horizontal="right" vertical="center" shrinkToFit="1"/>
      <protection hidden="1"/>
    </xf>
    <xf numFmtId="186" fontId="76" fillId="2" borderId="127" xfId="0" applyNumberFormat="1" applyFont="1" applyFill="1" applyBorder="1" applyAlignment="1" applyProtection="1">
      <alignment horizontal="right" vertical="center" shrinkToFit="1"/>
      <protection hidden="1"/>
    </xf>
    <xf numFmtId="0" fontId="10" fillId="2" borderId="129" xfId="0" applyFont="1" applyFill="1" applyBorder="1" applyAlignment="1" applyProtection="1">
      <alignment horizontal="center" vertical="center" shrinkToFit="1"/>
      <protection hidden="1"/>
    </xf>
    <xf numFmtId="0" fontId="10" fillId="2" borderId="81" xfId="0" applyFont="1" applyFill="1" applyBorder="1" applyAlignment="1" applyProtection="1">
      <alignment horizontal="center" vertical="center" shrinkToFit="1"/>
      <protection hidden="1"/>
    </xf>
    <xf numFmtId="49" fontId="11" fillId="2" borderId="120" xfId="0" applyNumberFormat="1" applyFont="1" applyFill="1" applyBorder="1" applyAlignment="1" applyProtection="1">
      <alignment horizontal="right" vertical="center" shrinkToFit="1"/>
      <protection hidden="1"/>
    </xf>
    <xf numFmtId="49" fontId="11" fillId="2" borderId="125" xfId="0" applyNumberFormat="1" applyFont="1" applyFill="1" applyBorder="1" applyAlignment="1" applyProtection="1">
      <alignment horizontal="right" vertical="center" shrinkToFit="1"/>
      <protection hidden="1"/>
    </xf>
    <xf numFmtId="0" fontId="13" fillId="2" borderId="91" xfId="0" applyFont="1" applyFill="1" applyBorder="1" applyAlignment="1" applyProtection="1">
      <alignment horizontal="center" vertical="center" wrapText="1"/>
      <protection hidden="1"/>
    </xf>
    <xf numFmtId="49" fontId="10" fillId="2" borderId="1" xfId="0" applyNumberFormat="1" applyFont="1" applyFill="1" applyBorder="1" applyAlignment="1" applyProtection="1">
      <alignment horizontal="center" vertical="center" shrinkToFit="1"/>
      <protection hidden="1"/>
    </xf>
    <xf numFmtId="49" fontId="10" fillId="2" borderId="116" xfId="0" applyNumberFormat="1" applyFont="1" applyFill="1" applyBorder="1" applyAlignment="1" applyProtection="1">
      <alignment horizontal="center" vertical="center" shrinkToFit="1"/>
      <protection hidden="1"/>
    </xf>
    <xf numFmtId="49" fontId="10" fillId="2" borderId="3" xfId="0" applyNumberFormat="1" applyFont="1" applyFill="1" applyBorder="1" applyAlignment="1" applyProtection="1">
      <alignment horizontal="center" vertical="center" shrinkToFit="1"/>
      <protection hidden="1"/>
    </xf>
    <xf numFmtId="49" fontId="10" fillId="2" borderId="108" xfId="0" applyNumberFormat="1" applyFont="1" applyFill="1" applyBorder="1" applyAlignment="1" applyProtection="1">
      <alignment horizontal="center" vertical="center" shrinkToFit="1"/>
      <protection hidden="1"/>
    </xf>
    <xf numFmtId="49" fontId="10" fillId="2" borderId="130" xfId="0" applyNumberFormat="1" applyFont="1" applyFill="1" applyBorder="1" applyAlignment="1" applyProtection="1">
      <alignment horizontal="center" vertical="center" shrinkToFit="1"/>
      <protection hidden="1"/>
    </xf>
    <xf numFmtId="49" fontId="10" fillId="2" borderId="74" xfId="0" applyNumberFormat="1" applyFont="1" applyFill="1" applyBorder="1" applyAlignment="1" applyProtection="1">
      <alignment horizontal="center" vertical="center" shrinkToFit="1"/>
      <protection hidden="1"/>
    </xf>
    <xf numFmtId="0" fontId="41" fillId="2" borderId="90" xfId="0" applyNumberFormat="1" applyFont="1" applyFill="1" applyBorder="1" applyAlignment="1" applyProtection="1">
      <alignment horizontal="center" vertical="center" shrinkToFit="1"/>
      <protection hidden="1"/>
    </xf>
    <xf numFmtId="0" fontId="4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41" fillId="2" borderId="131" xfId="0" applyNumberFormat="1" applyFont="1" applyFill="1" applyBorder="1" applyAlignment="1" applyProtection="1">
      <alignment horizontal="center" vertical="center" shrinkToFit="1"/>
      <protection hidden="1"/>
    </xf>
    <xf numFmtId="0" fontId="41" fillId="2" borderId="106" xfId="0" applyNumberFormat="1" applyFont="1" applyFill="1" applyBorder="1" applyAlignment="1" applyProtection="1">
      <alignment horizontal="center" vertical="center" shrinkToFit="1"/>
      <protection hidden="1"/>
    </xf>
    <xf numFmtId="22" fontId="18" fillId="2" borderId="0" xfId="0" applyNumberFormat="1" applyFont="1" applyFill="1" applyAlignment="1" applyProtection="1">
      <alignment horizontal="center" shrinkToFit="1"/>
      <protection locked="0"/>
    </xf>
    <xf numFmtId="22" fontId="97" fillId="2" borderId="0" xfId="0" applyNumberFormat="1" applyFont="1" applyFill="1" applyAlignment="1" applyProtection="1">
      <alignment horizontal="center" shrinkToFit="1"/>
      <protection locked="0"/>
    </xf>
    <xf numFmtId="0" fontId="10" fillId="2" borderId="26" xfId="0" applyFont="1" applyFill="1" applyBorder="1" applyAlignment="1" applyProtection="1">
      <alignment horizontal="center" vertical="center" shrinkToFit="1"/>
      <protection hidden="1"/>
    </xf>
    <xf numFmtId="0" fontId="10" fillId="2" borderId="19" xfId="0" applyFont="1" applyFill="1" applyBorder="1" applyAlignment="1" applyProtection="1">
      <alignment horizontal="center" vertical="center" shrinkToFit="1"/>
      <protection hidden="1"/>
    </xf>
    <xf numFmtId="0" fontId="10" fillId="2" borderId="133" xfId="0" applyFont="1" applyFill="1" applyBorder="1" applyAlignment="1" applyProtection="1">
      <alignment horizontal="center" vertical="center" shrinkToFit="1"/>
      <protection hidden="1"/>
    </xf>
    <xf numFmtId="0" fontId="10" fillId="2" borderId="134" xfId="0" applyFont="1" applyFill="1" applyBorder="1" applyAlignment="1" applyProtection="1">
      <alignment horizontal="center" vertical="center" shrinkToFit="1"/>
      <protection hidden="1"/>
    </xf>
    <xf numFmtId="0" fontId="56" fillId="2" borderId="105" xfId="0" applyFont="1" applyFill="1" applyBorder="1" applyAlignment="1" applyProtection="1">
      <alignment horizontal="center" vertical="center" shrinkToFit="1"/>
      <protection hidden="1"/>
    </xf>
    <xf numFmtId="0" fontId="56" fillId="2" borderId="106" xfId="0" applyFont="1" applyFill="1" applyBorder="1" applyAlignment="1" applyProtection="1">
      <alignment horizontal="center" vertical="center" shrinkToFit="1"/>
      <protection hidden="1"/>
    </xf>
    <xf numFmtId="49" fontId="13" fillId="2" borderId="131" xfId="0" applyNumberFormat="1" applyFont="1" applyFill="1" applyBorder="1" applyAlignment="1" applyProtection="1">
      <alignment horizontal="center" vertical="center" wrapText="1"/>
      <protection hidden="1"/>
    </xf>
    <xf numFmtId="0" fontId="36" fillId="2" borderId="56" xfId="0" applyFont="1" applyFill="1" applyBorder="1" applyAlignment="1" applyProtection="1">
      <alignment horizontal="center" vertical="center"/>
      <protection hidden="1"/>
    </xf>
    <xf numFmtId="0" fontId="36" fillId="2" borderId="107" xfId="0" applyFont="1" applyFill="1" applyBorder="1" applyAlignment="1" applyProtection="1">
      <alignment horizontal="center" vertical="center"/>
      <protection hidden="1"/>
    </xf>
    <xf numFmtId="49" fontId="13" fillId="2" borderId="90" xfId="0" applyNumberFormat="1" applyFont="1" applyFill="1" applyBorder="1" applyAlignment="1" applyProtection="1">
      <alignment horizontal="center" vertical="center" wrapText="1"/>
      <protection hidden="1"/>
    </xf>
    <xf numFmtId="49" fontId="13" fillId="7" borderId="90" xfId="0" applyNumberFormat="1" applyFont="1" applyFill="1" applyBorder="1" applyAlignment="1" applyProtection="1">
      <alignment horizontal="center" vertical="center" wrapText="1"/>
      <protection hidden="1"/>
    </xf>
    <xf numFmtId="49" fontId="9" fillId="2" borderId="1" xfId="0" applyNumberFormat="1" applyFont="1" applyFill="1" applyBorder="1" applyAlignment="1" applyProtection="1">
      <alignment horizontal="center"/>
      <protection hidden="1"/>
    </xf>
    <xf numFmtId="49" fontId="9" fillId="2" borderId="97" xfId="0" applyNumberFormat="1" applyFont="1" applyFill="1" applyBorder="1" applyAlignment="1" applyProtection="1">
      <alignment horizontal="center"/>
      <protection hidden="1"/>
    </xf>
    <xf numFmtId="49" fontId="10" fillId="4" borderId="14" xfId="0" applyNumberFormat="1" applyFont="1" applyFill="1" applyBorder="1" applyAlignment="1" applyProtection="1">
      <alignment horizontal="center" vertical="center" shrinkToFit="1"/>
      <protection locked="0"/>
    </xf>
    <xf numFmtId="49" fontId="10" fillId="4" borderId="125" xfId="0" applyNumberFormat="1" applyFont="1" applyFill="1" applyBorder="1" applyAlignment="1" applyProtection="1">
      <alignment horizontal="center" vertical="center" shrinkToFit="1"/>
      <protection locked="0"/>
    </xf>
    <xf numFmtId="0" fontId="4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41" fillId="2" borderId="107" xfId="0" applyNumberFormat="1" applyFont="1" applyFill="1" applyBorder="1" applyAlignment="1" applyProtection="1">
      <alignment horizontal="center" vertical="center" shrinkToFit="1"/>
      <protection hidden="1"/>
    </xf>
    <xf numFmtId="0" fontId="102" fillId="2" borderId="53" xfId="0" applyFont="1" applyFill="1" applyBorder="1" applyAlignment="1" applyProtection="1">
      <alignment horizontal="center" vertical="center" shrinkToFit="1"/>
      <protection hidden="1"/>
    </xf>
    <xf numFmtId="0" fontId="102" fillId="2" borderId="135" xfId="0" applyFont="1" applyFill="1" applyBorder="1" applyAlignment="1" applyProtection="1">
      <alignment horizontal="center" vertical="center" shrinkToFit="1"/>
      <protection hidden="1"/>
    </xf>
    <xf numFmtId="0" fontId="98" fillId="2" borderId="1" xfId="0" applyFont="1" applyFill="1" applyBorder="1" applyAlignment="1" applyProtection="1">
      <alignment horizontal="center" vertical="center"/>
      <protection locked="0"/>
    </xf>
    <xf numFmtId="0" fontId="98" fillId="2" borderId="130" xfId="0" applyFont="1" applyFill="1" applyBorder="1" applyAlignment="1" applyProtection="1">
      <alignment horizontal="center" vertical="center"/>
      <protection locked="0"/>
    </xf>
    <xf numFmtId="0" fontId="99" fillId="2" borderId="51" xfId="0" applyFont="1" applyFill="1" applyBorder="1" applyAlignment="1" applyProtection="1">
      <alignment vertical="center"/>
      <protection locked="0"/>
    </xf>
    <xf numFmtId="0" fontId="98" fillId="2" borderId="97" xfId="0" applyFont="1" applyFill="1" applyBorder="1" applyAlignment="1" applyProtection="1">
      <alignment vertical="center"/>
      <protection locked="0"/>
    </xf>
    <xf numFmtId="0" fontId="98" fillId="2" borderId="136" xfId="0" applyFont="1" applyFill="1" applyBorder="1" applyAlignment="1" applyProtection="1">
      <alignment vertical="center"/>
      <protection locked="0"/>
    </xf>
    <xf numFmtId="0" fontId="98" fillId="2" borderId="20" xfId="0" applyFont="1" applyFill="1" applyBorder="1" applyAlignment="1" applyProtection="1">
      <alignment vertical="center"/>
      <protection locked="0"/>
    </xf>
    <xf numFmtId="0" fontId="98" fillId="2" borderId="99" xfId="0" applyFont="1" applyFill="1" applyBorder="1" applyAlignment="1" applyProtection="1">
      <alignment vertical="center"/>
      <protection locked="0"/>
    </xf>
    <xf numFmtId="0" fontId="98" fillId="2" borderId="137" xfId="0" applyFont="1" applyFill="1" applyBorder="1" applyAlignment="1" applyProtection="1">
      <alignment vertical="center"/>
      <protection locked="0"/>
    </xf>
    <xf numFmtId="0" fontId="100" fillId="2" borderId="49" xfId="0" applyFont="1" applyFill="1" applyBorder="1" applyAlignment="1" applyProtection="1">
      <alignment vertical="center"/>
      <protection locked="0"/>
    </xf>
    <xf numFmtId="0" fontId="100" fillId="2" borderId="138" xfId="0" applyFont="1" applyFill="1" applyBorder="1" applyAlignment="1" applyProtection="1">
      <alignment vertical="center"/>
      <protection locked="0"/>
    </xf>
    <xf numFmtId="0" fontId="100" fillId="2" borderId="139" xfId="0" applyFont="1" applyFill="1" applyBorder="1" applyAlignment="1" applyProtection="1">
      <alignment vertical="center"/>
      <protection locked="0"/>
    </xf>
    <xf numFmtId="0" fontId="101" fillId="2" borderId="49" xfId="0" applyFont="1" applyFill="1" applyBorder="1" applyAlignment="1" applyProtection="1">
      <alignment horizontal="center" vertical="center"/>
      <protection locked="0"/>
    </xf>
    <xf numFmtId="0" fontId="101" fillId="2" borderId="140" xfId="0" applyFont="1" applyFill="1" applyBorder="1" applyAlignment="1" applyProtection="1">
      <alignment horizontal="center" vertical="center"/>
      <protection locked="0"/>
    </xf>
    <xf numFmtId="0" fontId="36" fillId="2" borderId="75" xfId="0" applyFont="1" applyFill="1" applyBorder="1" applyAlignment="1" applyProtection="1">
      <alignment horizontal="center" vertical="center"/>
      <protection hidden="1"/>
    </xf>
    <xf numFmtId="0" fontId="36" fillId="2" borderId="54" xfId="0" applyFont="1" applyFill="1" applyBorder="1" applyAlignment="1" applyProtection="1">
      <alignment horizontal="center" vertical="center"/>
      <protection hidden="1"/>
    </xf>
    <xf numFmtId="0" fontId="100" fillId="2" borderId="51" xfId="0" applyFont="1" applyFill="1" applyBorder="1" applyAlignment="1" applyProtection="1">
      <alignment vertical="center"/>
      <protection locked="0"/>
    </xf>
    <xf numFmtId="0" fontId="10" fillId="8" borderId="141" xfId="1" applyNumberFormat="1" applyFont="1" applyFill="1" applyBorder="1" applyAlignment="1" applyProtection="1">
      <alignment horizontal="center" vertical="center" shrinkToFit="1"/>
      <protection hidden="1"/>
    </xf>
    <xf numFmtId="0" fontId="10" fillId="8" borderId="41" xfId="1" applyNumberFormat="1" applyFont="1" applyFill="1" applyBorder="1" applyAlignment="1" applyProtection="1">
      <alignment horizontal="center" vertical="center" shrinkToFit="1"/>
      <protection hidden="1"/>
    </xf>
    <xf numFmtId="0" fontId="10" fillId="8" borderId="32" xfId="1" applyNumberFormat="1" applyFont="1" applyFill="1" applyBorder="1" applyAlignment="1" applyProtection="1">
      <alignment horizontal="center" vertical="center" shrinkToFit="1"/>
      <protection hidden="1"/>
    </xf>
    <xf numFmtId="0" fontId="10" fillId="8" borderId="142" xfId="1" applyNumberFormat="1" applyFont="1" applyFill="1" applyBorder="1" applyAlignment="1" applyProtection="1">
      <alignment horizontal="center" vertical="center" shrinkToFit="1"/>
      <protection hidden="1"/>
    </xf>
    <xf numFmtId="0" fontId="26" fillId="2" borderId="143" xfId="1" applyNumberFormat="1" applyFont="1" applyFill="1" applyBorder="1" applyAlignment="1" applyProtection="1">
      <alignment horizontal="center" vertical="center"/>
      <protection hidden="1"/>
    </xf>
    <xf numFmtId="0" fontId="26" fillId="2" borderId="96" xfId="1" applyNumberFormat="1" applyFont="1" applyFill="1" applyBorder="1" applyAlignment="1" applyProtection="1">
      <alignment horizontal="center" vertical="center"/>
      <protection hidden="1"/>
    </xf>
    <xf numFmtId="189" fontId="11" fillId="2" borderId="144" xfId="1" applyNumberFormat="1" applyFont="1" applyFill="1" applyBorder="1" applyAlignment="1" applyProtection="1">
      <alignment horizontal="right" vertical="center" shrinkToFit="1"/>
      <protection hidden="1"/>
    </xf>
    <xf numFmtId="189" fontId="11" fillId="2" borderId="145" xfId="1" applyNumberFormat="1" applyFont="1" applyFill="1" applyBorder="1" applyAlignment="1" applyProtection="1">
      <alignment horizontal="right" vertical="center" shrinkToFit="1"/>
      <protection hidden="1"/>
    </xf>
    <xf numFmtId="189" fontId="11" fillId="8" borderId="144" xfId="1" applyNumberFormat="1" applyFont="1" applyFill="1" applyBorder="1" applyAlignment="1" applyProtection="1">
      <alignment horizontal="right" vertical="center" shrinkToFit="1"/>
      <protection hidden="1"/>
    </xf>
    <xf numFmtId="178" fontId="11" fillId="8" borderId="46" xfId="1" applyNumberFormat="1" applyFont="1" applyFill="1" applyBorder="1" applyAlignment="1" applyProtection="1">
      <alignment horizontal="right" vertical="center" shrinkToFit="1"/>
      <protection hidden="1"/>
    </xf>
    <xf numFmtId="180" fontId="11" fillId="8" borderId="21" xfId="1" applyNumberFormat="1" applyFont="1" applyFill="1" applyBorder="1" applyAlignment="1" applyProtection="1">
      <alignment horizontal="right" vertical="center" shrinkToFit="1"/>
      <protection hidden="1"/>
    </xf>
    <xf numFmtId="178" fontId="11" fillId="2" borderId="46" xfId="1" applyNumberFormat="1" applyFont="1" applyFill="1" applyBorder="1" applyAlignment="1" applyProtection="1">
      <alignment horizontal="right" vertical="center" shrinkToFit="1"/>
      <protection hidden="1"/>
    </xf>
    <xf numFmtId="178" fontId="11" fillId="2" borderId="110" xfId="1" applyNumberFormat="1" applyFont="1" applyFill="1" applyBorder="1" applyAlignment="1" applyProtection="1">
      <alignment horizontal="right" vertical="center" shrinkToFit="1"/>
      <protection hidden="1"/>
    </xf>
    <xf numFmtId="180" fontId="11" fillId="2" borderId="21" xfId="1" applyNumberFormat="1" applyFont="1" applyFill="1" applyBorder="1" applyAlignment="1" applyProtection="1">
      <alignment horizontal="right" vertical="center" shrinkToFit="1"/>
      <protection hidden="1"/>
    </xf>
    <xf numFmtId="180" fontId="11" fillId="2" borderId="23" xfId="1" applyNumberFormat="1" applyFont="1" applyFill="1" applyBorder="1" applyAlignment="1" applyProtection="1">
      <alignment horizontal="right" vertical="center" shrinkToFit="1"/>
      <protection hidden="1"/>
    </xf>
    <xf numFmtId="189" fontId="11" fillId="2" borderId="93" xfId="1" applyNumberFormat="1" applyFont="1" applyFill="1" applyBorder="1" applyAlignment="1" applyProtection="1">
      <alignment horizontal="right" vertical="center" shrinkToFit="1"/>
      <protection hidden="1"/>
    </xf>
    <xf numFmtId="189" fontId="11" fillId="2" borderId="95" xfId="1" applyNumberFormat="1" applyFont="1" applyFill="1" applyBorder="1" applyAlignment="1" applyProtection="1">
      <alignment horizontal="right" vertical="center" shrinkToFit="1"/>
      <protection hidden="1"/>
    </xf>
    <xf numFmtId="177" fontId="11" fillId="2" borderId="46" xfId="1" applyNumberFormat="1" applyFont="1" applyFill="1" applyBorder="1" applyAlignment="1" applyProtection="1">
      <alignment horizontal="center" vertical="center" shrinkToFit="1"/>
      <protection hidden="1"/>
    </xf>
    <xf numFmtId="177" fontId="11" fillId="2" borderId="110" xfId="1" applyNumberFormat="1" applyFont="1" applyFill="1" applyBorder="1" applyAlignment="1" applyProtection="1">
      <alignment horizontal="center" vertical="center" shrinkToFit="1"/>
      <protection hidden="1"/>
    </xf>
    <xf numFmtId="177" fontId="11" fillId="2" borderId="21" xfId="1" applyNumberFormat="1" applyFont="1" applyFill="1" applyBorder="1" applyAlignment="1" applyProtection="1">
      <alignment horizontal="center" vertical="center" shrinkToFit="1"/>
      <protection hidden="1"/>
    </xf>
    <xf numFmtId="177" fontId="11" fillId="2" borderId="23" xfId="1" applyNumberFormat="1" applyFont="1" applyFill="1" applyBorder="1" applyAlignment="1" applyProtection="1">
      <alignment horizontal="center" vertical="center" shrinkToFit="1"/>
      <protection hidden="1"/>
    </xf>
    <xf numFmtId="177" fontId="11" fillId="8" borderId="46" xfId="1" applyNumberFormat="1" applyFont="1" applyFill="1" applyBorder="1" applyAlignment="1" applyProtection="1">
      <alignment horizontal="center" vertical="center" shrinkToFit="1"/>
      <protection hidden="1"/>
    </xf>
    <xf numFmtId="177" fontId="11" fillId="8" borderId="21" xfId="1" applyNumberFormat="1" applyFont="1" applyFill="1" applyBorder="1" applyAlignment="1" applyProtection="1">
      <alignment horizontal="center" vertical="center" shrinkToFit="1"/>
      <protection hidden="1"/>
    </xf>
    <xf numFmtId="177" fontId="11" fillId="8" borderId="144" xfId="1" applyNumberFormat="1" applyFont="1" applyFill="1" applyBorder="1" applyAlignment="1" applyProtection="1">
      <alignment horizontal="center" vertical="center" shrinkToFit="1"/>
      <protection hidden="1"/>
    </xf>
    <xf numFmtId="189" fontId="11" fillId="8" borderId="93" xfId="1" applyNumberFormat="1" applyFont="1" applyFill="1" applyBorder="1" applyAlignment="1" applyProtection="1">
      <alignment horizontal="right" vertical="center" shrinkToFit="1"/>
      <protection hidden="1"/>
    </xf>
    <xf numFmtId="0" fontId="10" fillId="8" borderId="146" xfId="1" applyNumberFormat="1" applyFont="1" applyFill="1" applyBorder="1" applyAlignment="1" applyProtection="1">
      <alignment horizontal="center" vertical="center" shrinkToFit="1"/>
      <protection hidden="1"/>
    </xf>
    <xf numFmtId="0" fontId="10" fillId="9" borderId="141" xfId="1" applyNumberFormat="1" applyFont="1" applyFill="1" applyBorder="1" applyAlignment="1" applyProtection="1">
      <alignment horizontal="center" vertical="center" shrinkToFit="1"/>
      <protection hidden="1"/>
    </xf>
    <xf numFmtId="0" fontId="10" fillId="9" borderId="41" xfId="1" applyNumberFormat="1" applyFont="1" applyFill="1" applyBorder="1" applyAlignment="1" applyProtection="1">
      <alignment horizontal="center" vertical="center" shrinkToFit="1"/>
      <protection hidden="1"/>
    </xf>
    <xf numFmtId="177" fontId="11" fillId="2" borderId="144" xfId="1" applyNumberFormat="1" applyFont="1" applyFill="1" applyBorder="1" applyAlignment="1" applyProtection="1">
      <alignment horizontal="center" vertical="center" shrinkToFit="1"/>
      <protection hidden="1"/>
    </xf>
    <xf numFmtId="177" fontId="11" fillId="2" borderId="145" xfId="1" applyNumberFormat="1" applyFont="1" applyFill="1" applyBorder="1" applyAlignment="1" applyProtection="1">
      <alignment horizontal="center" vertical="center" shrinkToFit="1"/>
      <protection hidden="1"/>
    </xf>
    <xf numFmtId="189" fontId="11" fillId="9" borderId="93" xfId="1" applyNumberFormat="1" applyFont="1" applyFill="1" applyBorder="1" applyAlignment="1" applyProtection="1">
      <alignment horizontal="right" vertical="center" shrinkToFit="1"/>
      <protection hidden="1"/>
    </xf>
    <xf numFmtId="178" fontId="11" fillId="9" borderId="46" xfId="1" applyNumberFormat="1" applyFont="1" applyFill="1" applyBorder="1" applyAlignment="1" applyProtection="1">
      <alignment horizontal="right" vertical="center" shrinkToFit="1"/>
      <protection hidden="1"/>
    </xf>
    <xf numFmtId="180" fontId="11" fillId="9" borderId="21" xfId="1" applyNumberFormat="1" applyFont="1" applyFill="1" applyBorder="1" applyAlignment="1" applyProtection="1">
      <alignment horizontal="right" vertical="center" shrinkToFit="1"/>
      <protection hidden="1"/>
    </xf>
    <xf numFmtId="189" fontId="11" fillId="9" borderId="144" xfId="1" applyNumberFormat="1" applyFont="1" applyFill="1" applyBorder="1" applyAlignment="1" applyProtection="1">
      <alignment horizontal="right" vertical="center" shrinkToFit="1"/>
      <protection hidden="1"/>
    </xf>
    <xf numFmtId="0" fontId="10" fillId="9" borderId="32" xfId="1" applyNumberFormat="1" applyFont="1" applyFill="1" applyBorder="1" applyAlignment="1" applyProtection="1">
      <alignment horizontal="center" vertical="center" shrinkToFit="1"/>
      <protection hidden="1"/>
    </xf>
    <xf numFmtId="0" fontId="10" fillId="9" borderId="146" xfId="1" applyNumberFormat="1" applyFont="1" applyFill="1" applyBorder="1" applyAlignment="1" applyProtection="1">
      <alignment horizontal="center" vertical="center" shrinkToFit="1"/>
      <protection hidden="1"/>
    </xf>
    <xf numFmtId="177" fontId="11" fillId="9" borderId="46" xfId="1" applyNumberFormat="1" applyFont="1" applyFill="1" applyBorder="1" applyAlignment="1" applyProtection="1">
      <alignment horizontal="center" vertical="center" shrinkToFit="1"/>
      <protection hidden="1"/>
    </xf>
    <xf numFmtId="177" fontId="11" fillId="9" borderId="21" xfId="1" applyNumberFormat="1" applyFont="1" applyFill="1" applyBorder="1" applyAlignment="1" applyProtection="1">
      <alignment horizontal="center" vertical="center" shrinkToFit="1"/>
      <protection hidden="1"/>
    </xf>
    <xf numFmtId="177" fontId="11" fillId="9" borderId="144" xfId="1" applyNumberFormat="1" applyFont="1" applyFill="1" applyBorder="1" applyAlignment="1" applyProtection="1">
      <alignment horizontal="center" vertical="center" shrinkToFit="1"/>
      <protection hidden="1"/>
    </xf>
    <xf numFmtId="178" fontId="11" fillId="9" borderId="148" xfId="1" applyNumberFormat="1" applyFont="1" applyFill="1" applyBorder="1" applyAlignment="1" applyProtection="1">
      <alignment horizontal="right" vertical="center" shrinkToFit="1"/>
      <protection hidden="1"/>
    </xf>
    <xf numFmtId="49" fontId="13" fillId="2" borderId="109" xfId="1" applyNumberFormat="1" applyFont="1" applyFill="1" applyBorder="1" applyAlignment="1" applyProtection="1">
      <alignment horizontal="center" vertical="top" shrinkToFit="1"/>
      <protection hidden="1"/>
    </xf>
    <xf numFmtId="49" fontId="13" fillId="2" borderId="38" xfId="1" applyNumberFormat="1" applyFont="1" applyFill="1" applyBorder="1" applyAlignment="1" applyProtection="1">
      <alignment horizontal="center" vertical="top" shrinkToFit="1"/>
      <protection hidden="1"/>
    </xf>
    <xf numFmtId="49" fontId="13" fillId="2" borderId="149" xfId="1" applyNumberFormat="1" applyFont="1" applyFill="1" applyBorder="1" applyAlignment="1" applyProtection="1">
      <alignment horizontal="center" vertical="top" shrinkToFit="1"/>
      <protection hidden="1"/>
    </xf>
    <xf numFmtId="0" fontId="10" fillId="2" borderId="122" xfId="1" applyNumberFormat="1" applyFont="1" applyFill="1" applyBorder="1" applyAlignment="1" applyProtection="1">
      <alignment horizontal="center" vertical="center" shrinkToFit="1"/>
      <protection hidden="1"/>
    </xf>
    <xf numFmtId="0" fontId="10" fillId="2" borderId="81" xfId="1" applyNumberFormat="1" applyFont="1" applyFill="1" applyBorder="1" applyAlignment="1" applyProtection="1">
      <alignment horizontal="center" vertical="center" shrinkToFit="1"/>
      <protection hidden="1"/>
    </xf>
    <xf numFmtId="0" fontId="10" fillId="2" borderId="150" xfId="1" applyNumberFormat="1" applyFont="1" applyFill="1" applyBorder="1" applyAlignment="1" applyProtection="1">
      <alignment horizontal="center" vertical="top" wrapText="1"/>
      <protection hidden="1"/>
    </xf>
    <xf numFmtId="0" fontId="10" fillId="2" borderId="76" xfId="1" applyNumberFormat="1" applyFont="1" applyFill="1" applyBorder="1" applyAlignment="1" applyProtection="1">
      <alignment horizontal="center" vertical="top" wrapText="1"/>
      <protection hidden="1"/>
    </xf>
    <xf numFmtId="189" fontId="11" fillId="9" borderId="87" xfId="1" applyNumberFormat="1" applyFont="1" applyFill="1" applyBorder="1" applyAlignment="1" applyProtection="1">
      <alignment horizontal="right" vertical="center" shrinkToFit="1"/>
      <protection hidden="1"/>
    </xf>
    <xf numFmtId="180" fontId="11" fillId="9" borderId="147" xfId="1" applyNumberFormat="1" applyFont="1" applyFill="1" applyBorder="1" applyAlignment="1" applyProtection="1">
      <alignment horizontal="right" vertical="center" shrinkToFit="1"/>
      <protection hidden="1"/>
    </xf>
    <xf numFmtId="189" fontId="11" fillId="9" borderId="151" xfId="1" applyNumberFormat="1" applyFont="1" applyFill="1" applyBorder="1" applyAlignment="1" applyProtection="1">
      <alignment horizontal="right" vertical="center" shrinkToFit="1"/>
      <protection hidden="1"/>
    </xf>
    <xf numFmtId="177" fontId="11" fillId="9" borderId="147" xfId="1" applyNumberFormat="1" applyFont="1" applyFill="1" applyBorder="1" applyAlignment="1" applyProtection="1">
      <alignment horizontal="center" vertical="center" shrinkToFit="1"/>
      <protection hidden="1"/>
    </xf>
    <xf numFmtId="0" fontId="88" fillId="2" borderId="0" xfId="1" applyFont="1" applyFill="1" applyAlignment="1" applyProtection="1">
      <alignment horizontal="center" vertical="center" textRotation="180"/>
      <protection hidden="1"/>
    </xf>
    <xf numFmtId="49" fontId="53" fillId="2" borderId="92" xfId="1" applyNumberFormat="1" applyFont="1" applyFill="1" applyBorder="1" applyAlignment="1" applyProtection="1">
      <alignment horizontal="left"/>
      <protection locked="0"/>
    </xf>
    <xf numFmtId="177" fontId="11" fillId="9" borderId="148" xfId="1" applyNumberFormat="1" applyFont="1" applyFill="1" applyBorder="1" applyAlignment="1" applyProtection="1">
      <alignment horizontal="center" vertical="center" shrinkToFit="1"/>
      <protection hidden="1"/>
    </xf>
    <xf numFmtId="49" fontId="10" fillId="2" borderId="22" xfId="1" applyNumberFormat="1" applyFont="1" applyFill="1" applyBorder="1" applyAlignment="1" applyProtection="1">
      <alignment horizontal="center" shrinkToFit="1"/>
      <protection hidden="1"/>
    </xf>
    <xf numFmtId="49" fontId="10" fillId="2" borderId="0" xfId="1" applyNumberFormat="1" applyFont="1" applyFill="1" applyBorder="1" applyAlignment="1" applyProtection="1">
      <alignment horizontal="center" shrinkToFit="1"/>
      <protection hidden="1"/>
    </xf>
    <xf numFmtId="49" fontId="10" fillId="2" borderId="58" xfId="1" applyNumberFormat="1" applyFont="1" applyFill="1" applyBorder="1" applyAlignment="1" applyProtection="1">
      <alignment horizontal="center" shrinkToFit="1"/>
      <protection hidden="1"/>
    </xf>
    <xf numFmtId="49" fontId="10" fillId="2" borderId="2" xfId="1" applyNumberFormat="1" applyFont="1" applyFill="1" applyBorder="1" applyAlignment="1" applyProtection="1">
      <alignment horizontal="center" shrinkToFit="1"/>
      <protection hidden="1"/>
    </xf>
    <xf numFmtId="49" fontId="13" fillId="2" borderId="89" xfId="1" applyNumberFormat="1" applyFont="1" applyFill="1" applyBorder="1" applyAlignment="1" applyProtection="1">
      <alignment horizontal="center" vertical="top" shrinkToFit="1"/>
      <protection hidden="1"/>
    </xf>
    <xf numFmtId="177" fontId="11" fillId="9" borderId="151" xfId="1" applyNumberFormat="1" applyFont="1" applyFill="1" applyBorder="1" applyAlignment="1" applyProtection="1">
      <alignment horizontal="center" vertical="center" shrinkToFit="1"/>
      <protection hidden="1"/>
    </xf>
    <xf numFmtId="0" fontId="10" fillId="2" borderId="25" xfId="1" applyNumberFormat="1" applyFont="1" applyFill="1" applyBorder="1" applyAlignment="1" applyProtection="1">
      <alignment horizontal="center" vertical="center" shrinkToFit="1"/>
      <protection hidden="1"/>
    </xf>
    <xf numFmtId="0" fontId="10" fillId="2" borderId="19" xfId="1" applyNumberFormat="1" applyFont="1" applyFill="1" applyBorder="1" applyAlignment="1" applyProtection="1">
      <alignment horizontal="center" vertical="center" shrinkToFit="1"/>
      <protection hidden="1"/>
    </xf>
    <xf numFmtId="0" fontId="10" fillId="2" borderId="127" xfId="1" applyNumberFormat="1" applyFont="1" applyFill="1" applyBorder="1" applyAlignment="1" applyProtection="1">
      <alignment horizontal="center" vertical="top" wrapText="1"/>
      <protection hidden="1"/>
    </xf>
    <xf numFmtId="176" fontId="52" fillId="4" borderId="101" xfId="0" applyNumberFormat="1" applyFont="1" applyFill="1" applyBorder="1" applyAlignment="1" applyProtection="1">
      <alignment horizontal="center" vertical="center" shrinkToFit="1"/>
      <protection locked="0"/>
    </xf>
    <xf numFmtId="179" fontId="76" fillId="2" borderId="102" xfId="0" applyNumberFormat="1" applyFont="1" applyFill="1" applyBorder="1" applyAlignment="1" applyProtection="1">
      <alignment horizontal="right" vertical="center" shrinkToFit="1"/>
      <protection locked="0"/>
    </xf>
    <xf numFmtId="0" fontId="12" fillId="2" borderId="37" xfId="0" applyNumberFormat="1" applyFont="1" applyFill="1" applyBorder="1" applyAlignment="1" applyProtection="1">
      <alignment horizontal="center" vertical="center"/>
      <protection locked="0"/>
    </xf>
    <xf numFmtId="178" fontId="11" fillId="2" borderId="76" xfId="0" applyNumberFormat="1" applyFont="1" applyFill="1" applyBorder="1" applyAlignment="1" applyProtection="1">
      <alignment horizontal="right" vertical="center" shrinkToFit="1"/>
      <protection locked="0"/>
    </xf>
    <xf numFmtId="49" fontId="12" fillId="2" borderId="76" xfId="0" applyNumberFormat="1" applyFont="1" applyFill="1" applyBorder="1" applyAlignment="1" applyProtection="1">
      <alignment horizontal="center" vertical="center" shrinkToFit="1"/>
      <protection locked="0"/>
    </xf>
    <xf numFmtId="178" fontId="11" fillId="2" borderId="102" xfId="0" applyNumberFormat="1" applyFont="1" applyFill="1" applyBorder="1" applyAlignment="1" applyProtection="1">
      <alignment horizontal="right" vertical="center" shrinkToFit="1"/>
      <protection locked="0"/>
    </xf>
    <xf numFmtId="179" fontId="76" fillId="2" borderId="35" xfId="0" applyNumberFormat="1" applyFont="1" applyFill="1" applyBorder="1" applyAlignment="1" applyProtection="1">
      <alignment horizontal="right" vertical="center" shrinkToFit="1"/>
      <protection locked="0"/>
    </xf>
    <xf numFmtId="178" fontId="11" fillId="2" borderId="21" xfId="0" applyNumberFormat="1" applyFont="1" applyFill="1" applyBorder="1" applyAlignment="1" applyProtection="1">
      <alignment horizontal="right" vertical="center" shrinkToFit="1"/>
      <protection locked="0"/>
    </xf>
    <xf numFmtId="49" fontId="12" fillId="2" borderId="21" xfId="0" applyNumberFormat="1" applyFont="1" applyFill="1" applyBorder="1" applyAlignment="1" applyProtection="1">
      <alignment horizontal="center" vertical="center" shrinkToFit="1"/>
      <protection locked="0"/>
    </xf>
    <xf numFmtId="178" fontId="11" fillId="2" borderId="35" xfId="0" applyNumberFormat="1" applyFont="1" applyFill="1" applyBorder="1" applyAlignment="1" applyProtection="1">
      <alignment horizontal="right" vertical="center" shrinkToFit="1"/>
      <protection locked="0"/>
    </xf>
    <xf numFmtId="179" fontId="12" fillId="2" borderId="35" xfId="0" applyNumberFormat="1" applyFont="1" applyFill="1" applyBorder="1" applyAlignment="1" applyProtection="1">
      <alignment horizontal="right" vertical="center" shrinkToFit="1"/>
      <protection locked="0"/>
    </xf>
    <xf numFmtId="0" fontId="19" fillId="2" borderId="47" xfId="0" applyFont="1" applyFill="1" applyBorder="1" applyAlignment="1" applyProtection="1">
      <alignment horizontal="center" vertical="center" shrinkToFit="1"/>
      <protection hidden="1"/>
    </xf>
    <xf numFmtId="49" fontId="11" fillId="2" borderId="43" xfId="0" applyNumberFormat="1" applyFont="1" applyFill="1" applyBorder="1" applyAlignment="1" applyProtection="1">
      <alignment vertical="center" shrinkToFit="1"/>
      <protection locked="0"/>
    </xf>
    <xf numFmtId="49" fontId="29" fillId="6" borderId="10" xfId="0" applyNumberFormat="1" applyFont="1" applyFill="1" applyBorder="1" applyAlignment="1" applyProtection="1">
      <alignment horizontal="center" vertical="center"/>
      <protection hidden="1"/>
    </xf>
    <xf numFmtId="0" fontId="11" fillId="2" borderId="43" xfId="0" applyNumberFormat="1" applyFont="1" applyFill="1" applyBorder="1" applyAlignment="1" applyProtection="1">
      <alignment vertical="center" shrinkToFit="1"/>
      <protection hidden="1"/>
    </xf>
  </cellXfs>
  <cellStyles count="3">
    <cellStyle name="標準" xfId="0" builtinId="0"/>
    <cellStyle name="標準 2" xfId="2"/>
    <cellStyle name="標準_ＥＳＥ便箋(A4-2)" xfId="1"/>
  </cellStyles>
  <dxfs count="1">
    <dxf>
      <font>
        <b val="0"/>
        <i val="0"/>
        <condense val="0"/>
        <extend val="0"/>
        <color indexed="9"/>
      </font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14</xdr:col>
      <xdr:colOff>19050</xdr:colOff>
      <xdr:row>16</xdr:row>
      <xdr:rowOff>209550</xdr:rowOff>
    </xdr:to>
    <xdr:grpSp>
      <xdr:nvGrpSpPr>
        <xdr:cNvPr id="1218" name="Group 194"/>
        <xdr:cNvGrpSpPr>
          <a:grpSpLocks/>
        </xdr:cNvGrpSpPr>
      </xdr:nvGrpSpPr>
      <xdr:grpSpPr bwMode="auto">
        <a:xfrm>
          <a:off x="676275" y="2238375"/>
          <a:ext cx="5238750" cy="1352550"/>
          <a:chOff x="71" y="235"/>
          <a:chExt cx="550" cy="142"/>
        </a:xfrm>
      </xdr:grpSpPr>
      <xdr:sp macro="" textlink="">
        <xdr:nvSpPr>
          <xdr:cNvPr id="1032" name="Text Box 8"/>
          <xdr:cNvSpPr txBox="1">
            <a:spLocks noChangeArrowheads="1"/>
          </xdr:cNvSpPr>
        </xdr:nvSpPr>
        <xdr:spPr bwMode="auto">
          <a:xfrm>
            <a:off x="71" y="355"/>
            <a:ext cx="22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043" name="Text Box 19"/>
          <xdr:cNvSpPr txBox="1">
            <a:spLocks noChangeArrowheads="1"/>
          </xdr:cNvSpPr>
        </xdr:nvSpPr>
        <xdr:spPr bwMode="auto">
          <a:xfrm>
            <a:off x="459" y="239"/>
            <a:ext cx="9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Ｓ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径間長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044" name="Text Box 20"/>
          <xdr:cNvSpPr txBox="1">
            <a:spLocks noChangeArrowheads="1"/>
          </xdr:cNvSpPr>
        </xdr:nvSpPr>
        <xdr:spPr bwMode="auto">
          <a:xfrm>
            <a:off x="458" y="255"/>
            <a:ext cx="16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l-GR" altLang="ja-JP" sz="1000" b="0" i="0" u="none" strike="noStrike" baseline="-25000">
                <a:solidFill>
                  <a:srgbClr val="000000"/>
                </a:solidFill>
                <a:latin typeface="ＭＳ 明朝"/>
                <a:ea typeface="ＭＳ 明朝"/>
              </a:rPr>
              <a:t> 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α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電線の線膨張係数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[1/℃]</a:t>
            </a:r>
          </a:p>
        </xdr:txBody>
      </xdr:sp>
      <xdr:sp macro="" textlink="">
        <xdr:nvSpPr>
          <xdr:cNvPr id="1045" name="Text Box 21"/>
          <xdr:cNvSpPr txBox="1">
            <a:spLocks noChangeArrowheads="1"/>
          </xdr:cNvSpPr>
        </xdr:nvSpPr>
        <xdr:spPr bwMode="auto">
          <a:xfrm>
            <a:off x="463" y="267"/>
            <a:ext cx="151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Ｅ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電線の弾性係数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[Kg/sqmm]</a:t>
            </a:r>
          </a:p>
        </xdr:txBody>
      </xdr:sp>
      <xdr:sp macro="" textlink="">
        <xdr:nvSpPr>
          <xdr:cNvPr id="1046" name="Text Box 22"/>
          <xdr:cNvSpPr txBox="1">
            <a:spLocks noChangeArrowheads="1"/>
          </xdr:cNvSpPr>
        </xdr:nvSpPr>
        <xdr:spPr bwMode="auto">
          <a:xfrm>
            <a:off x="455" y="283"/>
            <a:ext cx="13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Ａ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電線の断面積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[sqmm]</a:t>
            </a:r>
          </a:p>
        </xdr:txBody>
      </xdr:sp>
      <xdr:sp macro="" textlink="">
        <xdr:nvSpPr>
          <xdr:cNvPr id="1047" name="Text Box 23"/>
          <xdr:cNvSpPr txBox="1">
            <a:spLocks noChangeArrowheads="1"/>
          </xdr:cNvSpPr>
        </xdr:nvSpPr>
        <xdr:spPr bwMode="auto">
          <a:xfrm>
            <a:off x="71" y="311"/>
            <a:ext cx="34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048" name="Text Box 24"/>
          <xdr:cNvSpPr txBox="1">
            <a:spLocks noChangeArrowheads="1"/>
          </xdr:cNvSpPr>
        </xdr:nvSpPr>
        <xdr:spPr bwMode="auto">
          <a:xfrm>
            <a:off x="71" y="327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049" name="Text Box 25"/>
          <xdr:cNvSpPr txBox="1">
            <a:spLocks noChangeArrowheads="1"/>
          </xdr:cNvSpPr>
        </xdr:nvSpPr>
        <xdr:spPr bwMode="auto">
          <a:xfrm>
            <a:off x="71" y="339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051" name="Text Box 27"/>
          <xdr:cNvSpPr txBox="1">
            <a:spLocks noChangeArrowheads="1"/>
          </xdr:cNvSpPr>
        </xdr:nvSpPr>
        <xdr:spPr bwMode="auto">
          <a:xfrm>
            <a:off x="71" y="235"/>
            <a:ext cx="27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052" name="Text Box 28"/>
          <xdr:cNvSpPr txBox="1">
            <a:spLocks noChangeArrowheads="1"/>
          </xdr:cNvSpPr>
        </xdr:nvSpPr>
        <xdr:spPr bwMode="auto">
          <a:xfrm>
            <a:off x="71" y="255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053" name="Text Box 29"/>
          <xdr:cNvSpPr txBox="1">
            <a:spLocks noChangeArrowheads="1"/>
          </xdr:cNvSpPr>
        </xdr:nvSpPr>
        <xdr:spPr bwMode="auto">
          <a:xfrm>
            <a:off x="71" y="267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054" name="Text Box 30"/>
          <xdr:cNvSpPr txBox="1">
            <a:spLocks noChangeArrowheads="1"/>
          </xdr:cNvSpPr>
        </xdr:nvSpPr>
        <xdr:spPr bwMode="auto">
          <a:xfrm>
            <a:off x="71" y="283"/>
            <a:ext cx="20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電線単位長あたりの質量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8</xdr:row>
          <xdr:rowOff>180975</xdr:rowOff>
        </xdr:from>
        <xdr:to>
          <xdr:col>14</xdr:col>
          <xdr:colOff>66675</xdr:colOff>
          <xdr:row>10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28575</xdr:rowOff>
        </xdr:from>
        <xdr:to>
          <xdr:col>11</xdr:col>
          <xdr:colOff>409575</xdr:colOff>
          <xdr:row>8</xdr:row>
          <xdr:rowOff>171450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28575</xdr:colOff>
      <xdr:row>7</xdr:row>
      <xdr:rowOff>190500</xdr:rowOff>
    </xdr:from>
    <xdr:ext cx="533400" cy="171450"/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3048000" y="1552575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ただし、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352425</xdr:colOff>
          <xdr:row>7</xdr:row>
          <xdr:rowOff>38100</xdr:rowOff>
        </xdr:from>
        <xdr:to>
          <xdr:col>14</xdr:col>
          <xdr:colOff>85725</xdr:colOff>
          <xdr:row>8</xdr:row>
          <xdr:rowOff>152400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8</xdr:row>
          <xdr:rowOff>200025</xdr:rowOff>
        </xdr:from>
        <xdr:to>
          <xdr:col>7</xdr:col>
          <xdr:colOff>133350</xdr:colOff>
          <xdr:row>10</xdr:row>
          <xdr:rowOff>123825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104775</xdr:colOff>
          <xdr:row>8</xdr:row>
          <xdr:rowOff>161925</xdr:rowOff>
        </xdr:from>
        <xdr:to>
          <xdr:col>10</xdr:col>
          <xdr:colOff>133350</xdr:colOff>
          <xdr:row>10</xdr:row>
          <xdr:rowOff>114300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8</xdr:row>
          <xdr:rowOff>200025</xdr:rowOff>
        </xdr:from>
        <xdr:to>
          <xdr:col>12</xdr:col>
          <xdr:colOff>209550</xdr:colOff>
          <xdr:row>10</xdr:row>
          <xdr:rowOff>104775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257175</xdr:colOff>
          <xdr:row>9</xdr:row>
          <xdr:rowOff>0</xdr:rowOff>
        </xdr:from>
        <xdr:to>
          <xdr:col>15</xdr:col>
          <xdr:colOff>390525</xdr:colOff>
          <xdr:row>10</xdr:row>
          <xdr:rowOff>123825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123825</xdr:colOff>
      <xdr:row>9</xdr:row>
      <xdr:rowOff>104775</xdr:rowOff>
    </xdr:from>
    <xdr:ext cx="533400" cy="171450"/>
    <xdr:sp macro="" textlink="">
      <xdr:nvSpPr>
        <xdr:cNvPr id="1058" name="Text Box 34"/>
        <xdr:cNvSpPr txBox="1">
          <a:spLocks noChangeArrowheads="1"/>
        </xdr:cNvSpPr>
      </xdr:nvSpPr>
      <xdr:spPr bwMode="auto">
        <a:xfrm>
          <a:off x="800100" y="1885950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関連式：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66675</xdr:colOff>
          <xdr:row>7</xdr:row>
          <xdr:rowOff>38100</xdr:rowOff>
        </xdr:from>
        <xdr:to>
          <xdr:col>6</xdr:col>
          <xdr:colOff>180975</xdr:colOff>
          <xdr:row>8</xdr:row>
          <xdr:rowOff>171450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absolute">
    <xdr:from>
      <xdr:col>1</xdr:col>
      <xdr:colOff>352425</xdr:colOff>
      <xdr:row>25</xdr:row>
      <xdr:rowOff>28575</xdr:rowOff>
    </xdr:from>
    <xdr:to>
      <xdr:col>4</xdr:col>
      <xdr:colOff>136152</xdr:colOff>
      <xdr:row>26</xdr:row>
      <xdr:rowOff>174252</xdr:rowOff>
    </xdr:to>
    <xdr:sp macro="" textlink="">
      <xdr:nvSpPr>
        <xdr:cNvPr id="26" name="Text Box 159"/>
        <xdr:cNvSpPr txBox="1">
          <a:spLocks noChangeArrowheads="1"/>
        </xdr:cNvSpPr>
      </xdr:nvSpPr>
      <xdr:spPr bwMode="auto">
        <a:xfrm>
          <a:off x="514350" y="5038725"/>
          <a:ext cx="1288677" cy="336177"/>
        </a:xfrm>
        <a:prstGeom prst="rect">
          <a:avLst/>
        </a:prstGeom>
        <a:solidFill>
          <a:srgbClr val="FFC000"/>
        </a:solidFill>
        <a:ln>
          <a:noFill/>
        </a:ln>
        <a:effectLst/>
        <a:ex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ご 試 用 版</a:t>
          </a:r>
        </a:p>
      </xdr:txBody>
    </xdr:sp>
    <xdr:clientData/>
  </xdr:twoCellAnchor>
  <xdr:twoCellAnchor editAs="absolute">
    <xdr:from>
      <xdr:col>2</xdr:col>
      <xdr:colOff>533400</xdr:colOff>
      <xdr:row>16</xdr:row>
      <xdr:rowOff>190501</xdr:rowOff>
    </xdr:from>
    <xdr:to>
      <xdr:col>7</xdr:col>
      <xdr:colOff>57149</xdr:colOff>
      <xdr:row>17</xdr:row>
      <xdr:rowOff>133350</xdr:rowOff>
    </xdr:to>
    <xdr:sp macro="" textlink="">
      <xdr:nvSpPr>
        <xdr:cNvPr id="28" name="Text Box 159"/>
        <xdr:cNvSpPr txBox="1">
          <a:spLocks noChangeArrowheads="1"/>
        </xdr:cNvSpPr>
      </xdr:nvSpPr>
      <xdr:spPr bwMode="auto">
        <a:xfrm>
          <a:off x="1209675" y="3571876"/>
          <a:ext cx="1581149" cy="171449"/>
        </a:xfrm>
        <a:prstGeom prst="rect">
          <a:avLst/>
        </a:prstGeom>
        <a:solidFill>
          <a:srgbClr val="FFC000"/>
        </a:solidFill>
        <a:ln>
          <a:noFill/>
        </a:ln>
        <a:effectLst/>
        <a:extLst/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電線の種類 は操作不可</a:t>
          </a:r>
          <a:endParaRPr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14</xdr:col>
      <xdr:colOff>19050</xdr:colOff>
      <xdr:row>16</xdr:row>
      <xdr:rowOff>209550</xdr:rowOff>
    </xdr:to>
    <xdr:grpSp>
      <xdr:nvGrpSpPr>
        <xdr:cNvPr id="16385" name="Group 1"/>
        <xdr:cNvGrpSpPr>
          <a:grpSpLocks/>
        </xdr:cNvGrpSpPr>
      </xdr:nvGrpSpPr>
      <xdr:grpSpPr bwMode="auto">
        <a:xfrm>
          <a:off x="676275" y="2238375"/>
          <a:ext cx="5238750" cy="1352550"/>
          <a:chOff x="71" y="235"/>
          <a:chExt cx="550" cy="142"/>
        </a:xfrm>
      </xdr:grpSpPr>
      <xdr:sp macro="" textlink="">
        <xdr:nvSpPr>
          <xdr:cNvPr id="16386" name="Text Box 2"/>
          <xdr:cNvSpPr txBox="1">
            <a:spLocks noChangeArrowheads="1"/>
          </xdr:cNvSpPr>
        </xdr:nvSpPr>
        <xdr:spPr bwMode="auto">
          <a:xfrm>
            <a:off x="71" y="355"/>
            <a:ext cx="22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6387" name="Text Box 3"/>
          <xdr:cNvSpPr txBox="1">
            <a:spLocks noChangeArrowheads="1"/>
          </xdr:cNvSpPr>
        </xdr:nvSpPr>
        <xdr:spPr bwMode="auto">
          <a:xfrm>
            <a:off x="459" y="239"/>
            <a:ext cx="9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Ｓ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径間長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6388" name="Text Box 4"/>
          <xdr:cNvSpPr txBox="1">
            <a:spLocks noChangeArrowheads="1"/>
          </xdr:cNvSpPr>
        </xdr:nvSpPr>
        <xdr:spPr bwMode="auto">
          <a:xfrm>
            <a:off x="458" y="255"/>
            <a:ext cx="16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l-GR" altLang="ja-JP" sz="1000" b="0" i="0" u="none" strike="noStrike" baseline="-25000">
                <a:solidFill>
                  <a:srgbClr val="000000"/>
                </a:solidFill>
                <a:latin typeface="ＭＳ 明朝"/>
                <a:ea typeface="ＭＳ 明朝"/>
              </a:rPr>
              <a:t> 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α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電線の線膨張係数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[1/℃]</a:t>
            </a:r>
          </a:p>
        </xdr:txBody>
      </xdr:sp>
      <xdr:sp macro="" textlink="">
        <xdr:nvSpPr>
          <xdr:cNvPr id="16389" name="Text Box 5"/>
          <xdr:cNvSpPr txBox="1">
            <a:spLocks noChangeArrowheads="1"/>
          </xdr:cNvSpPr>
        </xdr:nvSpPr>
        <xdr:spPr bwMode="auto">
          <a:xfrm>
            <a:off x="463" y="267"/>
            <a:ext cx="151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Ｅ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電線の弾性係数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[Kg/sqmm]</a:t>
            </a:r>
          </a:p>
        </xdr:txBody>
      </xdr:sp>
      <xdr:sp macro="" textlink="">
        <xdr:nvSpPr>
          <xdr:cNvPr id="16390" name="Text Box 6"/>
          <xdr:cNvSpPr txBox="1">
            <a:spLocks noChangeArrowheads="1"/>
          </xdr:cNvSpPr>
        </xdr:nvSpPr>
        <xdr:spPr bwMode="auto">
          <a:xfrm>
            <a:off x="455" y="283"/>
            <a:ext cx="13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Ａ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電線の断面積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[sqmm]</a:t>
            </a:r>
          </a:p>
        </xdr:txBody>
      </xdr:sp>
      <xdr:sp macro="" textlink="">
        <xdr:nvSpPr>
          <xdr:cNvPr id="16391" name="Text Box 7"/>
          <xdr:cNvSpPr txBox="1">
            <a:spLocks noChangeArrowheads="1"/>
          </xdr:cNvSpPr>
        </xdr:nvSpPr>
        <xdr:spPr bwMode="auto">
          <a:xfrm>
            <a:off x="71" y="311"/>
            <a:ext cx="34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6392" name="Text Box 8"/>
          <xdr:cNvSpPr txBox="1">
            <a:spLocks noChangeArrowheads="1"/>
          </xdr:cNvSpPr>
        </xdr:nvSpPr>
        <xdr:spPr bwMode="auto">
          <a:xfrm>
            <a:off x="71" y="327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6393" name="Text Box 9"/>
          <xdr:cNvSpPr txBox="1">
            <a:spLocks noChangeArrowheads="1"/>
          </xdr:cNvSpPr>
        </xdr:nvSpPr>
        <xdr:spPr bwMode="auto">
          <a:xfrm>
            <a:off x="71" y="339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6394" name="Text Box 10"/>
          <xdr:cNvSpPr txBox="1">
            <a:spLocks noChangeArrowheads="1"/>
          </xdr:cNvSpPr>
        </xdr:nvSpPr>
        <xdr:spPr bwMode="auto">
          <a:xfrm>
            <a:off x="71" y="235"/>
            <a:ext cx="27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6395" name="Text Box 11"/>
          <xdr:cNvSpPr txBox="1">
            <a:spLocks noChangeArrowheads="1"/>
          </xdr:cNvSpPr>
        </xdr:nvSpPr>
        <xdr:spPr bwMode="auto">
          <a:xfrm>
            <a:off x="71" y="255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6396" name="Text Box 12"/>
          <xdr:cNvSpPr txBox="1">
            <a:spLocks noChangeArrowheads="1"/>
          </xdr:cNvSpPr>
        </xdr:nvSpPr>
        <xdr:spPr bwMode="auto">
          <a:xfrm>
            <a:off x="71" y="267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6397" name="Text Box 13"/>
          <xdr:cNvSpPr txBox="1">
            <a:spLocks noChangeArrowheads="1"/>
          </xdr:cNvSpPr>
        </xdr:nvSpPr>
        <xdr:spPr bwMode="auto">
          <a:xfrm>
            <a:off x="71" y="283"/>
            <a:ext cx="20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電線単位長あたりの質量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8</xdr:row>
          <xdr:rowOff>180975</xdr:rowOff>
        </xdr:from>
        <xdr:to>
          <xdr:col>14</xdr:col>
          <xdr:colOff>66675</xdr:colOff>
          <xdr:row>10</xdr:row>
          <xdr:rowOff>123825</xdr:rowOff>
        </xdr:to>
        <xdr:sp macro="" textlink="">
          <xdr:nvSpPr>
            <xdr:cNvPr id="16398" name="Object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28575</xdr:rowOff>
        </xdr:from>
        <xdr:to>
          <xdr:col>11</xdr:col>
          <xdr:colOff>409575</xdr:colOff>
          <xdr:row>8</xdr:row>
          <xdr:rowOff>171450</xdr:rowOff>
        </xdr:to>
        <xdr:sp macro="" textlink="">
          <xdr:nvSpPr>
            <xdr:cNvPr id="16399" name="Object 15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28575</xdr:colOff>
      <xdr:row>7</xdr:row>
      <xdr:rowOff>190500</xdr:rowOff>
    </xdr:from>
    <xdr:ext cx="533400" cy="171450"/>
    <xdr:sp macro="" textlink="">
      <xdr:nvSpPr>
        <xdr:cNvPr id="16400" name="Text Box 16"/>
        <xdr:cNvSpPr txBox="1">
          <a:spLocks noChangeArrowheads="1"/>
        </xdr:cNvSpPr>
      </xdr:nvSpPr>
      <xdr:spPr bwMode="auto">
        <a:xfrm>
          <a:off x="3048000" y="1552575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ただし、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352425</xdr:colOff>
          <xdr:row>7</xdr:row>
          <xdr:rowOff>38100</xdr:rowOff>
        </xdr:from>
        <xdr:to>
          <xdr:col>14</xdr:col>
          <xdr:colOff>85725</xdr:colOff>
          <xdr:row>8</xdr:row>
          <xdr:rowOff>152400</xdr:rowOff>
        </xdr:to>
        <xdr:sp macro="" textlink="">
          <xdr:nvSpPr>
            <xdr:cNvPr id="16401" name="Object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8</xdr:row>
          <xdr:rowOff>200025</xdr:rowOff>
        </xdr:from>
        <xdr:to>
          <xdr:col>7</xdr:col>
          <xdr:colOff>133350</xdr:colOff>
          <xdr:row>10</xdr:row>
          <xdr:rowOff>123825</xdr:rowOff>
        </xdr:to>
        <xdr:sp macro="" textlink="">
          <xdr:nvSpPr>
            <xdr:cNvPr id="16402" name="Object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104775</xdr:colOff>
          <xdr:row>8</xdr:row>
          <xdr:rowOff>161925</xdr:rowOff>
        </xdr:from>
        <xdr:to>
          <xdr:col>10</xdr:col>
          <xdr:colOff>133350</xdr:colOff>
          <xdr:row>10</xdr:row>
          <xdr:rowOff>114300</xdr:rowOff>
        </xdr:to>
        <xdr:sp macro="" textlink="">
          <xdr:nvSpPr>
            <xdr:cNvPr id="16403" name="Object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8</xdr:row>
          <xdr:rowOff>200025</xdr:rowOff>
        </xdr:from>
        <xdr:to>
          <xdr:col>12</xdr:col>
          <xdr:colOff>209550</xdr:colOff>
          <xdr:row>10</xdr:row>
          <xdr:rowOff>104775</xdr:rowOff>
        </xdr:to>
        <xdr:sp macro="" textlink="">
          <xdr:nvSpPr>
            <xdr:cNvPr id="16404" name="Object 20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257175</xdr:colOff>
          <xdr:row>9</xdr:row>
          <xdr:rowOff>0</xdr:rowOff>
        </xdr:from>
        <xdr:to>
          <xdr:col>15</xdr:col>
          <xdr:colOff>390525</xdr:colOff>
          <xdr:row>10</xdr:row>
          <xdr:rowOff>123825</xdr:rowOff>
        </xdr:to>
        <xdr:sp macro="" textlink="">
          <xdr:nvSpPr>
            <xdr:cNvPr id="16405" name="Object 21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123825</xdr:colOff>
      <xdr:row>9</xdr:row>
      <xdr:rowOff>104775</xdr:rowOff>
    </xdr:from>
    <xdr:ext cx="533400" cy="171450"/>
    <xdr:sp macro="" textlink="">
      <xdr:nvSpPr>
        <xdr:cNvPr id="16406" name="Text Box 22"/>
        <xdr:cNvSpPr txBox="1">
          <a:spLocks noChangeArrowheads="1"/>
        </xdr:cNvSpPr>
      </xdr:nvSpPr>
      <xdr:spPr bwMode="auto">
        <a:xfrm>
          <a:off x="800100" y="1885950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関連式：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66675</xdr:colOff>
          <xdr:row>7</xdr:row>
          <xdr:rowOff>38100</xdr:rowOff>
        </xdr:from>
        <xdr:to>
          <xdr:col>6</xdr:col>
          <xdr:colOff>180975</xdr:colOff>
          <xdr:row>8</xdr:row>
          <xdr:rowOff>171450</xdr:rowOff>
        </xdr:to>
        <xdr:sp macro="" textlink="">
          <xdr:nvSpPr>
            <xdr:cNvPr id="16407" name="Object 23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14</xdr:col>
      <xdr:colOff>19050</xdr:colOff>
      <xdr:row>16</xdr:row>
      <xdr:rowOff>209550</xdr:rowOff>
    </xdr:to>
    <xdr:grpSp>
      <xdr:nvGrpSpPr>
        <xdr:cNvPr id="18433" name="Group 1"/>
        <xdr:cNvGrpSpPr>
          <a:grpSpLocks/>
        </xdr:cNvGrpSpPr>
      </xdr:nvGrpSpPr>
      <xdr:grpSpPr bwMode="auto">
        <a:xfrm>
          <a:off x="676275" y="2238375"/>
          <a:ext cx="5238750" cy="1352550"/>
          <a:chOff x="71" y="235"/>
          <a:chExt cx="550" cy="142"/>
        </a:xfrm>
      </xdr:grpSpPr>
      <xdr:sp macro="" textlink="">
        <xdr:nvSpPr>
          <xdr:cNvPr id="18434" name="Text Box 2"/>
          <xdr:cNvSpPr txBox="1">
            <a:spLocks noChangeArrowheads="1"/>
          </xdr:cNvSpPr>
        </xdr:nvSpPr>
        <xdr:spPr bwMode="auto">
          <a:xfrm>
            <a:off x="71" y="355"/>
            <a:ext cx="22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8435" name="Text Box 3"/>
          <xdr:cNvSpPr txBox="1">
            <a:spLocks noChangeArrowheads="1"/>
          </xdr:cNvSpPr>
        </xdr:nvSpPr>
        <xdr:spPr bwMode="auto">
          <a:xfrm>
            <a:off x="459" y="239"/>
            <a:ext cx="9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Ｓ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径間長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8436" name="Text Box 4"/>
          <xdr:cNvSpPr txBox="1">
            <a:spLocks noChangeArrowheads="1"/>
          </xdr:cNvSpPr>
        </xdr:nvSpPr>
        <xdr:spPr bwMode="auto">
          <a:xfrm>
            <a:off x="458" y="255"/>
            <a:ext cx="16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l-GR" altLang="ja-JP" sz="1000" b="0" i="0" u="none" strike="noStrike" baseline="-25000">
                <a:solidFill>
                  <a:srgbClr val="000000"/>
                </a:solidFill>
                <a:latin typeface="ＭＳ 明朝"/>
                <a:ea typeface="ＭＳ 明朝"/>
              </a:rPr>
              <a:t> 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α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電線の線膨張係数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[1/℃]</a:t>
            </a:r>
          </a:p>
        </xdr:txBody>
      </xdr:sp>
      <xdr:sp macro="" textlink="">
        <xdr:nvSpPr>
          <xdr:cNvPr id="18437" name="Text Box 5"/>
          <xdr:cNvSpPr txBox="1">
            <a:spLocks noChangeArrowheads="1"/>
          </xdr:cNvSpPr>
        </xdr:nvSpPr>
        <xdr:spPr bwMode="auto">
          <a:xfrm>
            <a:off x="463" y="267"/>
            <a:ext cx="151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Ｅ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電線の弾性係数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[Kg/sqmm]</a:t>
            </a:r>
          </a:p>
        </xdr:txBody>
      </xdr:sp>
      <xdr:sp macro="" textlink="">
        <xdr:nvSpPr>
          <xdr:cNvPr id="18438" name="Text Box 6"/>
          <xdr:cNvSpPr txBox="1">
            <a:spLocks noChangeArrowheads="1"/>
          </xdr:cNvSpPr>
        </xdr:nvSpPr>
        <xdr:spPr bwMode="auto">
          <a:xfrm>
            <a:off x="455" y="283"/>
            <a:ext cx="13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Ａ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電線の断面積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[sqmm]</a:t>
            </a:r>
          </a:p>
        </xdr:txBody>
      </xdr:sp>
      <xdr:sp macro="" textlink="">
        <xdr:nvSpPr>
          <xdr:cNvPr id="18439" name="Text Box 7"/>
          <xdr:cNvSpPr txBox="1">
            <a:spLocks noChangeArrowheads="1"/>
          </xdr:cNvSpPr>
        </xdr:nvSpPr>
        <xdr:spPr bwMode="auto">
          <a:xfrm>
            <a:off x="71" y="311"/>
            <a:ext cx="34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8440" name="Text Box 8"/>
          <xdr:cNvSpPr txBox="1">
            <a:spLocks noChangeArrowheads="1"/>
          </xdr:cNvSpPr>
        </xdr:nvSpPr>
        <xdr:spPr bwMode="auto">
          <a:xfrm>
            <a:off x="71" y="327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8441" name="Text Box 9"/>
          <xdr:cNvSpPr txBox="1">
            <a:spLocks noChangeArrowheads="1"/>
          </xdr:cNvSpPr>
        </xdr:nvSpPr>
        <xdr:spPr bwMode="auto">
          <a:xfrm>
            <a:off x="71" y="339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8442" name="Text Box 10"/>
          <xdr:cNvSpPr txBox="1">
            <a:spLocks noChangeArrowheads="1"/>
          </xdr:cNvSpPr>
        </xdr:nvSpPr>
        <xdr:spPr bwMode="auto">
          <a:xfrm>
            <a:off x="71" y="235"/>
            <a:ext cx="27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8443" name="Text Box 11"/>
          <xdr:cNvSpPr txBox="1">
            <a:spLocks noChangeArrowheads="1"/>
          </xdr:cNvSpPr>
        </xdr:nvSpPr>
        <xdr:spPr bwMode="auto">
          <a:xfrm>
            <a:off x="71" y="255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8444" name="Text Box 12"/>
          <xdr:cNvSpPr txBox="1">
            <a:spLocks noChangeArrowheads="1"/>
          </xdr:cNvSpPr>
        </xdr:nvSpPr>
        <xdr:spPr bwMode="auto">
          <a:xfrm>
            <a:off x="71" y="267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8445" name="Text Box 13"/>
          <xdr:cNvSpPr txBox="1">
            <a:spLocks noChangeArrowheads="1"/>
          </xdr:cNvSpPr>
        </xdr:nvSpPr>
        <xdr:spPr bwMode="auto">
          <a:xfrm>
            <a:off x="71" y="283"/>
            <a:ext cx="20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電線単位長あたりの質量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8</xdr:row>
          <xdr:rowOff>180975</xdr:rowOff>
        </xdr:from>
        <xdr:to>
          <xdr:col>14</xdr:col>
          <xdr:colOff>66675</xdr:colOff>
          <xdr:row>10</xdr:row>
          <xdr:rowOff>123825</xdr:rowOff>
        </xdr:to>
        <xdr:sp macro="" textlink="">
          <xdr:nvSpPr>
            <xdr:cNvPr id="18446" name="Object 14" hidden="1">
              <a:extLst>
                <a:ext uri="{63B3BB69-23CF-44E3-9099-C40C66FF867C}">
                  <a14:compatExt spid="_x0000_s18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28575</xdr:rowOff>
        </xdr:from>
        <xdr:to>
          <xdr:col>11</xdr:col>
          <xdr:colOff>409575</xdr:colOff>
          <xdr:row>8</xdr:row>
          <xdr:rowOff>171450</xdr:rowOff>
        </xdr:to>
        <xdr:sp macro="" textlink="">
          <xdr:nvSpPr>
            <xdr:cNvPr id="18447" name="Object 1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28575</xdr:colOff>
      <xdr:row>7</xdr:row>
      <xdr:rowOff>190500</xdr:rowOff>
    </xdr:from>
    <xdr:ext cx="533400" cy="171450"/>
    <xdr:sp macro="" textlink="">
      <xdr:nvSpPr>
        <xdr:cNvPr id="18448" name="Text Box 16"/>
        <xdr:cNvSpPr txBox="1">
          <a:spLocks noChangeArrowheads="1"/>
        </xdr:cNvSpPr>
      </xdr:nvSpPr>
      <xdr:spPr bwMode="auto">
        <a:xfrm>
          <a:off x="3048000" y="1552575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ただし、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352425</xdr:colOff>
          <xdr:row>7</xdr:row>
          <xdr:rowOff>38100</xdr:rowOff>
        </xdr:from>
        <xdr:to>
          <xdr:col>14</xdr:col>
          <xdr:colOff>85725</xdr:colOff>
          <xdr:row>8</xdr:row>
          <xdr:rowOff>152400</xdr:rowOff>
        </xdr:to>
        <xdr:sp macro="" textlink="">
          <xdr:nvSpPr>
            <xdr:cNvPr id="18449" name="Object 17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8</xdr:row>
          <xdr:rowOff>200025</xdr:rowOff>
        </xdr:from>
        <xdr:to>
          <xdr:col>7</xdr:col>
          <xdr:colOff>133350</xdr:colOff>
          <xdr:row>10</xdr:row>
          <xdr:rowOff>123825</xdr:rowOff>
        </xdr:to>
        <xdr:sp macro="" textlink="">
          <xdr:nvSpPr>
            <xdr:cNvPr id="18450" name="Object 18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104775</xdr:colOff>
          <xdr:row>8</xdr:row>
          <xdr:rowOff>161925</xdr:rowOff>
        </xdr:from>
        <xdr:to>
          <xdr:col>10</xdr:col>
          <xdr:colOff>133350</xdr:colOff>
          <xdr:row>10</xdr:row>
          <xdr:rowOff>114300</xdr:rowOff>
        </xdr:to>
        <xdr:sp macro="" textlink="">
          <xdr:nvSpPr>
            <xdr:cNvPr id="18451" name="Object 19" hidden="1">
              <a:extLst>
                <a:ext uri="{63B3BB69-23CF-44E3-9099-C40C66FF867C}">
                  <a14:compatExt spid="_x0000_s1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8</xdr:row>
          <xdr:rowOff>200025</xdr:rowOff>
        </xdr:from>
        <xdr:to>
          <xdr:col>12</xdr:col>
          <xdr:colOff>209550</xdr:colOff>
          <xdr:row>10</xdr:row>
          <xdr:rowOff>104775</xdr:rowOff>
        </xdr:to>
        <xdr:sp macro="" textlink="">
          <xdr:nvSpPr>
            <xdr:cNvPr id="18452" name="Object 20" hidden="1">
              <a:extLst>
                <a:ext uri="{63B3BB69-23CF-44E3-9099-C40C66FF867C}">
                  <a14:compatExt spid="_x0000_s1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257175</xdr:colOff>
          <xdr:row>9</xdr:row>
          <xdr:rowOff>0</xdr:rowOff>
        </xdr:from>
        <xdr:to>
          <xdr:col>15</xdr:col>
          <xdr:colOff>390525</xdr:colOff>
          <xdr:row>10</xdr:row>
          <xdr:rowOff>123825</xdr:rowOff>
        </xdr:to>
        <xdr:sp macro="" textlink="">
          <xdr:nvSpPr>
            <xdr:cNvPr id="18453" name="Object 21" hidden="1">
              <a:extLst>
                <a:ext uri="{63B3BB69-23CF-44E3-9099-C40C66FF867C}">
                  <a14:compatExt spid="_x0000_s18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123825</xdr:colOff>
      <xdr:row>9</xdr:row>
      <xdr:rowOff>104775</xdr:rowOff>
    </xdr:from>
    <xdr:ext cx="533400" cy="171450"/>
    <xdr:sp macro="" textlink="">
      <xdr:nvSpPr>
        <xdr:cNvPr id="18454" name="Text Box 22"/>
        <xdr:cNvSpPr txBox="1">
          <a:spLocks noChangeArrowheads="1"/>
        </xdr:cNvSpPr>
      </xdr:nvSpPr>
      <xdr:spPr bwMode="auto">
        <a:xfrm>
          <a:off x="800100" y="1885950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関連式：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66675</xdr:colOff>
          <xdr:row>7</xdr:row>
          <xdr:rowOff>38100</xdr:rowOff>
        </xdr:from>
        <xdr:to>
          <xdr:col>6</xdr:col>
          <xdr:colOff>180975</xdr:colOff>
          <xdr:row>8</xdr:row>
          <xdr:rowOff>171450</xdr:rowOff>
        </xdr:to>
        <xdr:sp macro="" textlink="">
          <xdr:nvSpPr>
            <xdr:cNvPr id="18455" name="Object 23" hidden="1">
              <a:extLst>
                <a:ext uri="{63B3BB69-23CF-44E3-9099-C40C66FF867C}">
                  <a14:compatExt spid="_x0000_s18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14</xdr:col>
      <xdr:colOff>19050</xdr:colOff>
      <xdr:row>16</xdr:row>
      <xdr:rowOff>209550</xdr:rowOff>
    </xdr:to>
    <xdr:grpSp>
      <xdr:nvGrpSpPr>
        <xdr:cNvPr id="19457" name="Group 1"/>
        <xdr:cNvGrpSpPr>
          <a:grpSpLocks/>
        </xdr:cNvGrpSpPr>
      </xdr:nvGrpSpPr>
      <xdr:grpSpPr bwMode="auto">
        <a:xfrm>
          <a:off x="676275" y="2238375"/>
          <a:ext cx="5238750" cy="1352550"/>
          <a:chOff x="71" y="235"/>
          <a:chExt cx="550" cy="142"/>
        </a:xfrm>
      </xdr:grpSpPr>
      <xdr:sp macro="" textlink="">
        <xdr:nvSpPr>
          <xdr:cNvPr id="19458" name="Text Box 2"/>
          <xdr:cNvSpPr txBox="1">
            <a:spLocks noChangeArrowheads="1"/>
          </xdr:cNvSpPr>
        </xdr:nvSpPr>
        <xdr:spPr bwMode="auto">
          <a:xfrm>
            <a:off x="71" y="355"/>
            <a:ext cx="22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9459" name="Text Box 3"/>
          <xdr:cNvSpPr txBox="1">
            <a:spLocks noChangeArrowheads="1"/>
          </xdr:cNvSpPr>
        </xdr:nvSpPr>
        <xdr:spPr bwMode="auto">
          <a:xfrm>
            <a:off x="459" y="239"/>
            <a:ext cx="9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Ｓ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径間長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9460" name="Text Box 4"/>
          <xdr:cNvSpPr txBox="1">
            <a:spLocks noChangeArrowheads="1"/>
          </xdr:cNvSpPr>
        </xdr:nvSpPr>
        <xdr:spPr bwMode="auto">
          <a:xfrm>
            <a:off x="458" y="255"/>
            <a:ext cx="16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l-GR" altLang="ja-JP" sz="1000" b="0" i="0" u="none" strike="noStrike" baseline="-25000">
                <a:solidFill>
                  <a:srgbClr val="000000"/>
                </a:solidFill>
                <a:latin typeface="ＭＳ 明朝"/>
                <a:ea typeface="ＭＳ 明朝"/>
              </a:rPr>
              <a:t> 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α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電線の線膨張係数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[1/℃]</a:t>
            </a:r>
          </a:p>
        </xdr:txBody>
      </xdr:sp>
      <xdr:sp macro="" textlink="">
        <xdr:nvSpPr>
          <xdr:cNvPr id="19461" name="Text Box 5"/>
          <xdr:cNvSpPr txBox="1">
            <a:spLocks noChangeArrowheads="1"/>
          </xdr:cNvSpPr>
        </xdr:nvSpPr>
        <xdr:spPr bwMode="auto">
          <a:xfrm>
            <a:off x="463" y="267"/>
            <a:ext cx="151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Ｅ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電線の弾性係数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[Kg/sqmm]</a:t>
            </a:r>
          </a:p>
        </xdr:txBody>
      </xdr:sp>
      <xdr:sp macro="" textlink="">
        <xdr:nvSpPr>
          <xdr:cNvPr id="19462" name="Text Box 6"/>
          <xdr:cNvSpPr txBox="1">
            <a:spLocks noChangeArrowheads="1"/>
          </xdr:cNvSpPr>
        </xdr:nvSpPr>
        <xdr:spPr bwMode="auto">
          <a:xfrm>
            <a:off x="455" y="283"/>
            <a:ext cx="13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Ａ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電線の断面積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[sqmm]</a:t>
            </a:r>
          </a:p>
        </xdr:txBody>
      </xdr:sp>
      <xdr:sp macro="" textlink="">
        <xdr:nvSpPr>
          <xdr:cNvPr id="19463" name="Text Box 7"/>
          <xdr:cNvSpPr txBox="1">
            <a:spLocks noChangeArrowheads="1"/>
          </xdr:cNvSpPr>
        </xdr:nvSpPr>
        <xdr:spPr bwMode="auto">
          <a:xfrm>
            <a:off x="71" y="311"/>
            <a:ext cx="34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9464" name="Text Box 8"/>
          <xdr:cNvSpPr txBox="1">
            <a:spLocks noChangeArrowheads="1"/>
          </xdr:cNvSpPr>
        </xdr:nvSpPr>
        <xdr:spPr bwMode="auto">
          <a:xfrm>
            <a:off x="71" y="327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9465" name="Text Box 9"/>
          <xdr:cNvSpPr txBox="1">
            <a:spLocks noChangeArrowheads="1"/>
          </xdr:cNvSpPr>
        </xdr:nvSpPr>
        <xdr:spPr bwMode="auto">
          <a:xfrm>
            <a:off x="71" y="339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9466" name="Text Box 10"/>
          <xdr:cNvSpPr txBox="1">
            <a:spLocks noChangeArrowheads="1"/>
          </xdr:cNvSpPr>
        </xdr:nvSpPr>
        <xdr:spPr bwMode="auto">
          <a:xfrm>
            <a:off x="71" y="235"/>
            <a:ext cx="27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9467" name="Text Box 11"/>
          <xdr:cNvSpPr txBox="1">
            <a:spLocks noChangeArrowheads="1"/>
          </xdr:cNvSpPr>
        </xdr:nvSpPr>
        <xdr:spPr bwMode="auto">
          <a:xfrm>
            <a:off x="71" y="255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19468" name="Text Box 12"/>
          <xdr:cNvSpPr txBox="1">
            <a:spLocks noChangeArrowheads="1"/>
          </xdr:cNvSpPr>
        </xdr:nvSpPr>
        <xdr:spPr bwMode="auto">
          <a:xfrm>
            <a:off x="71" y="267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19469" name="Text Box 13"/>
          <xdr:cNvSpPr txBox="1">
            <a:spLocks noChangeArrowheads="1"/>
          </xdr:cNvSpPr>
        </xdr:nvSpPr>
        <xdr:spPr bwMode="auto">
          <a:xfrm>
            <a:off x="71" y="283"/>
            <a:ext cx="20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電線単位長あたりの質量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8</xdr:row>
          <xdr:rowOff>180975</xdr:rowOff>
        </xdr:from>
        <xdr:to>
          <xdr:col>14</xdr:col>
          <xdr:colOff>66675</xdr:colOff>
          <xdr:row>10</xdr:row>
          <xdr:rowOff>123825</xdr:rowOff>
        </xdr:to>
        <xdr:sp macro="" textlink="">
          <xdr:nvSpPr>
            <xdr:cNvPr id="19470" name="Object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28575</xdr:rowOff>
        </xdr:from>
        <xdr:to>
          <xdr:col>11</xdr:col>
          <xdr:colOff>409575</xdr:colOff>
          <xdr:row>8</xdr:row>
          <xdr:rowOff>171450</xdr:rowOff>
        </xdr:to>
        <xdr:sp macro="" textlink="">
          <xdr:nvSpPr>
            <xdr:cNvPr id="19471" name="Object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28575</xdr:colOff>
      <xdr:row>7</xdr:row>
      <xdr:rowOff>190500</xdr:rowOff>
    </xdr:from>
    <xdr:ext cx="533400" cy="171450"/>
    <xdr:sp macro="" textlink="">
      <xdr:nvSpPr>
        <xdr:cNvPr id="19472" name="Text Box 16"/>
        <xdr:cNvSpPr txBox="1">
          <a:spLocks noChangeArrowheads="1"/>
        </xdr:cNvSpPr>
      </xdr:nvSpPr>
      <xdr:spPr bwMode="auto">
        <a:xfrm>
          <a:off x="3048000" y="1552575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ただし、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352425</xdr:colOff>
          <xdr:row>7</xdr:row>
          <xdr:rowOff>38100</xdr:rowOff>
        </xdr:from>
        <xdr:to>
          <xdr:col>14</xdr:col>
          <xdr:colOff>85725</xdr:colOff>
          <xdr:row>8</xdr:row>
          <xdr:rowOff>152400</xdr:rowOff>
        </xdr:to>
        <xdr:sp macro="" textlink="">
          <xdr:nvSpPr>
            <xdr:cNvPr id="19473" name="Object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8</xdr:row>
          <xdr:rowOff>200025</xdr:rowOff>
        </xdr:from>
        <xdr:to>
          <xdr:col>7</xdr:col>
          <xdr:colOff>133350</xdr:colOff>
          <xdr:row>10</xdr:row>
          <xdr:rowOff>123825</xdr:rowOff>
        </xdr:to>
        <xdr:sp macro="" textlink="">
          <xdr:nvSpPr>
            <xdr:cNvPr id="19474" name="Object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104775</xdr:colOff>
          <xdr:row>8</xdr:row>
          <xdr:rowOff>161925</xdr:rowOff>
        </xdr:from>
        <xdr:to>
          <xdr:col>10</xdr:col>
          <xdr:colOff>133350</xdr:colOff>
          <xdr:row>10</xdr:row>
          <xdr:rowOff>114300</xdr:rowOff>
        </xdr:to>
        <xdr:sp macro="" textlink="">
          <xdr:nvSpPr>
            <xdr:cNvPr id="19475" name="Object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8</xdr:row>
          <xdr:rowOff>200025</xdr:rowOff>
        </xdr:from>
        <xdr:to>
          <xdr:col>12</xdr:col>
          <xdr:colOff>209550</xdr:colOff>
          <xdr:row>10</xdr:row>
          <xdr:rowOff>104775</xdr:rowOff>
        </xdr:to>
        <xdr:sp macro="" textlink="">
          <xdr:nvSpPr>
            <xdr:cNvPr id="19476" name="Object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257175</xdr:colOff>
          <xdr:row>9</xdr:row>
          <xdr:rowOff>0</xdr:rowOff>
        </xdr:from>
        <xdr:to>
          <xdr:col>15</xdr:col>
          <xdr:colOff>390525</xdr:colOff>
          <xdr:row>10</xdr:row>
          <xdr:rowOff>123825</xdr:rowOff>
        </xdr:to>
        <xdr:sp macro="" textlink="">
          <xdr:nvSpPr>
            <xdr:cNvPr id="19477" name="Object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123825</xdr:colOff>
      <xdr:row>9</xdr:row>
      <xdr:rowOff>104775</xdr:rowOff>
    </xdr:from>
    <xdr:ext cx="533400" cy="171450"/>
    <xdr:sp macro="" textlink="">
      <xdr:nvSpPr>
        <xdr:cNvPr id="19478" name="Text Box 22"/>
        <xdr:cNvSpPr txBox="1">
          <a:spLocks noChangeArrowheads="1"/>
        </xdr:cNvSpPr>
      </xdr:nvSpPr>
      <xdr:spPr bwMode="auto">
        <a:xfrm>
          <a:off x="800100" y="1885950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関連式：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66675</xdr:colOff>
          <xdr:row>7</xdr:row>
          <xdr:rowOff>38100</xdr:rowOff>
        </xdr:from>
        <xdr:to>
          <xdr:col>6</xdr:col>
          <xdr:colOff>180975</xdr:colOff>
          <xdr:row>8</xdr:row>
          <xdr:rowOff>171450</xdr:rowOff>
        </xdr:to>
        <xdr:sp macro="" textlink="">
          <xdr:nvSpPr>
            <xdr:cNvPr id="19479" name="Object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14</xdr:col>
      <xdr:colOff>28575</xdr:colOff>
      <xdr:row>16</xdr:row>
      <xdr:rowOff>209550</xdr:rowOff>
    </xdr:to>
    <xdr:grpSp>
      <xdr:nvGrpSpPr>
        <xdr:cNvPr id="20481" name="Group 1"/>
        <xdr:cNvGrpSpPr>
          <a:grpSpLocks/>
        </xdr:cNvGrpSpPr>
      </xdr:nvGrpSpPr>
      <xdr:grpSpPr bwMode="auto">
        <a:xfrm>
          <a:off x="676275" y="2238375"/>
          <a:ext cx="5248275" cy="1352550"/>
          <a:chOff x="71" y="235"/>
          <a:chExt cx="551" cy="142"/>
        </a:xfrm>
      </xdr:grpSpPr>
      <xdr:sp macro="" textlink="">
        <xdr:nvSpPr>
          <xdr:cNvPr id="20482" name="Text Box 2"/>
          <xdr:cNvSpPr txBox="1">
            <a:spLocks noChangeArrowheads="1"/>
          </xdr:cNvSpPr>
        </xdr:nvSpPr>
        <xdr:spPr bwMode="auto">
          <a:xfrm>
            <a:off x="71" y="355"/>
            <a:ext cx="22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20483" name="Text Box 3"/>
          <xdr:cNvSpPr txBox="1">
            <a:spLocks noChangeArrowheads="1"/>
          </xdr:cNvSpPr>
        </xdr:nvSpPr>
        <xdr:spPr bwMode="auto">
          <a:xfrm>
            <a:off x="459" y="239"/>
            <a:ext cx="9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Ｓ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径間長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20484" name="Text Box 4"/>
          <xdr:cNvSpPr txBox="1">
            <a:spLocks noChangeArrowheads="1"/>
          </xdr:cNvSpPr>
        </xdr:nvSpPr>
        <xdr:spPr bwMode="auto">
          <a:xfrm>
            <a:off x="459" y="255"/>
            <a:ext cx="16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l-GR" altLang="ja-JP" sz="1000" b="0" i="0" u="none" strike="noStrike" baseline="-25000">
                <a:solidFill>
                  <a:srgbClr val="000000"/>
                </a:solidFill>
                <a:latin typeface="ＭＳ 明朝"/>
                <a:ea typeface="ＭＳ 明朝"/>
              </a:rPr>
              <a:t> 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α</a:t>
            </a:r>
            <a:r>
              <a:rPr lang="el-GR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電線の線膨張係数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[1/℃]</a:t>
            </a:r>
          </a:p>
        </xdr:txBody>
      </xdr:sp>
      <xdr:sp macro="" textlink="">
        <xdr:nvSpPr>
          <xdr:cNvPr id="20485" name="Text Box 5"/>
          <xdr:cNvSpPr txBox="1">
            <a:spLocks noChangeArrowheads="1"/>
          </xdr:cNvSpPr>
        </xdr:nvSpPr>
        <xdr:spPr bwMode="auto">
          <a:xfrm>
            <a:off x="463" y="267"/>
            <a:ext cx="151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Ｅ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電線の弾性係数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[Kg/sqmm]</a:t>
            </a:r>
          </a:p>
        </xdr:txBody>
      </xdr:sp>
      <xdr:sp macro="" textlink="">
        <xdr:nvSpPr>
          <xdr:cNvPr id="20486" name="Text Box 6"/>
          <xdr:cNvSpPr txBox="1">
            <a:spLocks noChangeArrowheads="1"/>
          </xdr:cNvSpPr>
        </xdr:nvSpPr>
        <xdr:spPr bwMode="auto">
          <a:xfrm>
            <a:off x="455" y="283"/>
            <a:ext cx="13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Ａ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電線の断面積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[sqmm]</a:t>
            </a:r>
          </a:p>
        </xdr:txBody>
      </xdr:sp>
      <xdr:sp macro="" textlink="">
        <xdr:nvSpPr>
          <xdr:cNvPr id="20487" name="Text Box 7"/>
          <xdr:cNvSpPr txBox="1">
            <a:spLocks noChangeArrowheads="1"/>
          </xdr:cNvSpPr>
        </xdr:nvSpPr>
        <xdr:spPr bwMode="auto">
          <a:xfrm>
            <a:off x="71" y="311"/>
            <a:ext cx="349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20488" name="Text Box 8"/>
          <xdr:cNvSpPr txBox="1">
            <a:spLocks noChangeArrowheads="1"/>
          </xdr:cNvSpPr>
        </xdr:nvSpPr>
        <xdr:spPr bwMode="auto">
          <a:xfrm>
            <a:off x="71" y="327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20489" name="Text Box 9"/>
          <xdr:cNvSpPr txBox="1">
            <a:spLocks noChangeArrowheads="1"/>
          </xdr:cNvSpPr>
        </xdr:nvSpPr>
        <xdr:spPr bwMode="auto">
          <a:xfrm>
            <a:off x="71" y="339"/>
            <a:ext cx="373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 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最大荷重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平均温度または最低温度ｔ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20490" name="Text Box 10"/>
          <xdr:cNvSpPr txBox="1">
            <a:spLocks noChangeArrowheads="1"/>
          </xdr:cNvSpPr>
        </xdr:nvSpPr>
        <xdr:spPr bwMode="auto">
          <a:xfrm>
            <a:off x="71" y="235"/>
            <a:ext cx="27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Ｄ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における弛度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20491" name="Text Box 11"/>
          <xdr:cNvSpPr txBox="1">
            <a:spLocks noChangeArrowheads="1"/>
          </xdr:cNvSpPr>
        </xdr:nvSpPr>
        <xdr:spPr bwMode="auto">
          <a:xfrm>
            <a:off x="71" y="255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Ｌ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における電線実長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  <xdr:sp macro="" textlink="">
        <xdr:nvSpPr>
          <xdr:cNvPr id="20492" name="Text Box 12"/>
          <xdr:cNvSpPr txBox="1">
            <a:spLocks noChangeArrowheads="1"/>
          </xdr:cNvSpPr>
        </xdr:nvSpPr>
        <xdr:spPr bwMode="auto">
          <a:xfrm>
            <a:off x="71" y="267"/>
            <a:ext cx="29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無風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無雪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,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任意温度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ｔ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[℃]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における電線張力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[Kg]</a:t>
            </a:r>
          </a:p>
        </xdr:txBody>
      </xdr:sp>
      <xdr:sp macro="" textlink="">
        <xdr:nvSpPr>
          <xdr:cNvPr id="20493" name="Text Box 13"/>
          <xdr:cNvSpPr txBox="1">
            <a:spLocks noChangeArrowheads="1"/>
          </xdr:cNvSpPr>
        </xdr:nvSpPr>
        <xdr:spPr bwMode="auto">
          <a:xfrm>
            <a:off x="71" y="283"/>
            <a:ext cx="205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Ｗ</a:t>
            </a:r>
            <a:r>
              <a:rPr lang="en-US" altLang="ja-JP" sz="1000" b="0" i="0" u="none" strike="noStrike" baseline="-25000">
                <a:solidFill>
                  <a:srgbClr val="000000"/>
                </a:solidFill>
                <a:latin typeface="ＭＳ ゴシック"/>
                <a:ea typeface="ＭＳ ゴシック"/>
              </a:rPr>
              <a:t>t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: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電線単位長あたりの質量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[Kg/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ｍ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]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8</xdr:row>
          <xdr:rowOff>180975</xdr:rowOff>
        </xdr:from>
        <xdr:to>
          <xdr:col>14</xdr:col>
          <xdr:colOff>66675</xdr:colOff>
          <xdr:row>10</xdr:row>
          <xdr:rowOff>123825</xdr:rowOff>
        </xdr:to>
        <xdr:sp macro="" textlink="">
          <xdr:nvSpPr>
            <xdr:cNvPr id="20494" name="Object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7</xdr:row>
          <xdr:rowOff>28575</xdr:rowOff>
        </xdr:from>
        <xdr:to>
          <xdr:col>11</xdr:col>
          <xdr:colOff>409575</xdr:colOff>
          <xdr:row>8</xdr:row>
          <xdr:rowOff>171450</xdr:rowOff>
        </xdr:to>
        <xdr:sp macro="" textlink="">
          <xdr:nvSpPr>
            <xdr:cNvPr id="20495" name="Object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8</xdr:col>
      <xdr:colOff>38100</xdr:colOff>
      <xdr:row>7</xdr:row>
      <xdr:rowOff>190500</xdr:rowOff>
    </xdr:from>
    <xdr:ext cx="533400" cy="171450"/>
    <xdr:sp macro="" textlink="">
      <xdr:nvSpPr>
        <xdr:cNvPr id="20496" name="Text Box 16"/>
        <xdr:cNvSpPr txBox="1">
          <a:spLocks noChangeArrowheads="1"/>
        </xdr:cNvSpPr>
      </xdr:nvSpPr>
      <xdr:spPr bwMode="auto">
        <a:xfrm>
          <a:off x="3057525" y="1552575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ただし、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352425</xdr:colOff>
          <xdr:row>7</xdr:row>
          <xdr:rowOff>38100</xdr:rowOff>
        </xdr:from>
        <xdr:to>
          <xdr:col>14</xdr:col>
          <xdr:colOff>85725</xdr:colOff>
          <xdr:row>8</xdr:row>
          <xdr:rowOff>152400</xdr:rowOff>
        </xdr:to>
        <xdr:sp macro="" textlink="">
          <xdr:nvSpPr>
            <xdr:cNvPr id="20497" name="Object 17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8</xdr:row>
          <xdr:rowOff>200025</xdr:rowOff>
        </xdr:from>
        <xdr:to>
          <xdr:col>7</xdr:col>
          <xdr:colOff>133350</xdr:colOff>
          <xdr:row>10</xdr:row>
          <xdr:rowOff>123825</xdr:rowOff>
        </xdr:to>
        <xdr:sp macro="" textlink="">
          <xdr:nvSpPr>
            <xdr:cNvPr id="20498" name="Object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104775</xdr:colOff>
          <xdr:row>8</xdr:row>
          <xdr:rowOff>161925</xdr:rowOff>
        </xdr:from>
        <xdr:to>
          <xdr:col>10</xdr:col>
          <xdr:colOff>133350</xdr:colOff>
          <xdr:row>10</xdr:row>
          <xdr:rowOff>114300</xdr:rowOff>
        </xdr:to>
        <xdr:sp macro="" textlink="">
          <xdr:nvSpPr>
            <xdr:cNvPr id="20499" name="Object 19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304800</xdr:colOff>
          <xdr:row>8</xdr:row>
          <xdr:rowOff>200025</xdr:rowOff>
        </xdr:from>
        <xdr:to>
          <xdr:col>12</xdr:col>
          <xdr:colOff>209550</xdr:colOff>
          <xdr:row>10</xdr:row>
          <xdr:rowOff>104775</xdr:rowOff>
        </xdr:to>
        <xdr:sp macro="" textlink="">
          <xdr:nvSpPr>
            <xdr:cNvPr id="20500" name="Object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257175</xdr:colOff>
          <xdr:row>9</xdr:row>
          <xdr:rowOff>0</xdr:rowOff>
        </xdr:from>
        <xdr:to>
          <xdr:col>15</xdr:col>
          <xdr:colOff>390525</xdr:colOff>
          <xdr:row>10</xdr:row>
          <xdr:rowOff>123825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114300</xdr:colOff>
      <xdr:row>9</xdr:row>
      <xdr:rowOff>114300</xdr:rowOff>
    </xdr:from>
    <xdr:ext cx="533400" cy="171450"/>
    <xdr:sp macro="" textlink="">
      <xdr:nvSpPr>
        <xdr:cNvPr id="20502" name="Text Box 22"/>
        <xdr:cNvSpPr txBox="1">
          <a:spLocks noChangeArrowheads="1"/>
        </xdr:cNvSpPr>
      </xdr:nvSpPr>
      <xdr:spPr bwMode="auto">
        <a:xfrm>
          <a:off x="790575" y="1895475"/>
          <a:ext cx="5334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関連式：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66675</xdr:colOff>
          <xdr:row>7</xdr:row>
          <xdr:rowOff>38100</xdr:rowOff>
        </xdr:from>
        <xdr:to>
          <xdr:col>6</xdr:col>
          <xdr:colOff>180975</xdr:colOff>
          <xdr:row>8</xdr:row>
          <xdr:rowOff>171450</xdr:rowOff>
        </xdr:to>
        <xdr:sp macro="" textlink="">
          <xdr:nvSpPr>
            <xdr:cNvPr id="20503" name="Object 23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17</xdr:col>
      <xdr:colOff>9525</xdr:colOff>
      <xdr:row>4</xdr:row>
      <xdr:rowOff>0</xdr:rowOff>
    </xdr:to>
    <xdr:sp macro="" textlink="">
      <xdr:nvSpPr>
        <xdr:cNvPr id="17409" name="Line 1"/>
        <xdr:cNvSpPr>
          <a:spLocks noChangeShapeType="1"/>
        </xdr:cNvSpPr>
      </xdr:nvSpPr>
      <xdr:spPr bwMode="auto">
        <a:xfrm>
          <a:off x="161925" y="695325"/>
          <a:ext cx="7134225" cy="0"/>
        </a:xfrm>
        <a:prstGeom prst="line">
          <a:avLst/>
        </a:prstGeom>
        <a:noFill/>
        <a:ln w="57150" cmpd="thinThick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</xdr:row>
      <xdr:rowOff>0</xdr:rowOff>
    </xdr:from>
    <xdr:to>
      <xdr:col>17</xdr:col>
      <xdr:colOff>9525</xdr:colOff>
      <xdr:row>62</xdr:row>
      <xdr:rowOff>0</xdr:rowOff>
    </xdr:to>
    <xdr:sp macro="" textlink="">
      <xdr:nvSpPr>
        <xdr:cNvPr id="17410" name="Line 2"/>
        <xdr:cNvSpPr>
          <a:spLocks noChangeShapeType="1"/>
        </xdr:cNvSpPr>
      </xdr:nvSpPr>
      <xdr:spPr bwMode="auto">
        <a:xfrm>
          <a:off x="161925" y="11049000"/>
          <a:ext cx="7134225" cy="0"/>
        </a:xfrm>
        <a:prstGeom prst="line">
          <a:avLst/>
        </a:prstGeom>
        <a:noFill/>
        <a:ln w="57150" cmpd="thickThin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0_RECS/10_&#26360;&#39006;/52_HPage-Excel/12_VD&#27491;&#35215;&#29256;/10_Excel/VD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-VD2"/>
      <sheetName val="VD2-Data "/>
      <sheetName val="請求書"/>
    </sheetNames>
    <sheetDataSet>
      <sheetData sheetId="0"/>
      <sheetData sheetId="1">
        <row r="6">
          <cell r="D6">
            <v>8</v>
          </cell>
          <cell r="E6">
            <v>3.01</v>
          </cell>
          <cell r="F6">
            <v>0.13500000000000001</v>
          </cell>
          <cell r="G6">
            <v>0.21</v>
          </cell>
          <cell r="I6">
            <v>8</v>
          </cell>
          <cell r="J6">
            <v>3.01</v>
          </cell>
          <cell r="K6">
            <v>0.154</v>
          </cell>
          <cell r="L6">
            <v>0.21</v>
          </cell>
          <cell r="N6">
            <v>8</v>
          </cell>
        </row>
        <row r="7">
          <cell r="D7">
            <v>14</v>
          </cell>
          <cell r="E7">
            <v>1.71</v>
          </cell>
          <cell r="F7">
            <v>0.127</v>
          </cell>
          <cell r="G7">
            <v>0.24</v>
          </cell>
          <cell r="I7">
            <v>14</v>
          </cell>
          <cell r="J7">
            <v>1.71</v>
          </cell>
          <cell r="K7">
            <v>0.14499999999999999</v>
          </cell>
          <cell r="L7">
            <v>0.24</v>
          </cell>
          <cell r="N7">
            <v>14</v>
          </cell>
        </row>
        <row r="8">
          <cell r="D8">
            <v>22</v>
          </cell>
          <cell r="E8">
            <v>1.08</v>
          </cell>
          <cell r="F8">
            <v>0.11799999999999999</v>
          </cell>
          <cell r="G8">
            <v>0.27</v>
          </cell>
          <cell r="I8">
            <v>22</v>
          </cell>
          <cell r="J8">
            <v>1.08</v>
          </cell>
          <cell r="K8">
            <v>0.13500000000000001</v>
          </cell>
          <cell r="L8">
            <v>0.27</v>
          </cell>
          <cell r="N8">
            <v>22</v>
          </cell>
        </row>
        <row r="9">
          <cell r="D9">
            <v>38</v>
          </cell>
          <cell r="E9">
            <v>0.626</v>
          </cell>
          <cell r="F9">
            <v>0.108</v>
          </cell>
          <cell r="G9">
            <v>0.32</v>
          </cell>
          <cell r="I9">
            <v>38</v>
          </cell>
          <cell r="J9">
            <v>0.626</v>
          </cell>
          <cell r="K9">
            <v>0.124</v>
          </cell>
          <cell r="L9">
            <v>0.32</v>
          </cell>
          <cell r="N9">
            <v>38</v>
          </cell>
          <cell r="O9">
            <v>0.626</v>
          </cell>
          <cell r="P9">
            <v>0.28698368235161531</v>
          </cell>
        </row>
        <row r="10">
          <cell r="D10">
            <v>60</v>
          </cell>
          <cell r="E10">
            <v>0.39700000000000002</v>
          </cell>
          <cell r="F10">
            <v>0.1</v>
          </cell>
          <cell r="G10">
            <v>0.37</v>
          </cell>
          <cell r="I10">
            <v>60</v>
          </cell>
          <cell r="J10">
            <v>0.39700000000000002</v>
          </cell>
          <cell r="K10">
            <v>0.115</v>
          </cell>
          <cell r="L10">
            <v>0.37</v>
          </cell>
          <cell r="N10">
            <v>60</v>
          </cell>
        </row>
        <row r="11">
          <cell r="D11">
            <v>100</v>
          </cell>
          <cell r="E11">
            <v>0.23899999999999999</v>
          </cell>
          <cell r="F11">
            <v>9.2899999999999996E-2</v>
          </cell>
          <cell r="G11">
            <v>0.45</v>
          </cell>
          <cell r="I11">
            <v>100</v>
          </cell>
          <cell r="J11">
            <v>0.23899999999999999</v>
          </cell>
          <cell r="K11">
            <v>0.107</v>
          </cell>
          <cell r="L11">
            <v>0.45</v>
          </cell>
          <cell r="N11">
            <v>100</v>
          </cell>
        </row>
        <row r="12">
          <cell r="D12">
            <v>150</v>
          </cell>
          <cell r="E12">
            <v>0.159</v>
          </cell>
          <cell r="F12">
            <v>8.7900000000000006E-2</v>
          </cell>
          <cell r="G12">
            <v>0.52</v>
          </cell>
          <cell r="I12">
            <v>150</v>
          </cell>
          <cell r="J12">
            <v>0.159</v>
          </cell>
          <cell r="K12">
            <v>0.10199999999999999</v>
          </cell>
          <cell r="L12">
            <v>0.52</v>
          </cell>
          <cell r="N12">
            <v>150</v>
          </cell>
        </row>
        <row r="13">
          <cell r="D13">
            <v>200</v>
          </cell>
          <cell r="E13">
            <v>0.12</v>
          </cell>
          <cell r="F13">
            <v>8.72E-2</v>
          </cell>
          <cell r="G13">
            <v>0.51</v>
          </cell>
          <cell r="I13">
            <v>200</v>
          </cell>
          <cell r="J13">
            <v>0.12</v>
          </cell>
          <cell r="K13">
            <v>0.1</v>
          </cell>
          <cell r="L13">
            <v>0.51</v>
          </cell>
          <cell r="N13">
            <v>200</v>
          </cell>
        </row>
        <row r="14">
          <cell r="D14">
            <v>250</v>
          </cell>
          <cell r="E14">
            <v>9.8100000000000007E-2</v>
          </cell>
          <cell r="F14">
            <v>8.4699999999999998E-2</v>
          </cell>
          <cell r="G14">
            <v>0.55000000000000004</v>
          </cell>
          <cell r="I14">
            <v>250</v>
          </cell>
          <cell r="J14">
            <v>9.7699999999999995E-2</v>
          </cell>
          <cell r="K14">
            <v>9.7600000000000006E-2</v>
          </cell>
          <cell r="L14">
            <v>0.55000000000000004</v>
          </cell>
          <cell r="N14">
            <v>250</v>
          </cell>
        </row>
        <row r="15">
          <cell r="D15">
            <v>325</v>
          </cell>
          <cell r="E15">
            <v>7.6399999999999996E-2</v>
          </cell>
          <cell r="F15">
            <v>8.2100000000000006E-2</v>
          </cell>
          <cell r="G15">
            <v>0.61</v>
          </cell>
          <cell r="I15">
            <v>325</v>
          </cell>
          <cell r="J15">
            <v>7.5899999999999995E-2</v>
          </cell>
          <cell r="K15">
            <v>9.4299999999999995E-2</v>
          </cell>
          <cell r="L15">
            <v>0.61</v>
          </cell>
          <cell r="N15">
            <v>325</v>
          </cell>
        </row>
        <row r="16">
          <cell r="D16">
            <v>400</v>
          </cell>
          <cell r="E16">
            <v>6.3299999999999995E-2</v>
          </cell>
          <cell r="F16">
            <v>7.9799999999999996E-2</v>
          </cell>
          <cell r="G16">
            <v>0.67</v>
          </cell>
          <cell r="I16">
            <v>400</v>
          </cell>
          <cell r="J16">
            <v>6.2700000000000006E-2</v>
          </cell>
          <cell r="K16">
            <v>9.2200000000000004E-2</v>
          </cell>
          <cell r="L16">
            <v>0.67</v>
          </cell>
          <cell r="N16">
            <v>400</v>
          </cell>
        </row>
        <row r="17">
          <cell r="D17">
            <v>500</v>
          </cell>
          <cell r="E17">
            <v>5.21E-2</v>
          </cell>
          <cell r="F17">
            <v>7.7899999999999997E-2</v>
          </cell>
          <cell r="G17">
            <v>0.74</v>
          </cell>
          <cell r="I17">
            <v>500</v>
          </cell>
          <cell r="J17">
            <v>5.1299999999999998E-2</v>
          </cell>
          <cell r="K17">
            <v>0.09</v>
          </cell>
          <cell r="L17">
            <v>0.74</v>
          </cell>
          <cell r="N17">
            <v>500</v>
          </cell>
        </row>
        <row r="18">
          <cell r="D18">
            <v>600</v>
          </cell>
          <cell r="E18">
            <v>4.4900000000000002E-2</v>
          </cell>
          <cell r="F18">
            <v>7.8100000000000003E-2</v>
          </cell>
          <cell r="G18">
            <v>0.71</v>
          </cell>
          <cell r="I18">
            <v>600</v>
          </cell>
          <cell r="J18">
            <v>4.3999999999999997E-2</v>
          </cell>
          <cell r="K18">
            <v>8.9700000000000002E-2</v>
          </cell>
          <cell r="L18">
            <v>0.71</v>
          </cell>
          <cell r="N18">
            <v>600</v>
          </cell>
        </row>
        <row r="27">
          <cell r="D27">
            <v>1000</v>
          </cell>
          <cell r="E27">
            <v>0.4975</v>
          </cell>
          <cell r="F27">
            <v>4.9752000000000001</v>
          </cell>
          <cell r="G27">
            <v>5.000012128985289</v>
          </cell>
        </row>
        <row r="28">
          <cell r="D28">
            <v>1500</v>
          </cell>
          <cell r="E28">
            <v>0.54730000000000001</v>
          </cell>
          <cell r="F28">
            <v>5.4726999999999997</v>
          </cell>
          <cell r="G28">
            <v>5.4999984163634084</v>
          </cell>
        </row>
        <row r="29">
          <cell r="D29">
            <v>2000</v>
          </cell>
          <cell r="E29">
            <v>0.59699999999999998</v>
          </cell>
          <cell r="F29">
            <v>5.9702000000000002</v>
          </cell>
          <cell r="G29">
            <v>5.9999747532802168</v>
          </cell>
        </row>
        <row r="30">
          <cell r="D30">
            <v>3000</v>
          </cell>
          <cell r="E30">
            <v>0.64680000000000004</v>
          </cell>
          <cell r="F30">
            <v>6.4676999999999998</v>
          </cell>
          <cell r="G30">
            <v>6.499961040652475</v>
          </cell>
        </row>
        <row r="31">
          <cell r="D31">
            <v>4500</v>
          </cell>
          <cell r="E31">
            <v>0.69650000000000001</v>
          </cell>
          <cell r="F31">
            <v>6.9653</v>
          </cell>
          <cell r="G31">
            <v>7.000036881331412</v>
          </cell>
        </row>
        <row r="32">
          <cell r="D32">
            <v>6000</v>
          </cell>
          <cell r="E32">
            <v>0.74629999999999996</v>
          </cell>
          <cell r="F32">
            <v>7.4627999999999997</v>
          </cell>
          <cell r="G32">
            <v>7.5000231686308805</v>
          </cell>
        </row>
        <row r="33">
          <cell r="D33">
            <v>7500</v>
          </cell>
          <cell r="E33">
            <v>0.79600000000000004</v>
          </cell>
          <cell r="F33">
            <v>7.9603000000000002</v>
          </cell>
          <cell r="G33">
            <v>7.9999995056249853</v>
          </cell>
        </row>
        <row r="34">
          <cell r="D34">
            <v>10000</v>
          </cell>
          <cell r="E34">
            <v>0.89549999999999996</v>
          </cell>
          <cell r="F34">
            <v>8.9552999999999994</v>
          </cell>
          <cell r="G34">
            <v>8.9999621299203252</v>
          </cell>
        </row>
        <row r="35">
          <cell r="D35">
            <v>15000</v>
          </cell>
          <cell r="E35">
            <v>0.995</v>
          </cell>
          <cell r="F35">
            <v>9.9504000000000001</v>
          </cell>
          <cell r="G35">
            <v>10.000024257970578</v>
          </cell>
        </row>
        <row r="36">
          <cell r="D36">
            <v>20000</v>
          </cell>
          <cell r="E36">
            <v>1.194</v>
          </cell>
          <cell r="F36">
            <v>11.9405</v>
          </cell>
          <cell r="G36">
            <v>12.000049010316582</v>
          </cell>
        </row>
        <row r="37">
          <cell r="G37" t="str">
            <v/>
          </cell>
        </row>
        <row r="38">
          <cell r="G38" t="str">
            <v/>
          </cell>
        </row>
        <row r="39">
          <cell r="G39" t="str">
            <v/>
          </cell>
        </row>
        <row r="40">
          <cell r="G40" t="str">
            <v/>
          </cell>
        </row>
        <row r="41">
          <cell r="G41" t="str">
            <v/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1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3.bin"/><Relationship Id="rId17" Type="http://schemas.openxmlformats.org/officeDocument/2006/relationships/image" Target="../media/image7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5.bin"/><Relationship Id="rId20" Type="http://schemas.openxmlformats.org/officeDocument/2006/relationships/comments" Target="../comments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0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2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9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9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24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21.bin"/><Relationship Id="rId17" Type="http://schemas.openxmlformats.org/officeDocument/2006/relationships/image" Target="../media/image7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23.bin"/><Relationship Id="rId20" Type="http://schemas.openxmlformats.org/officeDocument/2006/relationships/comments" Target="../comments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8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20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7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7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32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29.bin"/><Relationship Id="rId17" Type="http://schemas.openxmlformats.org/officeDocument/2006/relationships/image" Target="../media/image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31.bin"/><Relationship Id="rId20" Type="http://schemas.openxmlformats.org/officeDocument/2006/relationships/comments" Target="../comments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6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28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25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3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5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40.bin"/><Relationship Id="rId3" Type="http://schemas.openxmlformats.org/officeDocument/2006/relationships/vmlDrawing" Target="../drawings/vmlDrawing5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37.bin"/><Relationship Id="rId17" Type="http://schemas.openxmlformats.org/officeDocument/2006/relationships/image" Target="../media/image7.emf"/><Relationship Id="rId2" Type="http://schemas.openxmlformats.org/officeDocument/2006/relationships/drawing" Target="../drawings/drawing5.xml"/><Relationship Id="rId16" Type="http://schemas.openxmlformats.org/officeDocument/2006/relationships/oleObject" Target="../embeddings/oleObject39.bin"/><Relationship Id="rId20" Type="http://schemas.openxmlformats.org/officeDocument/2006/relationships/comments" Target="../comments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4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36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33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3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tabColor indexed="26"/>
  </sheetPr>
  <dimension ref="A1:CA28212"/>
  <sheetViews>
    <sheetView tabSelected="1" view="pageBreakPreview" zoomScaleNormal="100" zoomScaleSheetLayoutView="100" workbookViewId="0">
      <selection sqref="A1:A59"/>
    </sheetView>
  </sheetViews>
  <sheetFormatPr defaultRowHeight="13.5" x14ac:dyDescent="0.15"/>
  <cols>
    <col min="1" max="1" width="2.125" style="1" customWidth="1"/>
    <col min="2" max="2" width="6.75" style="1" customWidth="1"/>
    <col min="3" max="3" width="7.125" style="1" customWidth="1"/>
    <col min="4" max="4" width="5.875" style="1" customWidth="1"/>
    <col min="5" max="6" width="5.5" style="1" customWidth="1"/>
    <col min="7" max="7" width="3" style="1" customWidth="1"/>
    <col min="8" max="8" width="3.75" style="1" customWidth="1"/>
    <col min="9" max="9" width="7.125" style="1" customWidth="1"/>
    <col min="10" max="10" width="5.75" style="1" customWidth="1"/>
    <col min="11" max="11" width="5.375" style="1" customWidth="1"/>
    <col min="12" max="12" width="5.5" style="1" customWidth="1"/>
    <col min="13" max="14" width="7" style="1" customWidth="1"/>
    <col min="15" max="15" width="5.75" style="1" customWidth="1"/>
    <col min="16" max="16" width="5.625" style="1" customWidth="1"/>
    <col min="17" max="17" width="5.5" style="1" customWidth="1"/>
    <col min="18" max="18" width="1.25" style="1" customWidth="1"/>
    <col min="19" max="31" width="10" style="1" hidden="1" customWidth="1"/>
    <col min="32" max="32" width="10" style="1" customWidth="1"/>
    <col min="33" max="33" width="1.25" style="1" customWidth="1"/>
    <col min="34" max="80" width="10" style="1" customWidth="1"/>
    <col min="81" max="16384" width="9" style="1"/>
  </cols>
  <sheetData>
    <row r="1" spans="1:50" ht="13.5" customHeight="1" thickBot="1" x14ac:dyDescent="0.2">
      <c r="A1" s="339" t="s">
        <v>127</v>
      </c>
      <c r="B1" s="256" t="s">
        <v>164</v>
      </c>
      <c r="C1" s="256"/>
      <c r="D1" s="176"/>
      <c r="E1" s="176"/>
      <c r="F1" s="176"/>
      <c r="G1" s="176"/>
      <c r="H1" s="176"/>
      <c r="I1" s="176"/>
      <c r="J1" s="176"/>
      <c r="K1" s="176"/>
      <c r="L1" s="377"/>
      <c r="M1" s="377"/>
      <c r="N1" s="377"/>
      <c r="O1" s="378">
        <f ca="1">NOW()</f>
        <v>43058.134259837963</v>
      </c>
      <c r="P1" s="378"/>
      <c r="Q1" s="37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K1" s="246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</row>
    <row r="2" spans="1:50" ht="15" customHeight="1" x14ac:dyDescent="0.15">
      <c r="A2" s="339"/>
      <c r="B2" s="398"/>
      <c r="C2" s="400" t="s">
        <v>177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2"/>
      <c r="O2" s="257"/>
      <c r="P2" s="258"/>
      <c r="Q2" s="259"/>
      <c r="AF2" s="42" t="s">
        <v>50</v>
      </c>
      <c r="AH2" s="490" t="s">
        <v>27</v>
      </c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</row>
    <row r="3" spans="1:50" ht="10.5" customHeight="1" x14ac:dyDescent="0.15">
      <c r="A3" s="339"/>
      <c r="B3" s="399"/>
      <c r="C3" s="403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  <c r="O3" s="260"/>
      <c r="P3" s="261"/>
      <c r="Q3" s="262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65" t="s">
        <v>76</v>
      </c>
      <c r="AG3" s="24"/>
      <c r="AH3" s="489" t="s">
        <v>30</v>
      </c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</row>
    <row r="4" spans="1:50" ht="16.5" customHeight="1" thickBot="1" x14ac:dyDescent="0.2">
      <c r="A4" s="339"/>
      <c r="B4" s="488" t="s">
        <v>178</v>
      </c>
      <c r="C4" s="406" t="s">
        <v>179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8"/>
      <c r="O4" s="263" t="s">
        <v>180</v>
      </c>
      <c r="P4" s="409" t="s">
        <v>181</v>
      </c>
      <c r="Q4" s="410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65" t="s">
        <v>77</v>
      </c>
      <c r="AG4" s="25"/>
      <c r="AH4" s="64" t="s">
        <v>31</v>
      </c>
      <c r="AI4" s="26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</row>
    <row r="5" spans="1:50" ht="15.75" customHeight="1" thickBot="1" x14ac:dyDescent="0.2">
      <c r="A5" s="339"/>
      <c r="B5" s="20" t="s">
        <v>182</v>
      </c>
      <c r="C5" s="183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55" t="s">
        <v>176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65" t="s">
        <v>78</v>
      </c>
      <c r="AG5" s="40"/>
      <c r="AH5" s="64" t="s">
        <v>161</v>
      </c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</row>
    <row r="6" spans="1:50" ht="18" customHeight="1" x14ac:dyDescent="0.15">
      <c r="A6" s="339"/>
      <c r="B6" s="390" t="s">
        <v>12</v>
      </c>
      <c r="C6" s="39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65" t="s">
        <v>79</v>
      </c>
      <c r="AG6" s="41"/>
      <c r="AH6" s="64" t="s">
        <v>162</v>
      </c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</row>
    <row r="7" spans="1:50" ht="18" customHeight="1" x14ac:dyDescent="0.15">
      <c r="A7" s="339"/>
      <c r="B7" s="215" t="s">
        <v>11</v>
      </c>
      <c r="C7" s="18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65" t="s">
        <v>80</v>
      </c>
      <c r="AG7" s="41"/>
      <c r="AH7" s="64" t="s">
        <v>163</v>
      </c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</row>
    <row r="8" spans="1:50" ht="16.5" customHeight="1" x14ac:dyDescent="0.15">
      <c r="A8" s="339"/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65" t="s">
        <v>81</v>
      </c>
      <c r="AG8" s="41"/>
      <c r="AH8" s="64" t="s">
        <v>62</v>
      </c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</row>
    <row r="9" spans="1:50" ht="16.5" customHeight="1" x14ac:dyDescent="0.15">
      <c r="A9" s="339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5" t="s">
        <v>82</v>
      </c>
      <c r="AG9" s="41"/>
      <c r="AH9" s="64" t="s">
        <v>62</v>
      </c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</row>
    <row r="10" spans="1:50" ht="18" customHeight="1" x14ac:dyDescent="0.15">
      <c r="A10" s="339"/>
      <c r="B10" s="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65" t="s">
        <v>117</v>
      </c>
      <c r="AG10" s="41"/>
      <c r="AH10" s="64" t="s">
        <v>62</v>
      </c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</row>
    <row r="11" spans="1:50" ht="18" customHeight="1" x14ac:dyDescent="0.15">
      <c r="A11" s="339"/>
      <c r="B11" s="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3"/>
      <c r="S11" s="3"/>
      <c r="T11" s="3"/>
      <c r="U11" s="3"/>
      <c r="V11" s="212"/>
      <c r="W11" s="3"/>
      <c r="X11" s="3"/>
      <c r="Y11" s="3"/>
      <c r="Z11" s="3"/>
      <c r="AA11" s="3"/>
      <c r="AB11" s="3"/>
      <c r="AC11" s="3"/>
      <c r="AD11" s="3"/>
      <c r="AE11" s="3"/>
      <c r="AF11" s="65" t="s">
        <v>83</v>
      </c>
      <c r="AG11" s="41"/>
      <c r="AH11" s="64" t="s">
        <v>47</v>
      </c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</row>
    <row r="12" spans="1:50" ht="18" customHeight="1" x14ac:dyDescent="0.15">
      <c r="A12" s="339"/>
      <c r="B12" s="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65" t="s">
        <v>84</v>
      </c>
      <c r="AG12" s="41"/>
      <c r="AH12" s="41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</row>
    <row r="13" spans="1:50" ht="18" customHeight="1" x14ac:dyDescent="0.15">
      <c r="A13" s="339"/>
      <c r="B13" s="5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65" t="s">
        <v>85</v>
      </c>
      <c r="AG13" s="41"/>
      <c r="AH13" s="41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</row>
    <row r="14" spans="1:50" ht="18" customHeight="1" x14ac:dyDescent="0.15">
      <c r="A14" s="339"/>
      <c r="B14" s="5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3"/>
      <c r="S14" s="3">
        <f>SQRT(((K23+S23)/10)^2+(M23+U23)^2)</f>
        <v>1.2649110640673518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65" t="s">
        <v>105</v>
      </c>
      <c r="AG14" s="41"/>
      <c r="AH14" s="41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</row>
    <row r="15" spans="1:50" ht="18" customHeight="1" x14ac:dyDescent="0.15">
      <c r="A15" s="339"/>
      <c r="B15" s="5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48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65" t="s">
        <v>106</v>
      </c>
      <c r="AG15" s="41"/>
      <c r="AH15" s="41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</row>
    <row r="16" spans="1:50" ht="18" customHeight="1" x14ac:dyDescent="0.15">
      <c r="A16" s="339"/>
      <c r="B16" s="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3"/>
      <c r="S16" s="3"/>
      <c r="T16" s="95" t="s">
        <v>40</v>
      </c>
      <c r="U16" s="95" t="s">
        <v>41</v>
      </c>
      <c r="V16" s="95" t="s">
        <v>42</v>
      </c>
      <c r="W16" s="3"/>
      <c r="X16" s="3"/>
      <c r="Y16" s="3"/>
      <c r="Z16" s="3"/>
      <c r="AA16" s="3"/>
      <c r="AB16" s="3"/>
      <c r="AC16" s="3"/>
      <c r="AD16" s="3"/>
      <c r="AE16" s="3"/>
      <c r="AF16" s="65" t="s">
        <v>107</v>
      </c>
      <c r="AG16" s="41"/>
      <c r="AH16" s="41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</row>
    <row r="17" spans="1:50" ht="18" customHeight="1" x14ac:dyDescent="0.15">
      <c r="A17" s="339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3"/>
      <c r="S17" s="170">
        <v>23</v>
      </c>
      <c r="T17" s="99">
        <f>IF(AND(AC23=AC24,AC23=AC25,AC23=AC26,AC23=AC27,AC23=AC28,AC23=AC29),S35,IF(AND(AC23=AC24,AC23=AC25,AC23=AC26,AC23=AC27,AC23=AC28),S36,IF(AND(AC23=AC24,AC23=AC25,AC23=AC26,AC23=AC27),S37,IF(AND(AC23=AC24,AC23=AC25,AC23=AC26),S38,IF(AND(AC23=AC24,AC23=AC25),S39,IF(AC23=AC24,S40,0))))))</f>
        <v>0</v>
      </c>
      <c r="U17" s="99">
        <f>IF(AND(AC23=AC24,AC23=AC25,AC23=AC26,AC23=AC27,AC23=AC28,AC23=AC29),S48,IF(AND(AC23=AC24,AC23=AC25,AC23=AC26,AC23=AC27,AC23=AC28),S49,IF(AND(AC23=AC24,AC23=AC25,AC23=AC26,AC23=AC27),S50,IF(AND(AC23=AC24,AC23=AC25,AC23=AC26),S51,IF(AND(AC23=AC24,AC23=AC25),S52,IF(AC23=AC24,S53,0))))))</f>
        <v>0</v>
      </c>
      <c r="V17" s="99">
        <f>IF(AND(AC23=AC24,AC23=AC25,AC23=AC26,AC23=AC27,AC23=AC28,AC23=AC29),S61,IF(AND(AC23=AC24,AC23=AC25,AC23=AC26,AC23=AC27,AC23=AC28),S62,IF(AND(AC23=AC24,AC23=AC25,AC23=AC26,AC23=AC27),S63,IF(AND(AC23=AC24,AC23=AC25,AC23=AC26),S64,IF(AND(AC23=AC24,AC23=AC25),S65,IF(AC23=AC24,S66,0))))))</f>
        <v>0</v>
      </c>
      <c r="W17" s="3"/>
      <c r="X17" s="3"/>
      <c r="Y17" s="3"/>
      <c r="Z17" s="3"/>
      <c r="AA17" s="3"/>
      <c r="AB17" s="3"/>
      <c r="AC17" s="3"/>
      <c r="AD17" s="3"/>
      <c r="AE17" s="3"/>
      <c r="AF17" s="65" t="s">
        <v>108</v>
      </c>
      <c r="AG17" s="41"/>
      <c r="AH17" s="41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</row>
    <row r="18" spans="1:50" ht="13.5" customHeight="1" thickBot="1" x14ac:dyDescent="0.2">
      <c r="A18" s="339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3"/>
      <c r="S18" s="170">
        <v>23</v>
      </c>
      <c r="T18" s="99">
        <f>IF(D23="",0,IF(I23="",SQRT(((K23+S23)/10)^2+(M23+U23)^2),SQRT(((K23/10)*(H23^0.55)+S23/1000)^2+(M23*H23+U23)^2)))</f>
        <v>1.2649110640673518</v>
      </c>
      <c r="U18" s="99">
        <f>IF(D23="",0,IF(I23="",SQRT((50*(K23/1000+0.012))^2+(M23+16.9646*(K23/1000+0.006))^2),SQRT((((K23*H23*0.001/H23)*(H23^0.55)+0.012+Y47)*50)^2+(M23*H23+16.9646*((K23*H23*0.001/H23)*(H23^0.55)+0.006)+Z47)^2)))</f>
        <v>1.3919542663549833</v>
      </c>
      <c r="V18" s="99">
        <f>IF(D23="",0,IF(I23="",SQRT(((K23+S23)/20)^2+(M23+U23)^2),SQRT(((K23/20)*(H23^0.55)+S23/1000)^2+(M23*H23+U23)^2)))</f>
        <v>0.72111025509279791</v>
      </c>
      <c r="W18" s="3"/>
      <c r="X18" s="3"/>
      <c r="Y18" s="3"/>
      <c r="Z18" s="3"/>
      <c r="AA18" s="3"/>
      <c r="AB18" s="3"/>
      <c r="AC18" s="3"/>
      <c r="AD18" s="3"/>
      <c r="AE18" s="3"/>
      <c r="AF18" s="65" t="s">
        <v>109</v>
      </c>
      <c r="AG18" s="41"/>
      <c r="AH18" s="41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</row>
    <row r="19" spans="1:50" ht="18" customHeight="1" thickBot="1" x14ac:dyDescent="0.2">
      <c r="A19" s="339"/>
      <c r="B19" s="392" t="s">
        <v>44</v>
      </c>
      <c r="C19" s="393"/>
      <c r="D19" s="364" t="s">
        <v>160</v>
      </c>
      <c r="E19" s="365"/>
      <c r="F19" s="477">
        <v>40</v>
      </c>
      <c r="G19" s="349" t="s">
        <v>156</v>
      </c>
      <c r="H19" s="349"/>
      <c r="I19" s="350"/>
      <c r="J19" s="351" t="s">
        <v>45</v>
      </c>
      <c r="K19" s="352"/>
      <c r="L19" s="214">
        <v>0.5</v>
      </c>
      <c r="M19" s="213" t="str">
        <f>IF(AND(B23="",B24="",B25="",B26="",B27="",B28="",B29="",OR(C33&lt;&gt;"",I33&lt;&gt;"",N33&lt;&gt;"",C47&lt;&gt;"",I47&lt;&gt;"")),"弛度補正値を消去して下さい!!",IF(AND(D23&lt;&gt;"",F19=""),"径間長を入力して下さい!!",IF(AND(D23&lt;&gt;"",L19=""),"基準弛度を入力して下さい!!","")))</f>
        <v/>
      </c>
      <c r="N19" s="38"/>
      <c r="O19" s="38"/>
      <c r="P19" s="38"/>
      <c r="Q19" s="39"/>
      <c r="R19" s="35"/>
      <c r="S19" s="170">
        <v>24</v>
      </c>
      <c r="T19" s="99">
        <f>IF(AC23=AC24,"",IF(AND(AC24=AC25,AC24=AC26,AC24=AC27,AC24=AC28,AC24=AC29),T36,IF(AND(AC24=AC25,AC24=AC26,AC24=AC27,AC24=AC28),T36,IF(AND(AC24=AC25,AC24=AC26,AC24=AC27),T38,IF(AND(AC24=AC25,AC24=AC26),T39,IF(AC24=AC25,T40,0))))))</f>
        <v>0</v>
      </c>
      <c r="U19" s="99">
        <f>IF(AC23=AC24,"",IF(AND(AC24=AC25,AC24=AC26,AC24=AC27,AC24=AC28,AC24=AC29),T49,IF(AND(AC24=AC25,AC24=AC26,AC24=AC27,AC24=AC28),T50,IF(AND(AC24=AC25,AC24=AC26,AC24=AC27),T51,IF(AND(AC24=AC25,AC24=AC26),T52,IF(AC24=AC25,T5,0))))))</f>
        <v>0</v>
      </c>
      <c r="V19" s="99">
        <f>IF(AC23=AC24,"",IF(AND(AC24=AC25,AC24=AC26,AC24=AC27,AC24=AC28,AC24=AC29),T62,IF(AND(AC24=AC25,AC24=AC26,AC24=AC27,AC24=AC28),T63,IF(AND(AC24=AC25,AC24=AC26,AC24=AC27),T64,IF(AND(AC24=AC25,AC24=AC26),T65,IF(AC24=AC25,T66,0))))))</f>
        <v>0</v>
      </c>
      <c r="W19" s="35"/>
      <c r="X19" s="35"/>
      <c r="Y19" s="35"/>
      <c r="Z19" s="35"/>
      <c r="AA19" s="35"/>
      <c r="AB19" s="35"/>
      <c r="AC19" s="35"/>
      <c r="AD19" s="35"/>
      <c r="AE19" s="35"/>
      <c r="AF19" s="65" t="s">
        <v>110</v>
      </c>
      <c r="AG19" s="41"/>
      <c r="AH19" s="41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</row>
    <row r="20" spans="1:50" ht="11.25" customHeight="1" x14ac:dyDescent="0.15">
      <c r="A20" s="339"/>
      <c r="B20" s="367" t="s">
        <v>60</v>
      </c>
      <c r="C20" s="368"/>
      <c r="D20" s="316" t="s">
        <v>26</v>
      </c>
      <c r="E20" s="317"/>
      <c r="F20" s="316" t="s">
        <v>28</v>
      </c>
      <c r="G20" s="317"/>
      <c r="H20" s="322" t="s">
        <v>29</v>
      </c>
      <c r="I20" s="340" t="s">
        <v>39</v>
      </c>
      <c r="J20" s="353" t="s">
        <v>61</v>
      </c>
      <c r="K20" s="343" t="s">
        <v>43</v>
      </c>
      <c r="L20" s="344"/>
      <c r="M20" s="344"/>
      <c r="N20" s="345"/>
      <c r="O20" s="381" t="s">
        <v>51</v>
      </c>
      <c r="P20" s="344"/>
      <c r="Q20" s="382"/>
      <c r="R20" s="36"/>
      <c r="S20" s="169">
        <v>24</v>
      </c>
      <c r="T20" s="99">
        <f>IF(D24="",0,IF(I24="",SQRT(((K24+S24)/10)^2+(M24+U24)^2),SQRT((K24*(H24^0.55)/10+S24/1000)^2+(M24*H24+U24)^2)))</f>
        <v>1.914664941967654</v>
      </c>
      <c r="U20" s="99">
        <f>IF(D24="",0,IF(I24="",SQRT((50*(K24/1000+0.012))^2+(M24+16.9646*(K24/1000+0.006))^2),SQRT((((K24*H24*0.001/H24)*(H24^0.55)+0.012+Y48)*50)^2+(M24*H24+16.9646*((K24*H24*0.001/H24)*(H24^0.55)+0.006)+Z48)^2)))</f>
        <v>2.7333446894099271</v>
      </c>
      <c r="V20" s="99">
        <f>IF(D24="",0,IF(I24="",SQRT(((K24+S24)/20)^2+(M24+U24)^2),SQRT((K24*(H24^0.55)/20+S24/1000)^2+(M24*H24+U24)^2)))</f>
        <v>1.1642237070254153</v>
      </c>
      <c r="W20" s="36"/>
      <c r="X20" s="36"/>
      <c r="Y20" s="254" t="s">
        <v>175</v>
      </c>
      <c r="Z20" s="36"/>
      <c r="AA20" s="36"/>
      <c r="AB20" s="36"/>
      <c r="AC20" s="36"/>
      <c r="AD20" s="36"/>
      <c r="AE20" s="36"/>
      <c r="AF20" s="65" t="s">
        <v>111</v>
      </c>
      <c r="AG20" s="41"/>
      <c r="AH20" s="41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</row>
    <row r="21" spans="1:50" ht="11.25" customHeight="1" x14ac:dyDescent="0.15">
      <c r="A21" s="339"/>
      <c r="B21" s="369"/>
      <c r="C21" s="370"/>
      <c r="D21" s="318"/>
      <c r="E21" s="319"/>
      <c r="F21" s="318"/>
      <c r="G21" s="319"/>
      <c r="H21" s="323"/>
      <c r="I21" s="341"/>
      <c r="J21" s="354"/>
      <c r="K21" s="49" t="s">
        <v>32</v>
      </c>
      <c r="L21" s="50" t="s">
        <v>34</v>
      </c>
      <c r="M21" s="50" t="s">
        <v>36</v>
      </c>
      <c r="N21" s="50" t="s">
        <v>38</v>
      </c>
      <c r="O21" s="50" t="s">
        <v>40</v>
      </c>
      <c r="P21" s="50" t="s">
        <v>41</v>
      </c>
      <c r="Q21" s="52" t="s">
        <v>42</v>
      </c>
      <c r="R21" s="36"/>
      <c r="S21" s="36"/>
      <c r="T21" s="36"/>
      <c r="U21" s="36"/>
      <c r="V21" s="36"/>
      <c r="W21" s="36"/>
      <c r="X21" s="36"/>
      <c r="Y21" s="50" t="s">
        <v>36</v>
      </c>
      <c r="Z21" s="36"/>
      <c r="AA21" s="36"/>
      <c r="AB21" s="36"/>
      <c r="AC21" s="36"/>
      <c r="AD21" s="36"/>
      <c r="AE21" s="36"/>
      <c r="AF21" s="65" t="s">
        <v>112</v>
      </c>
      <c r="AG21" s="41"/>
      <c r="AH21" s="41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</row>
    <row r="22" spans="1:50" ht="11.25" customHeight="1" x14ac:dyDescent="0.15">
      <c r="A22" s="339"/>
      <c r="B22" s="371"/>
      <c r="C22" s="372"/>
      <c r="D22" s="320"/>
      <c r="E22" s="321"/>
      <c r="F22" s="320"/>
      <c r="G22" s="321"/>
      <c r="H22" s="324"/>
      <c r="I22" s="342"/>
      <c r="J22" s="355"/>
      <c r="K22" s="37" t="s">
        <v>33</v>
      </c>
      <c r="L22" s="51" t="s">
        <v>35</v>
      </c>
      <c r="M22" s="51" t="s">
        <v>37</v>
      </c>
      <c r="N22" s="51" t="s">
        <v>125</v>
      </c>
      <c r="O22" s="51" t="s">
        <v>122</v>
      </c>
      <c r="P22" s="51" t="s">
        <v>123</v>
      </c>
      <c r="Q22" s="30" t="s">
        <v>124</v>
      </c>
      <c r="R22" s="36"/>
      <c r="S22" s="103" t="s">
        <v>32</v>
      </c>
      <c r="T22" s="103" t="s">
        <v>34</v>
      </c>
      <c r="U22" s="103" t="s">
        <v>36</v>
      </c>
      <c r="V22" s="104" t="s">
        <v>119</v>
      </c>
      <c r="W22" s="104" t="s">
        <v>120</v>
      </c>
      <c r="X22" s="100"/>
      <c r="Y22" s="51" t="s">
        <v>37</v>
      </c>
      <c r="Z22" s="100"/>
      <c r="AA22" s="36"/>
      <c r="AB22" s="36"/>
      <c r="AC22" s="43" t="s">
        <v>48</v>
      </c>
      <c r="AD22" s="43" t="s">
        <v>49</v>
      </c>
      <c r="AE22" s="36"/>
      <c r="AF22" s="65" t="s">
        <v>113</v>
      </c>
      <c r="AG22" s="41"/>
      <c r="AH22" s="41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</row>
    <row r="23" spans="1:50" ht="15" customHeight="1" x14ac:dyDescent="0.15">
      <c r="A23" s="339"/>
      <c r="B23" s="394" t="str">
        <f>IF(OR(D23="",F23="",H23="",J23=""),"","使用電線-"&amp;AC23)</f>
        <v>使用電線-1</v>
      </c>
      <c r="C23" s="395"/>
      <c r="D23" s="325" t="s">
        <v>355</v>
      </c>
      <c r="E23" s="326"/>
      <c r="F23" s="478">
        <v>38</v>
      </c>
      <c r="G23" s="479" t="str">
        <f>IF(F23=0,"",IF(OR(F23=0.5,F23=1.2,F23=2.6,F23=3.2,F23=4,F23=5),"mm","sq"))</f>
        <v>sq</v>
      </c>
      <c r="H23" s="480">
        <v>3</v>
      </c>
      <c r="I23" s="481"/>
      <c r="J23" s="482">
        <v>1</v>
      </c>
      <c r="K23" s="190">
        <f>IF(B23="","",HLOOKUP(F23,Ｗｉｒｅ,3+(VALUE(LEFT(D23,2))-1)*8,FALSE))</f>
        <v>12</v>
      </c>
      <c r="L23" s="189">
        <f t="shared" ref="L23:L29" si="0">IF(B23="","",IF(I23="",HLOOKUP(F23,Ｗｉｒｅ,4+(VALUE(LEFT(D23,2))-1)*8),T23))</f>
        <v>37.164999999999999</v>
      </c>
      <c r="M23" s="191">
        <f>IF(AND(I24="---〃---",I25="---〃---",I26="---〃---",I27="---〃---",I28="---〃---",I29="---〃---"),SUM(Y23:Y29),IF(AND(I24="---〃---",I25="---〃---",I26="---〃---",I27="---〃---",I28="---〃---"),SUM(Y23:Y28),IF(AND(I24="---〃---",I25="---〃---",I26="---〃---",I27="---〃---"),SUM(Y23:Y27),IF(AND(I24="---〃---",I25="---〃---",I26="---〃---"),SUM(Y23:Y26),IF(AND(I24="---〃---",I25="---〃---"),SUM(Y23:Y25),IF(I24="---〃---",SUM(Y23:Y24),Y23))))))</f>
        <v>0.4</v>
      </c>
      <c r="N23" s="192">
        <f>IF(B23="","",IF(I23="",HLOOKUP(F23,Ｗｉｒｅ,6+(VALUE(LEFT(D23,2))-1)*8,FALSE),VLOOKUP(I23,Ｍ.Ｗｉｒｅ,5,FALSE)))</f>
        <v>1480</v>
      </c>
      <c r="O23" s="191">
        <f>IF(B23="","",IF(T17=0,T18,T17))</f>
        <v>1.2649110640673518</v>
      </c>
      <c r="P23" s="191">
        <f>IF(B23="","",IF(U17=0,U18,U17))</f>
        <v>1.3919542663549833</v>
      </c>
      <c r="Q23" s="193">
        <f>IF(B23="","",IF(V17=0,V18,V17))</f>
        <v>0.72111025509279791</v>
      </c>
      <c r="R23" s="58"/>
      <c r="S23" s="54">
        <f>IF(OR(I23=AH3,I23=AH4,I23=AH5,I23=AH6,I23=AH7,I23=AH8,I23=AH9,I23=AH10),VLOOKUP(I23,Ｍ.Ｗｉｒｅ,2,FALSE),0)</f>
        <v>0</v>
      </c>
      <c r="T23" s="54">
        <f>IF(OR(I23=AH3,I23=AH4,I23=AH5,I23=AH6,I23=AH7,I23=AH8,I23=AH9,I23=AH10),VLOOKUP(I23,Ｍ.Ｗｉｒｅ,3,FALSE),0)</f>
        <v>0</v>
      </c>
      <c r="U23" s="54">
        <f>IF(OR(I23=AH3,I23=AH4,I23=AH5,I23=AH6,I23=AH7,I23=AH8,I23=AH9,I23=AH10),VLOOKUP(I23,Ｍ.Ｗｉｒｅ,4,FALSE),0)</f>
        <v>0</v>
      </c>
      <c r="V23" s="96">
        <f t="shared" ref="V23:V29" si="1">IF(B23="",0,IF(I23="---〃---","",IF(I23="",HLOOKUP(F23,Ｗｉｒｅ,7+(VALUE(LEFT(D23,2))-1)*8,FALSE),VLOOKUP(I23,Ｍ.Ｗｉｒｅ,6,FALSE))))</f>
        <v>12000</v>
      </c>
      <c r="W23" s="53">
        <f t="shared" ref="W23:W29" si="2">IF(B23="",0,IF(I23="---〃---","",IF(I23="",HLOOKUP(F23,Ｗｉｒｅ,8+(VALUE(LEFT(D23,2))-1)*8,FALSE),VLOOKUP(I23,Ｍ.Ｗｉｒｅ,7,FALSE))))</f>
        <v>170</v>
      </c>
      <c r="X23" s="101"/>
      <c r="Y23" s="54">
        <f t="shared" ref="Y23:Y29" si="3">IF(B23="","",HLOOKUP(F23,Ｗｉｒｅ,5+(VALUE(LEFT(D23,2))-1)*8))</f>
        <v>0.4</v>
      </c>
      <c r="Z23" s="101"/>
      <c r="AA23" s="58"/>
      <c r="AB23" s="53">
        <f>IF(AC23="","",1)</f>
        <v>1</v>
      </c>
      <c r="AC23" s="53">
        <f>IF(AND(D23&lt;&gt;"",OR(AD23=0,AD23=1)),1,"")</f>
        <v>1</v>
      </c>
      <c r="AD23" s="53">
        <f t="shared" ref="AD23:AD29" si="4">IF(I23="",0,IF(I23="---〃---",2,IF(I23&lt;&gt;"",1,"入力ミス")))</f>
        <v>0</v>
      </c>
      <c r="AE23" s="58"/>
      <c r="AF23" s="65" t="s">
        <v>114</v>
      </c>
      <c r="AG23" s="41"/>
      <c r="AH23" s="41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</row>
    <row r="24" spans="1:50" ht="15" customHeight="1" x14ac:dyDescent="0.15">
      <c r="A24" s="339"/>
      <c r="B24" s="373" t="str">
        <f>IF(OR(D24="",F24="",H24="",J24=""),"",IF(AC23=AC24,"---〃---","使用電線-"&amp;AC24))</f>
        <v>使用電線-2</v>
      </c>
      <c r="C24" s="374"/>
      <c r="D24" s="327" t="s">
        <v>357</v>
      </c>
      <c r="E24" s="328"/>
      <c r="F24" s="483">
        <v>2</v>
      </c>
      <c r="G24" s="479" t="str">
        <f t="shared" ref="G24:G29" si="5">IF(F24=0,"",IF(OR(F24=0.5,F24=1.2,F24=2.6,F24=3.2,F24=4,F24=5),"mm","sq"))</f>
        <v>sq</v>
      </c>
      <c r="H24" s="484">
        <v>1</v>
      </c>
      <c r="I24" s="485" t="s">
        <v>356</v>
      </c>
      <c r="J24" s="486">
        <v>1</v>
      </c>
      <c r="K24" s="194">
        <f>IF(B24="","",HLOOKUP(F24,Ｗｉｒｅ,3+(VALUE(LEFT(D24,2))-1)*8,FALSE))</f>
        <v>17.5</v>
      </c>
      <c r="L24" s="189">
        <f t="shared" si="0"/>
        <v>37.164999999999999</v>
      </c>
      <c r="M24" s="195">
        <f>IF(I24="---〃---",0.00001,IF(AND(I25="---〃---",I26="---〃---",I27="---〃---",I28="---〃---",I29="---〃---"),SUM(Y24:Y29),IF(AND(I25="---〃---",I26="---〃---",I27="---〃---",I28="---〃---"),SUM(Y24:Y28),IF(AND(I25="---〃---",I26="---〃---",I27="---〃---"),SUM(Y24:Y27),IF(AND(I25="---〃---",I26="---〃---"),SUM(Y24:Y26),IF(I25="---〃---",SUM(Y24:Y25),Y24))))))</f>
        <v>0.46500000000000002</v>
      </c>
      <c r="N24" s="196">
        <f>IF(OR(B24="",I24="---〃---"),"",IF(I24="",HLOOKUP(F24,Ｗｉｒｅ,6+(VALUE(LEFT(D24,2))-1)*8,FALSE),VLOOKUP(I24,Ｍ.Ｗｉｒｅ,5,FALSE)))</f>
        <v>4270</v>
      </c>
      <c r="O24" s="195">
        <f>IF(AND(T19=0,T20=0),"",IF(T19=0,T20,T19))</f>
        <v>1.914664941967654</v>
      </c>
      <c r="P24" s="195">
        <f>IF(AND(U19=0,U20=0),"",IF(U19=0,U20,U19))</f>
        <v>2.7333446894099271</v>
      </c>
      <c r="Q24" s="197">
        <f>IF(AND(V19=0,V20=0),"",IF(V19=0,V20,V19))</f>
        <v>1.1642237070254153</v>
      </c>
      <c r="R24" s="58"/>
      <c r="S24" s="54">
        <f>IF(OR(I24=AH3,I24=AH4,I24=AH5,I24=AH6,I24=AH7,I24=AH8,I24=AH9,I24=AH10),VLOOKUP(I24,Ｍ.Ｗｉｒｅ,2,FALSE),0)</f>
        <v>7.8</v>
      </c>
      <c r="T24" s="54">
        <f>IF(OR(I24=AH3,I24=AH4,I24=AH5,I24=AH6,I24=AH7,I24=AH8,I24=AH9,I24=AH10),VLOOKUP(I24,Ｍ.Ｗｉｒｅ,3,FALSE),0)</f>
        <v>37.164999999999999</v>
      </c>
      <c r="U24" s="54">
        <f>IF(OR(I24=AH3,I24=AH4,I24=AH5,I24=AH6,I24=AH7,I24=AH8,I24=AH9,I24=AH10),VLOOKUP(I24,Ｍ.Ｗｉｒｅ,4,FALSE),0)</f>
        <v>0.29399999999999998</v>
      </c>
      <c r="V24" s="96">
        <f t="shared" si="1"/>
        <v>21000</v>
      </c>
      <c r="W24" s="53">
        <f t="shared" si="2"/>
        <v>115</v>
      </c>
      <c r="X24" s="101"/>
      <c r="Y24" s="54">
        <f t="shared" si="3"/>
        <v>0.46500000000000002</v>
      </c>
      <c r="Z24" s="101"/>
      <c r="AA24" s="58"/>
      <c r="AB24" s="53">
        <f t="shared" ref="AB24:AB29" si="6">IF(AC24="","",AB23+1)</f>
        <v>2</v>
      </c>
      <c r="AC24" s="53">
        <f t="shared" ref="AC24:AC29" si="7">IF(AND(D24&lt;&gt;"",AD24=2),AC23,IF(AND(D24&lt;&gt;"",OR(AD24=0,AD24=1)),AC23+1,""))</f>
        <v>2</v>
      </c>
      <c r="AD24" s="53">
        <f t="shared" si="4"/>
        <v>1</v>
      </c>
      <c r="AE24" s="58"/>
      <c r="AF24" s="65" t="s">
        <v>115</v>
      </c>
      <c r="AG24" s="41"/>
      <c r="AH24" s="41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</row>
    <row r="25" spans="1:50" ht="15" customHeight="1" x14ac:dyDescent="0.15">
      <c r="A25" s="339"/>
      <c r="B25" s="373" t="str">
        <f>IF(OR(D25="",F25="",H25="",J25=""),"",IF(AC24=AC25,"---〃---","使用電線-"&amp;AC25))</f>
        <v/>
      </c>
      <c r="C25" s="374"/>
      <c r="D25" s="327"/>
      <c r="E25" s="328"/>
      <c r="F25" s="483"/>
      <c r="G25" s="479" t="str">
        <f t="shared" si="5"/>
        <v/>
      </c>
      <c r="H25" s="484"/>
      <c r="I25" s="485"/>
      <c r="J25" s="486"/>
      <c r="K25" s="194" t="str">
        <f>IF(B25="","",HLOOKUP(F25,Ｗｉｒｅ,3+(VALUE(LEFT(D25,2))-1)*8,FALSE))</f>
        <v/>
      </c>
      <c r="L25" s="189" t="str">
        <f t="shared" si="0"/>
        <v/>
      </c>
      <c r="M25" s="195" t="str">
        <f>IF(I25="---〃---",0.00001,IF(AND(I26="---〃---",I27="---〃---",I28="---〃---",I29="---〃---"),SUM(Y25:Y29),IF(AND(I26="---〃---",I27="---〃---",I28="---〃---"),SUM(Y25:Y28),IF(AND(I26="---〃---",I27="---〃---"),SUM(Y25:Y27),IF(I26="---〃---",SUM(Y25:Y26),Y25)))))</f>
        <v/>
      </c>
      <c r="N25" s="196" t="str">
        <f>IF(OR(B25="",I25="---〃---"),"",IF(I25="",HLOOKUP(F25,Ｗｉｒｅ,6+(VALUE(LEFT(D25,2))-1)*8,FALSE),VLOOKUP(I25,Ｍ.Ｗｉｒｅ,5,FALSE)))</f>
        <v/>
      </c>
      <c r="O25" s="195" t="str">
        <f>IF(B25="","",IF(AC24=AC25,"",IF(AND(AC25=AC26,AC25=AC27,AC25=AC28,AC25=AC29),U37,IF(AND(AC25=AC26,AC25=AC27,AC25=AC28),U38,IF(AND(AC25=AC26,AC25=AC27),U39,IF(AC25=AC26,U40,IF(I25="",SQRT(((K25+S25)/10)^2+(M25+U25)^2),SQRT(((K25/10)*(H25^0.55)+S25/1000)^2+(M25*H25+U25)^2))))))))</f>
        <v/>
      </c>
      <c r="P25" s="195" t="str">
        <f>IF(O25="","",IF(AC24=AC25,"",IF(AND(AC25=AC26,AC25=AC27,AC25=AC28,AC25=AC29),U50,IF(AND(AC25=AC26,AC25=AC27,AC25=AC28),U51,IF(AND(AC25=AC26,AC25=AC27),U52,IF(AC25=AC26,U53,IF(I25="",SQRT((50*(K25/1000+0.012))^2+(M25+16.9646*(K25/1000+0.006))^2),SQRT((((K25*H25*0.001/H25)*(H25^0.55)+0.012+Y49)*50)^2+(M25*H25+16.9646*((K25*H25*0.001/H25)*(H25^0.55)+0.006)+Z49)^2))))))))</f>
        <v/>
      </c>
      <c r="Q25" s="197" t="str">
        <f>IF(O25="","",IF(AC24=AC25,"",IF(AND(AC25=AC26,AC25=AC27,AC25=AC28,AC25=AC29),U63,IF(AND(AC25=AC26,AC25=AC27,AC25=AC28),U64,IF(AND(AC25=AC26,AC25=AC27),U65,IF(AC25=AC26,U66,IF(I25="",SQRT(((K25+S25)/20)^2+(M25+U25)^2),SQRT(((K25/20)*(H25^0.55)+S25/1000)^2+(M25*H25+U25)^2))))))))</f>
        <v/>
      </c>
      <c r="R25" s="58"/>
      <c r="S25" s="54">
        <f>IF(OR(I25=AH3,I25=AH4,I25=AH5,I25=AH6,I25=AH7,I25=AH8,I25=AH9,I25=AH10),VLOOKUP(I25,Ｍ.Ｗｉｒｅ,2,FALSE),0)</f>
        <v>0</v>
      </c>
      <c r="T25" s="54">
        <f>IF(OR(I25=AH3,I25=AH4,I25=AH5,I25=AH6,I25=AH7,I25=AH8,I25=AH9,I25=AH10),VLOOKUP(I25,Ｍ.Ｗｉｒｅ,3,FALSE),0)</f>
        <v>0</v>
      </c>
      <c r="U25" s="54">
        <f>IF(OR(I25=AH3,I25=AH4,I25=AH5,I25=AH6,I25=AH7,I25=AH8,I25=AH9,I25=AH10),VLOOKUP(I25,Ｍ.Ｗｉｒｅ,4,FALSE),0)</f>
        <v>0</v>
      </c>
      <c r="V25" s="96">
        <f t="shared" si="1"/>
        <v>0</v>
      </c>
      <c r="W25" s="53">
        <f t="shared" si="2"/>
        <v>0</v>
      </c>
      <c r="X25" s="101"/>
      <c r="Y25" s="54" t="str">
        <f t="shared" si="3"/>
        <v/>
      </c>
      <c r="Z25" s="101"/>
      <c r="AA25" s="58"/>
      <c r="AB25" s="53" t="str">
        <f t="shared" si="6"/>
        <v/>
      </c>
      <c r="AC25" s="53" t="str">
        <f t="shared" si="7"/>
        <v/>
      </c>
      <c r="AD25" s="53">
        <f t="shared" si="4"/>
        <v>0</v>
      </c>
      <c r="AE25" s="58"/>
      <c r="AF25" s="65" t="s">
        <v>116</v>
      </c>
      <c r="AG25" s="41"/>
      <c r="AH25" s="41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</row>
    <row r="26" spans="1:50" ht="15" customHeight="1" x14ac:dyDescent="0.15">
      <c r="A26" s="339"/>
      <c r="B26" s="373" t="str">
        <f>IF(OR(D26="",F26="",H26="",J26=""),"",IF(AC25=AC26,"---〃---","使用電線-"&amp;AC26))</f>
        <v/>
      </c>
      <c r="C26" s="374"/>
      <c r="D26" s="327"/>
      <c r="E26" s="328"/>
      <c r="F26" s="483"/>
      <c r="G26" s="479" t="str">
        <f t="shared" si="5"/>
        <v/>
      </c>
      <c r="H26" s="484"/>
      <c r="I26" s="485"/>
      <c r="J26" s="486"/>
      <c r="K26" s="194" t="str">
        <f>IF(B26="","",HLOOKUP(F26,Ｗｉｒｅ,3+(VALUE(LEFT(D26,2))-1)*8,FALSE))</f>
        <v/>
      </c>
      <c r="L26" s="189" t="str">
        <f t="shared" si="0"/>
        <v/>
      </c>
      <c r="M26" s="195" t="str">
        <f>IF(I26="---〃---",0.00001,IF(AND(I27="---〃---",I28="---〃---",I29="---〃---"),SUM(Y26:Y29),IF(AND(I27="---〃---",I28="---〃---"),SUM(Y26:Y28),IF(I27="---〃---",SUM(Y26:Y27),Y26))))</f>
        <v/>
      </c>
      <c r="N26" s="196" t="str">
        <f>IF(OR(B26="",I26="---〃---"),"",IF(I26="",HLOOKUP(F26,Ｗｉｒｅ,6+(VALUE(LEFT(D26,2))-1)*8,FALSE),VLOOKUP(I26,Ｍ.Ｗｉｒｅ,5,FALSE)))</f>
        <v/>
      </c>
      <c r="O26" s="195" t="str">
        <f>IF(B26="","",IF(AC25=AC26,"",IF(AND(AC26=AC27,AC26=AC28,AC26=AC29),V38,IF(AND(AC26=AC27,AC26=AC28),V39,IF(AC26=AC27,V40,IF(I26="",SQRT(((K26+S26)/10)^2+(M26+U26)^2),SQRT(((K26/10)*(H26^0.55)+S26/1000)^2+(M26*H26+U26)^2)))))))</f>
        <v/>
      </c>
      <c r="P26" s="195" t="str">
        <f>IF(O26="","",IF(AC25=AC26,"",IF(AND(AC26=AC27,AC26=AC28,AC26=AC29),V51,IF(AND(AC26=AC27,AC26=AC28),V52,IF(AC26=AC27,V53,IF(I26="",SQRT((50*(K26/1000+0.012))^2+(M26+16.9646*(K26/1000+0.006))^2),SQRT((((K26*H26*0.001/H26)*(H26^0.55)+0.012+Y50)*50)^2+(M26*H26+16.9646*((K26*H26*0.001/H26)*(H26^0.55)+0.006)+Z50)^2)))))))</f>
        <v/>
      </c>
      <c r="Q26" s="197" t="str">
        <f>IF(O26="","",IF(AC25=AC26,"",IF(AND(AC26=AC27,AC26=AC28,AC26=AC29),V64,IF(AND(AC26=AC27,AC26=AC28),V65,IF(AC26=AC27,V66,IF(I26="",SQRT(((K26+S26)/20)^2+(M26+U26)^2),SQRT(((K26/20)*(H26^0.55)+S26/1000)^2+(M26*H26+U26)^2)))))))</f>
        <v/>
      </c>
      <c r="R26" s="58"/>
      <c r="S26" s="54">
        <f>IF(OR(I26=AH3,I26=AH4,I26=AH5,I26=AH6,I26=AH7,I26=AH8,I26=AH9,I26=AH10),VLOOKUP(I26,Ｍ.Ｗｉｒｅ,2,FALSE),0)</f>
        <v>0</v>
      </c>
      <c r="T26" s="54">
        <f>IF(OR(I26=AH3,I26=AH4,I26=AH5,I26=AH6,I26=AH7,I26=AH8,I26=AH9,I26=AH10),VLOOKUP(I26,Ｍ.Ｗｉｒｅ,3,FALSE),0)</f>
        <v>0</v>
      </c>
      <c r="U26" s="54">
        <f>IF(OR(I26=AH3,I26=AH4,I26=AH5,I26=AH6,I26=AH7,I26=AH8,I26=AH9,I26=AH10),VLOOKUP(I26,Ｍ.Ｗｉｒｅ,4,FALSE),0)</f>
        <v>0</v>
      </c>
      <c r="V26" s="96">
        <f t="shared" si="1"/>
        <v>0</v>
      </c>
      <c r="W26" s="53">
        <f t="shared" si="2"/>
        <v>0</v>
      </c>
      <c r="X26" s="101"/>
      <c r="Y26" s="54" t="str">
        <f t="shared" si="3"/>
        <v/>
      </c>
      <c r="Z26" s="101"/>
      <c r="AA26" s="58"/>
      <c r="AB26" s="53" t="str">
        <f t="shared" si="6"/>
        <v/>
      </c>
      <c r="AC26" s="53" t="str">
        <f t="shared" si="7"/>
        <v/>
      </c>
      <c r="AD26" s="53">
        <f t="shared" si="4"/>
        <v>0</v>
      </c>
      <c r="AE26" s="58"/>
      <c r="AF26" s="65" t="s">
        <v>86</v>
      </c>
      <c r="AG26" s="41"/>
      <c r="AH26" s="41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</row>
    <row r="27" spans="1:50" ht="15" customHeight="1" x14ac:dyDescent="0.15">
      <c r="A27" s="339"/>
      <c r="B27" s="373" t="str">
        <f>IF(OR(D27="",F27="",H27="",J27=""),"",IF(AC26=AC27,"---〃---","使用電線-"&amp;AC27))</f>
        <v/>
      </c>
      <c r="C27" s="374"/>
      <c r="D27" s="327"/>
      <c r="E27" s="328"/>
      <c r="F27" s="483"/>
      <c r="G27" s="479" t="str">
        <f t="shared" si="5"/>
        <v/>
      </c>
      <c r="H27" s="484"/>
      <c r="I27" s="485"/>
      <c r="J27" s="486"/>
      <c r="K27" s="194" t="str">
        <f>IF(B27="","",HLOOKUP(F27,Ｗｉｒｅ,3+(VALUE(LEFT(D27,2))-1)*8,FALSE))</f>
        <v/>
      </c>
      <c r="L27" s="189" t="str">
        <f t="shared" si="0"/>
        <v/>
      </c>
      <c r="M27" s="195" t="str">
        <f>IF(I27="---〃---",0.00001,IF(AND(I28="---〃---",I29="---〃---"),SUM(Y27:Y29),IF(I28="---〃---",SUM(Y27:Y28),Y27)))</f>
        <v/>
      </c>
      <c r="N27" s="196" t="str">
        <f>IF(OR(B27="",I27="---〃---"),"",IF(I27="",HLOOKUP(F27,Ｗｉｒｅ,6+(VALUE(LEFT(D27,2))-1)*8,FALSE),VLOOKUP(I27,Ｍ.Ｗｉｒｅ,5,FALSE)))</f>
        <v/>
      </c>
      <c r="O27" s="195" t="str">
        <f>IF(B27="","",IF(AC26=AC27,"",IF(AND(AC27=AC28,AC27=AC29),W39,IF(AC27=AC28,W40,IF(I27="",SQRT(((K27+S27)/10)^2+(M27+U27)^2),SQRT(((K27/10)*(H27^0.55)+S27/1000)^2+(M27*H27+U27)^2))))))</f>
        <v/>
      </c>
      <c r="P27" s="195" t="str">
        <f>IF(O27="","",IF(AC26=AC27,"",IF(AND(AC27=AC28,AC27=AC29),W52,IF(AC27=AC28,W53,IF(I27="",SQRT((50*(K27/1000+0.012))^2+(M27+16.9646*(K27/1000+0.006))^2),SQRT((((K27*H27*0.001/H27)*(H27^0.55)+0.012+Y51)*50)^2+(M27*H27+16.9646*((K27*H27*0.001/H27)*(H27^0.55)+0.006)+Z51)^2))))))</f>
        <v/>
      </c>
      <c r="Q27" s="197" t="str">
        <f>IF(O27="","",IF(AC26=AC27,"",IF(AND(AC27=AC28,AC27=AC29),W65,IF(AC27=AC28,W66,IF(I27="",SQRT(((K27+S27)/20)^2+(M27+U27)^2),SQRT(((K27/20)*(H27^0.55)+S27/1000)^2+(M27*H27+U27)^2))))))</f>
        <v/>
      </c>
      <c r="R27" s="58"/>
      <c r="S27" s="54">
        <f>IF(OR(I27=AH3,I27=AH4,I27=AH5,I27=AH6,I27=AH7,I27=AH8,I27=AH9,I27=AH10),VLOOKUP(I27,Ｍ.Ｗｉｒｅ,2,FALSE),0)</f>
        <v>0</v>
      </c>
      <c r="T27" s="54">
        <f>IF(OR(I27=AH3,I27=AH4,I27=AH5,I27=AH6,I27=AH7,I27=AH8,I27=AH9,I27=AH10),VLOOKUP(I27,Ｍ.Ｗｉｒｅ,3,FALSE),0)</f>
        <v>0</v>
      </c>
      <c r="U27" s="54">
        <f>IF(OR(I27=AH3,I27=AH4,I27=AH5,I27=AH6,I27=AH7,I27=AH8,I27=AH9,I27=AH10),VLOOKUP(I27,Ｍ.Ｗｉｒｅ,4,FALSE),0)</f>
        <v>0</v>
      </c>
      <c r="V27" s="96">
        <f t="shared" si="1"/>
        <v>0</v>
      </c>
      <c r="W27" s="53">
        <f t="shared" si="2"/>
        <v>0</v>
      </c>
      <c r="X27" s="101"/>
      <c r="Y27" s="54" t="str">
        <f t="shared" si="3"/>
        <v/>
      </c>
      <c r="Z27" s="101"/>
      <c r="AA27" s="58"/>
      <c r="AB27" s="53" t="str">
        <f t="shared" si="6"/>
        <v/>
      </c>
      <c r="AC27" s="53" t="str">
        <f t="shared" si="7"/>
        <v/>
      </c>
      <c r="AD27" s="53">
        <f t="shared" si="4"/>
        <v>0</v>
      </c>
      <c r="AE27" s="58"/>
      <c r="AF27" s="65" t="s">
        <v>87</v>
      </c>
      <c r="AG27" s="41"/>
      <c r="AH27" s="41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</row>
    <row r="28" spans="1:50" ht="15" customHeight="1" x14ac:dyDescent="0.15">
      <c r="A28" s="339"/>
      <c r="B28" s="373" t="str">
        <f>IF(AC28="","",IF(AC28&gt;5,"計算不可",IF(OR(D28="",F28="",H28="",J28=""),"",IF(AC27=AC28,"---〃---","使用電線-"&amp;AC28))))</f>
        <v/>
      </c>
      <c r="C28" s="374"/>
      <c r="D28" s="327"/>
      <c r="E28" s="328"/>
      <c r="F28" s="483"/>
      <c r="G28" s="479" t="str">
        <f t="shared" si="5"/>
        <v/>
      </c>
      <c r="H28" s="484"/>
      <c r="I28" s="485"/>
      <c r="J28" s="486"/>
      <c r="K28" s="194" t="str">
        <f>IF(OR(B28="",B28="計算不可"),"",HLOOKUP(F28,Ｗｉｒｅ,3+(VALUE(LEFT(D28,2))-1)*8,FALSE))</f>
        <v/>
      </c>
      <c r="L28" s="189" t="str">
        <f t="shared" si="0"/>
        <v/>
      </c>
      <c r="M28" s="195" t="str">
        <f>IF(I28="---〃---",0.00001,IF(I29="---〃---",SUM(Y28:Y29),Y28))</f>
        <v/>
      </c>
      <c r="N28" s="196" t="str">
        <f>IF(OR(B28="",I28="---〃---",B28="計算不可"),"",IF(I28="",HLOOKUP(F28,Ｗｉｒｅ,6+(VALUE(LEFT(D28,2))-1)*8,FALSE),VLOOKUP(I28,Ｍ.Ｗｉｒｅ,5,FALSE)))</f>
        <v/>
      </c>
      <c r="O28" s="195" t="str">
        <f>IF(OR(B28="",B28="計算不可"),"",IF(B28="","",IF(AC27=AC28,"",IF(AC28=AC29,X40,IF(I28="",SQRT(((K28+S28)/10)^2+(M28+U28)^2),SQRT(((K28/10)*(H28^0.55)+S28/1000)^2+(M28*H28+U28)^2))))))</f>
        <v/>
      </c>
      <c r="P28" s="195" t="str">
        <f>IF(O28="","",IF(B28="","",IF(AC27=AC28,"",IF(AC28=AC29,X53,IF(I28="",SQRT((50*(K28/1000+0.012))^2+(M28+16.9646*(K28/1000+0.006))^2),SQRT((((K28*H28*0.001/H28)*(H28^0.55)+0.012+Y52)*50)^2+(M28*H28+16.9646*((K28*H28*0.001/H28)*(H28^0.55)+0.006)+Z52)^2))))))</f>
        <v/>
      </c>
      <c r="Q28" s="197" t="str">
        <f>IF(O28="","",IF(B28="","",IF(AC27=AC28,"",IF(AC28=AC29,X66,IF(I28="",SQRT(((K28+S28)/20)^2+(M28+U28)^2),SQRT(((K28/20)*(H28^0.55)+S28/1000)^2+(M28*H28+U28)^2))))))</f>
        <v/>
      </c>
      <c r="R28" s="58"/>
      <c r="S28" s="54">
        <f>IF(OR(I28=AH3,I28=AH4,I28=AH5,I28=AH6,I28=AH7,I28=AH8,I28=AH9,I28=AH10),VLOOKUP(I28,Ｍ.Ｗｉｒｅ,2,FALSE),0)</f>
        <v>0</v>
      </c>
      <c r="T28" s="54">
        <f>IF(OR(I28=AH3,I28=AH4,I28=AH5,I28=AH6,I28=AH7,I28=AH8,I28=AH9,I28=AH10),VLOOKUP(I28,Ｍ.Ｗｉｒｅ,3,FALSE),0)</f>
        <v>0</v>
      </c>
      <c r="U28" s="54">
        <f>IF(OR(I28=AH3,I28=AH4,I28=AH5,I28=AH6,I28=AH7,I28=AH8,I28=AH9,I28=AH10),VLOOKUP(I28,Ｍ.Ｗｉｒｅ,4,FALSE),0)</f>
        <v>0</v>
      </c>
      <c r="V28" s="96">
        <f t="shared" si="1"/>
        <v>0</v>
      </c>
      <c r="W28" s="53">
        <f t="shared" si="2"/>
        <v>0</v>
      </c>
      <c r="X28" s="101"/>
      <c r="Y28" s="54" t="str">
        <f t="shared" si="3"/>
        <v/>
      </c>
      <c r="Z28" s="101"/>
      <c r="AA28" s="58"/>
      <c r="AB28" s="53" t="str">
        <f t="shared" si="6"/>
        <v/>
      </c>
      <c r="AC28" s="53" t="str">
        <f t="shared" si="7"/>
        <v/>
      </c>
      <c r="AD28" s="53">
        <f t="shared" si="4"/>
        <v>0</v>
      </c>
      <c r="AE28" s="58"/>
      <c r="AF28" s="65" t="s">
        <v>88</v>
      </c>
      <c r="AG28" s="3"/>
      <c r="AH28" s="3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</row>
    <row r="29" spans="1:50" ht="15" customHeight="1" x14ac:dyDescent="0.15">
      <c r="A29" s="339"/>
      <c r="B29" s="373" t="str">
        <f>IF(AC29="","",IF(AC29&gt;5,"計算不可",IF(OR(D29="",F29="",H29="",J29=""),"",IF(AC28=AC29,"---〃---","使用電線-"&amp;AC29))))</f>
        <v/>
      </c>
      <c r="C29" s="374"/>
      <c r="D29" s="327"/>
      <c r="E29" s="328"/>
      <c r="F29" s="483"/>
      <c r="G29" s="479" t="str">
        <f t="shared" si="5"/>
        <v/>
      </c>
      <c r="H29" s="484"/>
      <c r="I29" s="485"/>
      <c r="J29" s="486"/>
      <c r="K29" s="194" t="str">
        <f>IF(OR(B29="",B29="計算不可"),"",HLOOKUP(F29,Ｗｉｒｅ,3+(VALUE(LEFT(D29,2))-1)*8,FALSE))</f>
        <v/>
      </c>
      <c r="L29" s="189" t="str">
        <f t="shared" si="0"/>
        <v/>
      </c>
      <c r="M29" s="195" t="str">
        <f>IF(I29="---〃---",0.00001,Y29)</f>
        <v/>
      </c>
      <c r="N29" s="196" t="str">
        <f>IF(OR(B29="",I29="---〃---",B29="計算不可"),"",IF(I29="",HLOOKUP(F29,Ｗｉｒｅ,6+(VALUE(LEFT(D29,2))-1)*8,FALSE),VLOOKUP(I29,Ｍ.Ｗｉｒｅ,5,FALSE)))</f>
        <v/>
      </c>
      <c r="O29" s="195" t="str">
        <f>IF(OR(B29="",B29="計算不可"),"",IF(AC28=AC29,"",IF(I29="",SQRT(((K29+S29)/10)^2+(M29+U29)^2),SQRT(((K29/10)*(H29^0.55)+S29/1000)^2+(M29*H29+U29)^2))))</f>
        <v/>
      </c>
      <c r="P29" s="195" t="str">
        <f>IF(O29="","",IF(AC28=AC29,"",IF(I29="",SQRT((50*(K29/1000+0.012))^2+(M29+16.9646*(K29/1000+0.006))^2),SQRT((((K29*H29*0.001/H29)*(H29^0.55)+0.012+Y53)*50)^2+(M29*H29+16.9646*((K29*H29*0.001/H29)*(H29^0.55)+0.006)+Z53)^2))))</f>
        <v/>
      </c>
      <c r="Q29" s="197" t="str">
        <f>IF(O29="","",IF(AC28=AC29,"",IF(I29="",SQRT(((K29+S29)/20)^2+(M29+U29)^2),SQRT(((K29/20)*(H29^0.55)+S29/1000)^2+(M29*H29+U29)^2))))</f>
        <v/>
      </c>
      <c r="R29" s="58"/>
      <c r="S29" s="54">
        <f>IF(OR(I29=AH3,I29=AH4,I29=AH5,I29=AH6,I29=AH7,I29=AH8,I29=AH9,I29=AH10),VLOOKUP(I29,Ｍ.Ｗｉｒｅ,2,FALSE),0)</f>
        <v>0</v>
      </c>
      <c r="T29" s="54">
        <f>IF(OR(I29=AH3,I29=AH4,I29=AH5,I29=AH6,I29=AH7,I29=AH8,I29=AH9,I29=AH10),VLOOKUP(I29,Ｍ.Ｗｉｒｅ,3,FALSE),0)</f>
        <v>0</v>
      </c>
      <c r="U29" s="54">
        <f>IF(OR(I29=AH3,I29=AH4,I29=AH5,I29=AH6,I29=AH7,I29=AH8,I29=AH9,I29=AH10),VLOOKUP(I29,Ｍ.Ｗｉｒｅ,4,FALSE),0)</f>
        <v>0</v>
      </c>
      <c r="V29" s="96">
        <f t="shared" si="1"/>
        <v>0</v>
      </c>
      <c r="W29" s="53">
        <f t="shared" si="2"/>
        <v>0</v>
      </c>
      <c r="X29" s="101"/>
      <c r="Y29" s="54" t="str">
        <f t="shared" si="3"/>
        <v/>
      </c>
      <c r="Z29" s="101"/>
      <c r="AA29" s="58"/>
      <c r="AB29" s="53" t="str">
        <f t="shared" si="6"/>
        <v/>
      </c>
      <c r="AC29" s="53" t="str">
        <f t="shared" si="7"/>
        <v/>
      </c>
      <c r="AD29" s="53">
        <f t="shared" si="4"/>
        <v>0</v>
      </c>
      <c r="AE29" s="58"/>
      <c r="AF29" s="65" t="s">
        <v>89</v>
      </c>
      <c r="AG29" s="3"/>
      <c r="AH29" s="3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</row>
    <row r="30" spans="1:50" ht="15" customHeight="1" x14ac:dyDescent="0.15">
      <c r="A30" s="339"/>
      <c r="B30" s="375"/>
      <c r="C30" s="376"/>
      <c r="D30" s="327"/>
      <c r="E30" s="328"/>
      <c r="F30" s="487"/>
      <c r="G30" s="479"/>
      <c r="H30" s="484"/>
      <c r="I30" s="484"/>
      <c r="J30" s="486"/>
      <c r="K30" s="105"/>
      <c r="L30" s="97"/>
      <c r="M30" s="54"/>
      <c r="N30" s="94"/>
      <c r="O30" s="54"/>
      <c r="P30" s="54"/>
      <c r="Q30" s="98"/>
      <c r="R30" s="58"/>
      <c r="S30" s="36"/>
      <c r="T30" s="36"/>
      <c r="U30" s="36"/>
      <c r="V30" s="36"/>
      <c r="W30" s="36"/>
      <c r="X30" s="101"/>
      <c r="Y30" s="101"/>
      <c r="Z30" s="101"/>
      <c r="AA30" s="58"/>
      <c r="AB30" s="36"/>
      <c r="AC30" s="36"/>
      <c r="AD30" s="36"/>
      <c r="AE30" s="58"/>
      <c r="AF30" s="65" t="s">
        <v>90</v>
      </c>
      <c r="AG30" s="3"/>
      <c r="AH30" s="3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</row>
    <row r="31" spans="1:50" ht="15" customHeight="1" x14ac:dyDescent="0.15">
      <c r="A31" s="339"/>
      <c r="B31" s="44"/>
      <c r="C31" s="185"/>
      <c r="D31" s="45"/>
      <c r="E31" s="45"/>
      <c r="F31" s="46"/>
      <c r="G31" s="47"/>
      <c r="H31" s="48"/>
      <c r="I31" s="45"/>
      <c r="J31" s="48"/>
      <c r="K31" s="11"/>
      <c r="L31" s="11"/>
      <c r="M31" s="11"/>
      <c r="N31" s="11"/>
      <c r="O31" s="11"/>
      <c r="P31" s="11"/>
      <c r="Q31" s="23"/>
      <c r="R31" s="3"/>
      <c r="S31" s="36"/>
      <c r="T31" s="36"/>
      <c r="U31" s="36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65" t="s">
        <v>91</v>
      </c>
      <c r="AG31" s="3"/>
      <c r="AH31" s="3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</row>
    <row r="32" spans="1:50" ht="12.75" customHeight="1" x14ac:dyDescent="0.15">
      <c r="A32" s="339"/>
      <c r="B32" s="386" t="str">
        <f>IF(AC23="","","使用電線-"&amp;AC23)</f>
        <v>使用電線-1</v>
      </c>
      <c r="C32" s="387"/>
      <c r="D32" s="29" t="s">
        <v>21</v>
      </c>
      <c r="E32" s="29" t="s">
        <v>22</v>
      </c>
      <c r="F32" s="356" t="s">
        <v>23</v>
      </c>
      <c r="G32" s="411" t="str">
        <f>IF(AC24=2,"使用電線-"&amp;AC24,IF(AC25=2,"使用電線-"&amp;AC25,IF(AC26=2,"使用電線-"&amp;AC26,IF(AC27=2,"使用電線-"&amp;AC27,IF(AC28=2,"使用電線-"&amp;AC28,IF(AC29=2,"使用電線-"&amp;AC29,IF(AC30=2,"使用電線-"&amp;AC30,"")))))))</f>
        <v>使用電線-2</v>
      </c>
      <c r="H32" s="412"/>
      <c r="I32" s="387"/>
      <c r="J32" s="29" t="s">
        <v>21</v>
      </c>
      <c r="K32" s="29" t="s">
        <v>22</v>
      </c>
      <c r="L32" s="356" t="s">
        <v>23</v>
      </c>
      <c r="M32" s="411" t="str">
        <f>IF(AC25=3,"使用電線-"&amp;AC25,IF(AC26=3,"使用電線-"&amp;AC26,IF(AC27=3,"使用電線-"&amp;AC27,IF(AC28=3,"使用電線-"&amp;AC28,IF(AC29=3,"使用電線-"&amp;AC29,IF(AC30=3,"使用電線-"&amp;AC30,""))))))</f>
        <v/>
      </c>
      <c r="N32" s="387"/>
      <c r="O32" s="29" t="s">
        <v>21</v>
      </c>
      <c r="P32" s="29" t="s">
        <v>22</v>
      </c>
      <c r="Q32" s="379" t="s">
        <v>23</v>
      </c>
      <c r="R32" s="36"/>
      <c r="S32" s="36"/>
      <c r="T32" s="10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65" t="s">
        <v>92</v>
      </c>
      <c r="AG32" s="36"/>
      <c r="AH32" s="36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</row>
    <row r="33" spans="1:50" ht="12.75" customHeight="1" x14ac:dyDescent="0.15">
      <c r="A33" s="339"/>
      <c r="B33" s="187" t="str">
        <f>IF(B32="","","弛度補正")</f>
        <v>弛度補正</v>
      </c>
      <c r="C33" s="182"/>
      <c r="D33" s="55" t="s">
        <v>125</v>
      </c>
      <c r="E33" s="55" t="s">
        <v>24</v>
      </c>
      <c r="F33" s="357"/>
      <c r="G33" s="383" t="str">
        <f>IF(G32="","","弛度補正")</f>
        <v>弛度補正</v>
      </c>
      <c r="H33" s="384"/>
      <c r="I33" s="182"/>
      <c r="J33" s="55" t="s">
        <v>125</v>
      </c>
      <c r="K33" s="55" t="s">
        <v>24</v>
      </c>
      <c r="L33" s="357"/>
      <c r="M33" s="181" t="str">
        <f>IF(M32="","","弛度補正")</f>
        <v/>
      </c>
      <c r="N33" s="182"/>
      <c r="O33" s="55" t="s">
        <v>125</v>
      </c>
      <c r="P33" s="55" t="s">
        <v>24</v>
      </c>
      <c r="Q33" s="380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65" t="s">
        <v>93</v>
      </c>
      <c r="AG33" s="36"/>
      <c r="AH33" s="36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</row>
    <row r="34" spans="1:50" ht="13.5" customHeight="1" x14ac:dyDescent="0.15">
      <c r="A34" s="339"/>
      <c r="B34" s="346" t="s">
        <v>13</v>
      </c>
      <c r="C34" s="347"/>
      <c r="D34" s="335">
        <f>IF(B32="","",AQ71*H23*J23)</f>
        <v>1061.7948813521252</v>
      </c>
      <c r="E34" s="337">
        <f>IF(D34="","",AQ70)</f>
        <v>0.71477707396172674</v>
      </c>
      <c r="F34" s="360">
        <f>IF(D34="","",N23*H23*J23/D34)</f>
        <v>4.1815986100309273</v>
      </c>
      <c r="G34" s="287" t="s">
        <v>13</v>
      </c>
      <c r="H34" s="288"/>
      <c r="I34" s="289"/>
      <c r="J34" s="335">
        <f>IF(G32="","",IF(B24="使用電線-2",AZ71*H24*J24,IF(B25="使用電線-2",AZ71*H25*J25,IF(B26="使用電線-2",AZ71*H26*J26,IF(B27="使用電線-2",AZ71*H27*J27,IF(B28="使用電線-2",AZ71*H28*J28,IF(B29="使用電線-2",AZ71*H29*J29,"")))))))</f>
        <v>568.52906227141546</v>
      </c>
      <c r="K34" s="337">
        <f>IF(J34="","",AZ70)</f>
        <v>0.67355041950470917</v>
      </c>
      <c r="L34" s="302">
        <f>IF(J34="","",IF(B24="使用電線-2",N24*H24*J24/J34,IF(B25="使用電線-2",N25*H25*J25/J34,IF(B26="使用電線-2",N26*H26*J26/J34,IF(B27="使用電線-2",N27*H27*J27/J34,IF(B28="使用電線-2",N28*H28*J28/J34,IF(B29="使用電線-2",N29*H29*J29/J34)))))))</f>
        <v>7.5106098937849977</v>
      </c>
      <c r="M34" s="287" t="s">
        <v>13</v>
      </c>
      <c r="N34" s="347"/>
      <c r="O34" s="335" t="str">
        <f>IF(M32="","",IF(B25="使用電線-3",BI71*H25*J25,IF(B26="使用電線-3",BI71*H26*J26,IF(B27="使用電線-3",BI71*H27*J27,IF(B28="使用電線-3",BI71*H28*J28,IF(B29="使用電線-3",BI71*H29*J29,""))))))</f>
        <v/>
      </c>
      <c r="P34" s="337" t="str">
        <f>IF(O34="","",BI70)</f>
        <v/>
      </c>
      <c r="Q34" s="306" t="str">
        <f>IF(O34="","",IF(B25="使用電線-3",N25*H25*J25/O34,IF(B26="使用電線-3",N26*H26*J26/O34,IF(B27="使用電線-3",N27*H27*J27/O34,IF(B28="使用電線-3",N28*H28*J28/O34,IF(B29="使用電線-3",N29*H29*J29/O34))))))</f>
        <v/>
      </c>
      <c r="R34" s="59"/>
      <c r="S34" s="103" t="s">
        <v>121</v>
      </c>
      <c r="T34" s="36"/>
      <c r="U34" s="102"/>
      <c r="V34" s="102"/>
      <c r="W34" s="59"/>
      <c r="X34" s="59"/>
      <c r="Y34" s="59"/>
      <c r="Z34" s="59"/>
      <c r="AA34" s="59"/>
      <c r="AB34" s="59"/>
      <c r="AC34" s="59"/>
      <c r="AD34" s="59"/>
      <c r="AE34" s="59"/>
      <c r="AF34" s="65" t="s">
        <v>94</v>
      </c>
      <c r="AG34" s="28"/>
      <c r="AH34" s="28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</row>
    <row r="35" spans="1:50" ht="13.5" customHeight="1" x14ac:dyDescent="0.15">
      <c r="A35" s="339"/>
      <c r="B35" s="348"/>
      <c r="C35" s="292"/>
      <c r="D35" s="336"/>
      <c r="E35" s="338"/>
      <c r="F35" s="361"/>
      <c r="G35" s="290"/>
      <c r="H35" s="291"/>
      <c r="I35" s="292"/>
      <c r="J35" s="336"/>
      <c r="K35" s="338"/>
      <c r="L35" s="303"/>
      <c r="M35" s="290"/>
      <c r="N35" s="292"/>
      <c r="O35" s="336"/>
      <c r="P35" s="338"/>
      <c r="Q35" s="307"/>
      <c r="R35" s="59"/>
      <c r="S35" s="99">
        <f>IF(D29="",0,SQRT(((((K23*H23+K24*H24+K25*H25+K26*H26+K27*H27+K28*H28+K29*H29)*0.001/SUM(H23:H29))*((SUM(H23:H29))^0.55)+S23*0.001)*100)^2+(M23*H23+M24*H24+M25*H25+M26*H26+M27*H27+M28*H28+M29*H29+U23)^2))</f>
        <v>0</v>
      </c>
      <c r="T35" s="103" t="s">
        <v>132</v>
      </c>
      <c r="U35" s="102"/>
      <c r="V35" s="102"/>
      <c r="W35" s="59"/>
      <c r="X35" s="59"/>
      <c r="Y35" s="59"/>
      <c r="Z35" s="59"/>
      <c r="AA35" s="59"/>
      <c r="AB35" s="59"/>
      <c r="AC35" s="59"/>
      <c r="AD35" s="59"/>
      <c r="AE35" s="59"/>
      <c r="AF35" s="65" t="s">
        <v>95</v>
      </c>
      <c r="AG35" s="28"/>
      <c r="AH35" s="28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</row>
    <row r="36" spans="1:50" ht="13.5" customHeight="1" x14ac:dyDescent="0.15">
      <c r="A36" s="339"/>
      <c r="B36" s="366" t="s">
        <v>14</v>
      </c>
      <c r="C36" s="295"/>
      <c r="D36" s="314">
        <f>IF(B32="","",AQ91*H23*J23)</f>
        <v>1012.2607310006053</v>
      </c>
      <c r="E36" s="333">
        <f>IF(D36="","",AQ90)</f>
        <v>0.42742560271798197</v>
      </c>
      <c r="F36" s="302">
        <f>IF(D36="","",N23*H23*J23/D36)</f>
        <v>4.3862217154380012</v>
      </c>
      <c r="G36" s="293" t="s">
        <v>14</v>
      </c>
      <c r="H36" s="294"/>
      <c r="I36" s="295"/>
      <c r="J36" s="314">
        <f>IF(G32="","",IF(B24="使用電線-2",AZ91*H24*J24,IF(B25="使用電線-2",AZ91*H25*J25,IF(B26="使用電線-2",AZ91*H26*J26,IF(B27="使用電線-2",AZ91*H27*J27,IF(B28="使用電線-2",AZ91*H28*J28,IF(B29="使用電線-2",AZ91*H29*J29,"")))))))</f>
        <v>514.29625427083181</v>
      </c>
      <c r="K36" s="333">
        <f>IF(J36="","",AZ90)</f>
        <v>0.45274438511167048</v>
      </c>
      <c r="L36" s="302">
        <f>IF(J36="","",IF(B24="使用電線-2",N24*H24*J24/J36,IF(B25="使用電線-2",N25*H25*J25/J36,IF(B26="使用電線-2",N26*H26*J26/J36,IF(B27="使用電線-2",N27*H27*J27/J36,IF(B28="使用電線-2",N28*H28*J28/J36,IF(B29="使用電線-2",N29*H29*J29/J36)))))))</f>
        <v>8.3026076206874144</v>
      </c>
      <c r="M36" s="293" t="s">
        <v>14</v>
      </c>
      <c r="N36" s="295"/>
      <c r="O36" s="314" t="str">
        <f>IF(M32="","",IF(B25="使用電線-3",BI91*H25*J25,IF(B26="使用電線-3",BI91*H26*J26,IF(B27="使用電線-3",BI91*H27*J27,IF(B28="使用電線-3",BI91*H28*J28,IF(B29="使用電線-3",BI91*H29*J29,""))))))</f>
        <v/>
      </c>
      <c r="P36" s="333" t="str">
        <f>IF(O36="","",BI90)</f>
        <v/>
      </c>
      <c r="Q36" s="358" t="str">
        <f>IF(O36="","",IF(B25="使用電線-3",N25*H25*J25/O36,IF(B26="使用電線-3",N26*H26*J26/O36,IF(B27="使用電線-3",N27*H27*J27/O36,IF(B28="使用電線-3",N28*H28*J28/O36,IF(B29="使用電線-3",N29*H29*J29/O36))))))</f>
        <v/>
      </c>
      <c r="R36" s="59"/>
      <c r="S36" s="99">
        <f>IF(D28="",0,SQRT(((((K23*H23+K24*H24+K25*H25+K26*H26+K27*H27+K28*H28)*0.001/SUM(H23:H28))*((SUM(H23:H28))^0.55)+S23*0.001)*100)^2+(M23*H23+M24*H24+M25*H25+M26*H26+M27*H27+M28*H28+U23)^2))</f>
        <v>0</v>
      </c>
      <c r="T36" s="99">
        <f>IF(D29="",0,SQRT(((((K24*H24+K25*H25+K26*H26+K27*H27+K28*H28+K29*H29)*0.001/SUM(H24:H29))*((SUM(H24:H29))^0.55)+S24*0.001)*100)^2+(M24*H24+M25*H25+M26*H26+M27*H27+M28*H28+M29*H29+U24)^2))</f>
        <v>0</v>
      </c>
      <c r="U36" s="103" t="s">
        <v>128</v>
      </c>
      <c r="V36" s="102"/>
      <c r="W36" s="59"/>
      <c r="X36" s="59"/>
      <c r="Y36" s="59"/>
      <c r="Z36" s="59"/>
      <c r="AA36" s="59"/>
      <c r="AB36" s="59"/>
      <c r="AC36" s="59"/>
      <c r="AD36" s="59"/>
      <c r="AE36" s="59"/>
      <c r="AF36" s="65" t="s">
        <v>96</v>
      </c>
      <c r="AG36" s="28"/>
      <c r="AH36" s="28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</row>
    <row r="37" spans="1:50" ht="13.5" customHeight="1" x14ac:dyDescent="0.15">
      <c r="A37" s="339"/>
      <c r="B37" s="348"/>
      <c r="C37" s="292"/>
      <c r="D37" s="315"/>
      <c r="E37" s="334"/>
      <c r="F37" s="303"/>
      <c r="G37" s="290"/>
      <c r="H37" s="291"/>
      <c r="I37" s="292"/>
      <c r="J37" s="315"/>
      <c r="K37" s="334"/>
      <c r="L37" s="303"/>
      <c r="M37" s="290"/>
      <c r="N37" s="292"/>
      <c r="O37" s="315"/>
      <c r="P37" s="334"/>
      <c r="Q37" s="359"/>
      <c r="R37" s="59"/>
      <c r="S37" s="99">
        <f>IF(D27="",0,SQRT(((((K23*H23+K24*H24+K25*H25+K26*H26+K27*H27)*0.001/SUM(H23:H27))*((SUM(H23:H27))^0.55)+S23*0.001)*100)^2+(M23*H23+M24*H24+M25*H25+M26*H26+M27*H27+U23)^2))</f>
        <v>0</v>
      </c>
      <c r="T37" s="99">
        <f>IF(D28="",0,SQRT(((((K24*H24+K25*H25+K26*H26+K27*H27+K28*H28)*0.001/SUM(H24:H28))*((SUM(H24:H28))^0.55)+S24*0.001)*100)^2+(M24*H24+M25*H25+M26*H26+M27*H27+M28*H28+U24)^2))</f>
        <v>0</v>
      </c>
      <c r="U37" s="99">
        <f>IF(D29="",0,SQRT(((((K25*H25+K26*H26+K27*H27+K28*H28+K29*H29)*0.001/SUM(H25:H29))*((SUM(H25:H29))^0.55)+S25*0.001)*100)^2+(M25*H25+M26*H26+M27*H27+M28*H28+M29*H29+U25)^2))</f>
        <v>0</v>
      </c>
      <c r="V37" s="103" t="s">
        <v>129</v>
      </c>
      <c r="W37" s="59"/>
      <c r="X37" s="59"/>
      <c r="Y37" s="59"/>
      <c r="Z37" s="59"/>
      <c r="AA37" s="59"/>
      <c r="AB37" s="59"/>
      <c r="AC37" s="59"/>
      <c r="AD37" s="59"/>
      <c r="AE37" s="59"/>
      <c r="AF37" s="65" t="s">
        <v>97</v>
      </c>
      <c r="AG37" s="28"/>
      <c r="AH37" s="28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50" ht="17.25" customHeight="1" x14ac:dyDescent="0.15">
      <c r="A38" s="339"/>
      <c r="B38" s="366" t="s">
        <v>15</v>
      </c>
      <c r="C38" s="295"/>
      <c r="D38" s="314">
        <f>IF(B32="","",AQ111*H23*J23)</f>
        <v>1399.2682397816702</v>
      </c>
      <c r="E38" s="333">
        <f>IF(D38="","",AQ110)</f>
        <v>0.59686380071293776</v>
      </c>
      <c r="F38" s="302">
        <f>IF(D38="","",N23*H23*J23/D38)</f>
        <v>3.1730870992203606</v>
      </c>
      <c r="G38" s="293" t="s">
        <v>15</v>
      </c>
      <c r="H38" s="294"/>
      <c r="I38" s="295"/>
      <c r="J38" s="314">
        <f>IF(G32="","",IF(B24="使用電線-2",AZ111*H24*J24,IF(B25="使用電線-2",AZ111*H25*J25,IF(B26="使用電線-2",AZ111*H26*J26,IF(B27="使用電線-2",AZ111*H27*J27,IF(B28="使用電線-2",AZ111*H28*J28,IF(B29="使用電線-2",AZ111*H29*J29,"")))))))</f>
        <v>822.41015224259456</v>
      </c>
      <c r="K38" s="333">
        <f>IF(J38="","",AZ110)</f>
        <v>0.66471569738201508</v>
      </c>
      <c r="L38" s="302">
        <f>IF(J38="","",IF(B24="使用電線-2",N24*H24*J24/J38,IF(B25="使用電線-2",N25*H25*J25/J38,IF(B26="使用電線-2",N26*H26*J26/J38,IF(B27="使用電線-2",N27*H27*J27/J38,IF(B28="使用電線-2",N28*H28*J28/J38,IF(B29="使用電線-2",N29*H29*J29/J38)))))))</f>
        <v>5.1920565284320999</v>
      </c>
      <c r="M38" s="293" t="s">
        <v>15</v>
      </c>
      <c r="N38" s="295"/>
      <c r="O38" s="314" t="str">
        <f>IF(M32="","",IF(B25="使用電線-3",BI111*H25*J25,IF(B26="使用電線-3",BI111*H26*J26,IF(B27="使用電線-3",BI111*H27*J27,IF(B28="使用電線-3",BI111*H28*J28,IF(B29="使用電線-3",BI111*H29*J29,""))))))</f>
        <v/>
      </c>
      <c r="P38" s="333" t="str">
        <f>IF(O38="","",BI110)</f>
        <v/>
      </c>
      <c r="Q38" s="358" t="str">
        <f>IF(O38="","",IF(B25="使用電線-3",N25*H25*J25/O38,IF(B26="使用電線-3",N26*H26*J26/O38,IF(B27="使用電線-3",N27*H27*J27/O38,IF(B28="使用電線-3",N28*H28*J28/O38,IF(B29="使用電線-3",N29*H29*J29/O38))))))</f>
        <v/>
      </c>
      <c r="R38" s="59"/>
      <c r="S38" s="99">
        <f>IF(D26="",0,SQRT(((((K23*H23+K24*H24+K25*H25+K26*H26)*0.001/SUM(H23:H26))*((SUM(H23:H26))^0.55)+S23*0.001)*100)^2+(M23*H23+M24*H24+M25*H25+M26*H26+U23)^2))</f>
        <v>0</v>
      </c>
      <c r="T38" s="99">
        <f>IF(D27="",0,SQRT(((((K24*H24+K25*H25+K26*H26+K27*H27)*0.001/SUM(H24:H27))*((SUM(H24:H27))^0.55)+S24*0.001)*100)^2+(M24*H24+M25*H25+M26*H26+M27*H27+U24)^2))</f>
        <v>0</v>
      </c>
      <c r="U38" s="99">
        <f>IF(D28="",0,SQRT(((((K25*H25+K26*H26+K27*H27+K28*H28)*0.001/SUM(H25:H28))*((SUM(H25:H28))^0.55)+S25*0.001)*100)^2+(M25*H25+M26*H26+M27*H27+M28*H28+U25)^2))</f>
        <v>0</v>
      </c>
      <c r="V38" s="99">
        <f>IF(D29="",0,SQRT(((((K26*H26+K27*H27+K28*H28+K29*H29)*0.001/SUM(H26:H29))*((SUM(H26:H29))^0.55)+S26*0.001)*100)^2+(M26*H26+M27*H27+M28*H28+M29*H29+U26)^2))</f>
        <v>0</v>
      </c>
      <c r="W38" s="103" t="s">
        <v>130</v>
      </c>
      <c r="X38" s="59"/>
      <c r="Y38" s="59"/>
      <c r="Z38" s="59"/>
      <c r="AA38" s="59"/>
      <c r="AB38" s="59"/>
      <c r="AC38" s="59"/>
      <c r="AD38" s="59"/>
      <c r="AE38" s="59"/>
      <c r="AF38" s="65" t="s">
        <v>98</v>
      </c>
      <c r="AG38" s="28"/>
      <c r="AH38" s="28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50" ht="17.25" customHeight="1" x14ac:dyDescent="0.15">
      <c r="A39" s="339"/>
      <c r="B39" s="348"/>
      <c r="C39" s="292"/>
      <c r="D39" s="315"/>
      <c r="E39" s="334"/>
      <c r="F39" s="303"/>
      <c r="G39" s="290"/>
      <c r="H39" s="291"/>
      <c r="I39" s="292"/>
      <c r="J39" s="315"/>
      <c r="K39" s="334"/>
      <c r="L39" s="303"/>
      <c r="M39" s="290"/>
      <c r="N39" s="292"/>
      <c r="O39" s="315"/>
      <c r="P39" s="334"/>
      <c r="Q39" s="359"/>
      <c r="R39" s="59"/>
      <c r="S39" s="99">
        <f>IF(D25="",0,SQRT(((((K23*H23+K24*H24+K25*H25)*0.001/SUM(H23:H25))*((SUM(H23:H25))^0.55)+S23*0.001)*100)^2+(M23*H23+M24*H24+M25*H25+U23)^2))</f>
        <v>0</v>
      </c>
      <c r="T39" s="99">
        <f>IF(D26="",0,SQRT(((((K24*H24+K25*H25+K26*H26)*0.001/SUM(H24:H26))*((SUM(H24:H26))^0.55)+S24*0.001)*100)^2+(M24*H24+M25*H25+M26*H26+U24)^2))</f>
        <v>0</v>
      </c>
      <c r="U39" s="99">
        <f>IF(D27="",0,SQRT(((((K25*H25+K26*H26+K27*H27)*0.001/SUM(H25:H27))*((SUM(H25:H27))^0.55)+S25*0.001)*100)^2+(M25*H25+M26*H26+M27*H27+U25)^2))</f>
        <v>0</v>
      </c>
      <c r="V39" s="99">
        <f>IF(D28="",0,SQRT(((((K26*H26+K27*H27+K28*H28)*0.001/SUM(H26:H28))*((SUM(H26:H28))^0.55)+S26*0.001)*100)^2+(M26*H26+M27*H27+M28*H28+U26)^2))</f>
        <v>0</v>
      </c>
      <c r="W39" s="99">
        <f>IF(D29="",0,SQRT(((((K27*H27+K28*H28+K29*H29)*0.001/SUM(H27:H29))*((SUM(H27:H29))^0.55)+S27*0.001)*100)^2+(M27*H27+M28*H28+M29*H29+U27)^2))</f>
        <v>0</v>
      </c>
      <c r="X39" s="103" t="s">
        <v>131</v>
      </c>
      <c r="Y39" s="59"/>
      <c r="Z39" s="59"/>
      <c r="AA39" s="59"/>
      <c r="AB39" s="59"/>
      <c r="AC39" s="59"/>
      <c r="AD39" s="59"/>
      <c r="AE39" s="59"/>
      <c r="AF39" s="65" t="s">
        <v>99</v>
      </c>
      <c r="AG39" s="28"/>
      <c r="AH39" s="28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50" ht="15" customHeight="1" x14ac:dyDescent="0.15">
      <c r="A40" s="339"/>
      <c r="B40" s="388" t="s">
        <v>16</v>
      </c>
      <c r="C40" s="298"/>
      <c r="D40" s="198">
        <f>IF(B32="","",AQ131*H23*J23)</f>
        <v>609.4757877548509</v>
      </c>
      <c r="E40" s="199">
        <f>IF(D40="","",AQ130)</f>
        <v>0.39378102431943546</v>
      </c>
      <c r="F40" s="200">
        <f>IF(D40="","",N23*H23*J23/D40)</f>
        <v>7.2849489499095554</v>
      </c>
      <c r="G40" s="296" t="s">
        <v>16</v>
      </c>
      <c r="H40" s="297"/>
      <c r="I40" s="298"/>
      <c r="J40" s="198">
        <f>IF(G32="","",IF(B24="使用電線-2",AZ131*H24*J24,IF(B25="使用電線-2",AZ131*H25*J25,IF(B26="使用電線-2",AZ131*H26*J26,IF(B27="使用電線-2",AZ131*H27*J27,IF(B28="使用電線-2",AZ131*H28*J28,IF(B29="使用電線-2",AZ131*H29*J29,"")))))))</f>
        <v>353.24622779965159</v>
      </c>
      <c r="K40" s="199">
        <f>IF(J40="","",AZ130)</f>
        <v>0.42972858038867845</v>
      </c>
      <c r="L40" s="200">
        <f>IF(J40="","",IF(B24="使用電線-2",N24*H24*J24/J40,IF(B25="使用電線-2",N25*H25*J25/J40,IF(B26="使用電線-2",N26*H26*J26/J40,IF(B27="使用電線-2",N27*H27*J27/J40,IF(B28="使用電線-2",N28*H28*J28/J40,IF(B29="使用電線-2",N29*H29*J29/J40)))))))</f>
        <v>12.087885627533971</v>
      </c>
      <c r="M40" s="296" t="s">
        <v>16</v>
      </c>
      <c r="N40" s="298"/>
      <c r="O40" s="198" t="str">
        <f>IF(M32="","",IF(B25="使用電線-3",BI131*H25*J25,IF(B26="使用電線-3",BI131*H26*J26,IF(B27="使用電線-3",BI131*H27*J27,IF(B28="使用電線-3",BI131*H28*J28,IF(B29="使用電線-3",BI131*H29*J29,""))))))</f>
        <v/>
      </c>
      <c r="P40" s="199" t="str">
        <f>IF(O40="","",BI130)</f>
        <v/>
      </c>
      <c r="Q40" s="203" t="str">
        <f>IF(O40="","",IF(B25="使用電線-3",N25*H25*J25/O40,IF(B26="使用電線-3",N26*H26*J26/O40,IF(B27="使用電線-3",N27*H27*J27/O40,IF(B28="使用電線-3",N28*H28*J28/O40,IF(B29="使用電線-3",N29*H29*J29/O40))))))</f>
        <v/>
      </c>
      <c r="R40" s="59"/>
      <c r="S40" s="99">
        <f>IF(D24="",0,SQRT(((((K23*H23+K24*H24)*0.001/SUM(H23:H24))*((SUM(H23:H24))^0.55)+S23*0.001)*100)^2+(M23*H23+M24*H24+U23)^2))</f>
        <v>3.3154003780049939</v>
      </c>
      <c r="T40" s="99">
        <f>IF(D25="",0,SQRT(((((K24*H24+K25*H25)*0.001/SUM(H24:H25))*((SUM(H24:H25))^0.55)+S24*0.001)*100)^2+(M24*H24+M25*H25+U24)^2))</f>
        <v>0</v>
      </c>
      <c r="U40" s="99">
        <f>IF(D26="",0,SQRT(((((K25*H25+K26*H26)*0.001/SUM(H25:H26))*((SUM(H25:H26))^0.55)+S25*0.001)*100)^2+(M25*H25+M26*H26+U25)^2))</f>
        <v>0</v>
      </c>
      <c r="V40" s="99">
        <f>IF(D27="",0,SQRT(((((K26*H26+K27*H27)*0.001/SUM(H26:H27))*((SUM(H26:H27))^0.55)+S26*0.001)*100)^2+(M26*H26+M27*H27+U26)^2))</f>
        <v>0</v>
      </c>
      <c r="W40" s="99">
        <f>IF(D28="",0,SQRT(((((K27*H27+K28*H28)*0.001/SUM(H27:H28))*((SUM(H27:H28))^0.55)+S27*0.001)*100)^2+(M27*H27+M28*H28+U27)^2))</f>
        <v>0</v>
      </c>
      <c r="X40" s="99">
        <f>IF(D29="",0,SQRT(((((K28*H28+K29*H29)*0.001/SUM(H28:H29))*((SUM(H28:H29))^0.55)+S28*0.001)*100)^2+(M28*H28+M29*H29+U28)^2))</f>
        <v>0</v>
      </c>
      <c r="Y40" s="59"/>
      <c r="Z40" s="59"/>
      <c r="AA40" s="59"/>
      <c r="AB40" s="59"/>
      <c r="AC40" s="59"/>
      <c r="AD40" s="59"/>
      <c r="AE40" s="59"/>
      <c r="AF40" s="65" t="s">
        <v>100</v>
      </c>
      <c r="AG40" s="3"/>
      <c r="AH40" s="3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</row>
    <row r="41" spans="1:50" ht="15" customHeight="1" x14ac:dyDescent="0.15">
      <c r="A41" s="339"/>
      <c r="B41" s="389" t="s">
        <v>17</v>
      </c>
      <c r="C41" s="301"/>
      <c r="D41" s="249">
        <f>IF(B32="","",AQ151*H23*J23)</f>
        <v>480</v>
      </c>
      <c r="E41" s="250">
        <f>IF(D41="","",AQ150)</f>
        <v>0.5</v>
      </c>
      <c r="F41" s="251">
        <f>IF(D41="","",N23*H23*J23/D41)</f>
        <v>9.25</v>
      </c>
      <c r="G41" s="299" t="s">
        <v>17</v>
      </c>
      <c r="H41" s="300"/>
      <c r="I41" s="301"/>
      <c r="J41" s="249">
        <f>IF(G32="","",IF(B24="使用電線-2",AZ151*H24*J24,IF(B25="使用電線-2",AZ151*H25*J25,IF(B26="使用電線-2",AZ151*H26*J26,IF(B27="使用電線-2",AZ151*H27*J27,IF(B28="使用電線-2",AZ151*H28*J28,IF(B29="使用電線-2",AZ151*H29*J29,"")))))))</f>
        <v>303.60000000000002</v>
      </c>
      <c r="K41" s="250">
        <f>IF(J41="","",AZ150)</f>
        <v>0.5</v>
      </c>
      <c r="L41" s="251">
        <f>IF(J41="","",IF(B24="使用電線-2",N24*H24*J24/J41,IF(B25="使用電線-2",N25/J41,IF(B26="使用電線-2",N26/J41,IF(B27="使用電線-2",N27/J41,IF(B28="使用電線-2",N28/J41,IF(B29="使用電線-2",N29/J41)))))))</f>
        <v>14.06455862977602</v>
      </c>
      <c r="M41" s="299" t="s">
        <v>17</v>
      </c>
      <c r="N41" s="301"/>
      <c r="O41" s="249" t="str">
        <f>IF(M32="","",IF(B25="使用電線-3",BI151*H25*J25,IF(B26="使用電線-3",BI151*H26*J26,IF(B27="使用電線-3",BI151*H27*J27,IF(B28="使用電線-3",BI151*H28*J28,IF(B29="使用電線-3",BI151*H29*J29,""))))))</f>
        <v/>
      </c>
      <c r="P41" s="250" t="str">
        <f>IF(O41="","",BI150)</f>
        <v/>
      </c>
      <c r="Q41" s="252" t="str">
        <f>IF(O41="","",IF(B25="使用電線-3",N25*H25*J25/O41,IF(B26="使用電線-3",N26*H26*J26/O41,IF(B27="使用電線-3",N27*H27*J27/O41,IF(B28="使用電線-3",N28*H28*J28/O41,IF(B29="使用電線-3",N29*H29*J29/O41))))))</f>
        <v/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65" t="s">
        <v>101</v>
      </c>
      <c r="AG41" s="3"/>
      <c r="AH41" s="3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</row>
    <row r="42" spans="1:50" ht="15" customHeight="1" x14ac:dyDescent="0.15">
      <c r="A42" s="339"/>
      <c r="B42" s="388" t="s">
        <v>18</v>
      </c>
      <c r="C42" s="298"/>
      <c r="D42" s="198">
        <f>IF(B32="","",AQ171*H23*J23)</f>
        <v>396.86150072939995</v>
      </c>
      <c r="E42" s="199">
        <f>IF(D42="","",AQ170)</f>
        <v>0.60474497919021886</v>
      </c>
      <c r="F42" s="200">
        <f>IF(D42="","",N23*H23*J23/D42)</f>
        <v>11.187782115019049</v>
      </c>
      <c r="G42" s="296" t="s">
        <v>18</v>
      </c>
      <c r="H42" s="297"/>
      <c r="I42" s="298"/>
      <c r="J42" s="198">
        <f>IF(G32="","",IF(B24="使用電線-2",AZ171*H24*J24,IF(B25="使用電線-2",AZ171*H25*J25,IF(B26="使用電線-2",AZ171*H26*J26,IF(B27="使用電線-2",AZ171*H27*J27,IF(B28="使用電線-2",AZ171*H28*J28,IF(B29="使用電線-2",AZ171*H29*J29,"")))))))</f>
        <v>266.33544821536731</v>
      </c>
      <c r="K42" s="199">
        <f>IF(J42="","",AZ170)</f>
        <v>0.56995792718230176</v>
      </c>
      <c r="L42" s="200">
        <f>IF(J42="","",IF(B24="使用電線-2",N24*H24*J24/J42,IF(B25="使用電線-2",N25*H25*J25/J42,IF(B26="使用電線-2",N26*H26*J26/J42,IF(B27="使用電線-2",N27*H27*J27/J42,IF(B28="使用電線-2",N28*H28*J28/J42,IF(B29="使用電線-2",N29*H29*J29/J42)))))))</f>
        <v>16.032413366722189</v>
      </c>
      <c r="M42" s="296" t="s">
        <v>18</v>
      </c>
      <c r="N42" s="298"/>
      <c r="O42" s="198" t="str">
        <f>IF(M32="","",IF(B25="使用電線-3",BI171*H25*J25,IF(B26="使用電線-3",BI171*H26*J26,IF(B27="使用電線-3",BI171*H27*J27,IF(B28="使用電線-3",BI171*H28*J28,IF(B29="使用電線-3",BI171*H29*J29,""))))))</f>
        <v/>
      </c>
      <c r="P42" s="199" t="str">
        <f>IF(O42="","",BI170)</f>
        <v/>
      </c>
      <c r="Q42" s="203" t="str">
        <f>IF(O42="","",IF(B25="使用電線-3",N25*H25*J25/O42,IF(B26="使用電線-3",N26*H26*J26/O42,IF(B27="使用電線-3",N27*H27*J27/O42,IF(B28="使用電線-3",N28*H28*J28/O42,IF(B29="使用電線-3",N29*H29*J29/O42))))))</f>
        <v/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65" t="s">
        <v>102</v>
      </c>
      <c r="AG42" s="3"/>
      <c r="AH42" s="3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</row>
    <row r="43" spans="1:50" ht="15" customHeight="1" x14ac:dyDescent="0.15">
      <c r="A43" s="339"/>
      <c r="B43" s="388" t="s">
        <v>19</v>
      </c>
      <c r="C43" s="298"/>
      <c r="D43" s="198">
        <f>IF(B32="","",AQ191*H23*J23)</f>
        <v>302.51413964591347</v>
      </c>
      <c r="E43" s="199">
        <f>IF(D43="","",AQ190)</f>
        <v>0.79335134642273253</v>
      </c>
      <c r="F43" s="200">
        <f>IF(D43="","",N23*H23*J23/D43)</f>
        <v>14.676999908820553</v>
      </c>
      <c r="G43" s="296" t="s">
        <v>19</v>
      </c>
      <c r="H43" s="297"/>
      <c r="I43" s="298"/>
      <c r="J43" s="198">
        <f>IF(G32="","",IF(B24="使用電線-2",AZ191*H24*J24,IF(B25="使用電線-2",AZ191*H25*J25,IF(B26="使用電線-2",AZ191*H26*J26,IF(B27="使用電線-2",AZ191*H27*J27,IF(B28="使用電線-2",AZ191*H28*J28,IF(B29="使用電線-2",AZ191*H29*J29,"")))))))</f>
        <v>216.1388430792623</v>
      </c>
      <c r="K43" s="199">
        <f>IF(J43="","",AZ190)</f>
        <v>0.70232632800913075</v>
      </c>
      <c r="L43" s="200">
        <f>IF(J43="","",IF(B24="使用電線-2",N24*H24*J24/J43,IF(B25="使用電線-2",N25*H25*J25/J43,IF(B26="使用電線-2",N26*H26*J26/J43,IF(B27="使用電線-2",N27*H27*J27/J43,IF(B28="使用電線-2",N28*H28*J28/J43,IF(B29="使用電線-2",N29*H29*J29/J43)))))))</f>
        <v>19.755819635039447</v>
      </c>
      <c r="M43" s="296" t="s">
        <v>19</v>
      </c>
      <c r="N43" s="298"/>
      <c r="O43" s="198" t="str">
        <f>IF(M32="","",IF(B25="使用電線-3",BI191*H25*J25,IF(B26="使用電線-3",BI191*H26*J26,IF(B27="使用電線-3",BI191*H27*J27,IF(B28="使用電線-3",BI191*H28*J28,IF(B29="使用電線-3",BI191*H29*J29,""))))))</f>
        <v/>
      </c>
      <c r="P43" s="199" t="str">
        <f>IF(O43="","",BI190)</f>
        <v/>
      </c>
      <c r="Q43" s="203" t="str">
        <f>IF(O43="","",IF(B25="使用電線-3",N25*H25*J25/O43,IF(B26="使用電線-3",N26*H26*J26/O43,IF(B27="使用電線-3",N27*H27*J27/O43,IF(B28="使用電線-3",N28*H28*J28/O43,IF(B29="使用電線-3",N29*H29*J29/O43))))))</f>
        <v/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65" t="s">
        <v>103</v>
      </c>
      <c r="AG43" s="3"/>
      <c r="AH43" s="3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</row>
    <row r="44" spans="1:50" ht="15" customHeight="1" x14ac:dyDescent="0.15">
      <c r="A44" s="339"/>
      <c r="B44" s="385" t="s">
        <v>20</v>
      </c>
      <c r="C44" s="309"/>
      <c r="D44" s="198">
        <f>IF(B32="","",IF(AQ211=0,"",AQ211*H23*J23))</f>
        <v>251.25463428448933</v>
      </c>
      <c r="E44" s="199">
        <f>IF(D44="","",AQ210)</f>
        <v>0.95520626190024427</v>
      </c>
      <c r="F44" s="200">
        <f>IF(D44="","",N23*H23*J23/D44)</f>
        <v>17.671315845154517</v>
      </c>
      <c r="G44" s="308" t="s">
        <v>20</v>
      </c>
      <c r="H44" s="332"/>
      <c r="I44" s="309"/>
      <c r="J44" s="201" t="str">
        <f>IF(AZ211=0,"",IF(B24="使用電線-2",AZ211*H24*J24,IF(B25="使用電線-2",AZ211*H25*J25,IF(B26="使用電線-2",AZ211*H26*J26,IF(B27="使用電線-2",AZ211*H27*J27,IF(B28="使用電線-2",AZ211*H28*J28,IF(B29="使用電線-2",AZ211*H29*J29,"")))))))</f>
        <v/>
      </c>
      <c r="K44" s="199" t="str">
        <f>IF(J44="","",AZ210)</f>
        <v/>
      </c>
      <c r="L44" s="202" t="str">
        <f>IF(J44="","",IF(B24="使用電線-2",N24*H24*J24/J44,IF(B25="使用電線-2",N25*H25*J25/J44,IF(B26="使用電線-2",N26*H26*J26/J44,IF(B27="使用電線-2",N27*H27*J27/J44,IF(B28="使用電線-2",N28*H28244*J28/J44,IF(B29="使用電線-2",N29*H29*J29/J44)))))))</f>
        <v/>
      </c>
      <c r="M44" s="308" t="s">
        <v>20</v>
      </c>
      <c r="N44" s="309"/>
      <c r="O44" s="201" t="str">
        <f>IF(G32="","",IF(BI211=0,"",IF(B25="使用電線-3",BI211*H25*J25,IF(B26="使用電線-3",BI211*H26*J26,IF(B27="使用電線-3",BI211*H27*J27,IF(B28="使用電線-3",BI211*H28*J28,IF(B29="使用電線-3",BI211*H29*J29,"")))))))</f>
        <v/>
      </c>
      <c r="P44" s="199" t="str">
        <f>IF(O44="","",BI210)</f>
        <v/>
      </c>
      <c r="Q44" s="204" t="str">
        <f>IF(O44="","",IF(B25="使用電線-3",N25*H25*J25/O44,IF(B26="使用電線-3",N26*H26*J26/O44,IF(B27="使用電線-3",N27*H27*J27/O44,IF(B28="使用電線-3",N28*H28*J28/O44,IF(B29="使用電線-3",N29*H29*J29/O44))))))</f>
        <v/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65" t="s">
        <v>104</v>
      </c>
      <c r="AG44" s="3"/>
      <c r="AH44" s="3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</row>
    <row r="45" spans="1:50" ht="3.75" customHeight="1" x14ac:dyDescent="0.15">
      <c r="A45" s="339"/>
      <c r="B45" s="33"/>
      <c r="C45" s="186"/>
      <c r="D45" s="11"/>
      <c r="E45" s="11"/>
      <c r="F45" s="11"/>
      <c r="G45" s="11"/>
      <c r="H45" s="11"/>
      <c r="I45" s="34"/>
      <c r="J45" s="11"/>
      <c r="K45" s="11"/>
      <c r="L45" s="11"/>
      <c r="M45" s="11"/>
      <c r="N45" s="34"/>
      <c r="O45" s="11"/>
      <c r="P45" s="11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6"/>
      <c r="AG45" s="3"/>
      <c r="AH45" s="3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</row>
    <row r="46" spans="1:50" ht="13.5" customHeight="1" x14ac:dyDescent="0.15">
      <c r="A46" s="339"/>
      <c r="B46" s="386" t="str">
        <f>IF(AC26=4,"使用電線-"&amp;AC26,IF(AC27=4,"使用電線-"&amp;AC27,IF(AC28=4,"使用電線-"&amp;AC28,IF(AC29=4,"使用電線-"&amp;AC29,IF(AC30=4,"使用電線-"&amp;AC30,"")))))</f>
        <v/>
      </c>
      <c r="C46" s="387"/>
      <c r="D46" s="29" t="s">
        <v>21</v>
      </c>
      <c r="E46" s="29" t="s">
        <v>22</v>
      </c>
      <c r="F46" s="356" t="s">
        <v>23</v>
      </c>
      <c r="G46" s="329" t="str">
        <f>IF(AC27=5,"使用電線-"&amp;AC27,IF(AC28=5,"使用電線-"&amp;AC28,IF(AC29=5,"使用電線-"&amp;AC29,IF(AC30=5,"使用電線-"&amp;AC30,""))))</f>
        <v/>
      </c>
      <c r="H46" s="330"/>
      <c r="I46" s="331"/>
      <c r="J46" s="29" t="s">
        <v>21</v>
      </c>
      <c r="K46" s="29" t="s">
        <v>22</v>
      </c>
      <c r="L46" s="362" t="s">
        <v>23</v>
      </c>
      <c r="M46" s="310" t="s">
        <v>25</v>
      </c>
      <c r="N46" s="311"/>
      <c r="O46" s="29" t="s">
        <v>46</v>
      </c>
      <c r="P46" s="29" t="s">
        <v>22</v>
      </c>
      <c r="Q46" s="57" t="s">
        <v>23</v>
      </c>
      <c r="R46" s="60"/>
      <c r="S46" s="3"/>
      <c r="T46" s="3"/>
      <c r="U46" s="59"/>
      <c r="V46" s="59"/>
      <c r="W46" s="59"/>
      <c r="X46" s="59"/>
      <c r="Y46" s="95" t="s">
        <v>158</v>
      </c>
      <c r="Z46" s="95" t="s">
        <v>159</v>
      </c>
      <c r="AA46" s="60"/>
      <c r="AB46" s="60"/>
      <c r="AC46" s="60"/>
      <c r="AD46" s="60"/>
      <c r="AE46" s="60"/>
      <c r="AF46" s="36"/>
      <c r="AG46" s="36"/>
      <c r="AH46" s="36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</row>
    <row r="47" spans="1:50" ht="13.5" customHeight="1" x14ac:dyDescent="0.15">
      <c r="A47" s="339"/>
      <c r="B47" s="187" t="str">
        <f>IF(B46="","","弛度補正")</f>
        <v/>
      </c>
      <c r="C47" s="182"/>
      <c r="D47" s="55" t="s">
        <v>125</v>
      </c>
      <c r="E47" s="55" t="s">
        <v>24</v>
      </c>
      <c r="F47" s="357"/>
      <c r="G47" s="304" t="str">
        <f>IF(G46="","","弛度補正")</f>
        <v/>
      </c>
      <c r="H47" s="305"/>
      <c r="I47" s="182"/>
      <c r="J47" s="188" t="s">
        <v>125</v>
      </c>
      <c r="K47" s="55" t="s">
        <v>24</v>
      </c>
      <c r="L47" s="363"/>
      <c r="M47" s="312"/>
      <c r="N47" s="313"/>
      <c r="O47" s="55" t="s">
        <v>125</v>
      </c>
      <c r="P47" s="167" t="s">
        <v>157</v>
      </c>
      <c r="Q47" s="56" t="s">
        <v>174</v>
      </c>
      <c r="R47" s="61"/>
      <c r="S47" s="103" t="s">
        <v>126</v>
      </c>
      <c r="T47" s="3"/>
      <c r="U47" s="3"/>
      <c r="V47" s="59"/>
      <c r="W47" s="59"/>
      <c r="X47" s="59"/>
      <c r="Y47" s="99">
        <f>IF(I23="---〃---",0,IF(OR(I23=AH3,I23=AH4,I23=AH5,I23=AH6,I23=AH7,I23=AH8,I23=AH9,I23=AH10),S23*0.001+0.012,0))</f>
        <v>0</v>
      </c>
      <c r="Z47" s="99">
        <f>IF(I23="---〃---",0,IF(OR(I23=AH3,I23=AH4,I23=AH5,I23=AH6,I23=AH7,I23=AH8,I23=AH9,I23=AH10),U23+1.884955592*(S23*0.001+0.006)*0.9,0))</f>
        <v>0</v>
      </c>
      <c r="AA47" s="61"/>
      <c r="AB47" s="61"/>
      <c r="AC47" s="61"/>
      <c r="AD47" s="61"/>
      <c r="AE47" s="61"/>
      <c r="AF47" s="36"/>
      <c r="AG47" s="36"/>
      <c r="AH47" s="36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</row>
    <row r="48" spans="1:50" ht="13.5" customHeight="1" x14ac:dyDescent="0.15">
      <c r="A48" s="339"/>
      <c r="B48" s="346" t="s">
        <v>13</v>
      </c>
      <c r="C48" s="347"/>
      <c r="D48" s="335" t="str">
        <f>IF(B46="","",IF(B26="使用電線-4",BR71*H26*J26,IF(B27="使用電線-4",BR71*H27*J27,IF(B28="使用電線-4",BR71*H28*J28,IF(B29="使用電線-4",BR71*H29*J29,"")))))</f>
        <v/>
      </c>
      <c r="E48" s="337" t="str">
        <f>IF(D48="","",BR70)</f>
        <v/>
      </c>
      <c r="F48" s="360" t="str">
        <f>IF(D48="","",IF(B26="使用電線-4",N26*H26*J26/D48,IF(B27="使用電線-4",N27*H27*J27/D48,IF(B28="使用電線-4",N28*H28*J28/D48,IF(B29="使用電線-4",N29*H29*J29/D48)))))</f>
        <v/>
      </c>
      <c r="G48" s="287" t="s">
        <v>13</v>
      </c>
      <c r="H48" s="288"/>
      <c r="I48" s="347"/>
      <c r="J48" s="335" t="str">
        <f>IF(G46="","",IF(B27="使用電線-5",CA71*H27*J27,IF(B28="使用電線-5",CA71*H28*J28,IF(B29="使用電線-5",CA71*H29*J29,""))))</f>
        <v/>
      </c>
      <c r="K48" s="337" t="str">
        <f>IF(J48="","",CA70)</f>
        <v/>
      </c>
      <c r="L48" s="360" t="str">
        <f>IF(J48="","",IF(B27="使用電線-5",N27*H27*J27/J48,IF(B28="使用電線-5",N28*H28*J28/J48,IF(B29="使用電線-5",N29*H29*J29/J48))))</f>
        <v/>
      </c>
      <c r="M48" s="287" t="s">
        <v>13</v>
      </c>
      <c r="N48" s="347"/>
      <c r="O48" s="335">
        <f>IF(D34="","",SUM(J61:N61))</f>
        <v>1630.3239436235408</v>
      </c>
      <c r="P48" s="206">
        <f>IF(D34="","",MAX(E34,K34,P34,E48,K48))</f>
        <v>0.71477707396172674</v>
      </c>
      <c r="Q48" s="306">
        <f>IF(D34="","",MIN(F34,L34,Q34,F48,L48))</f>
        <v>4.1815986100309273</v>
      </c>
      <c r="R48" s="59"/>
      <c r="S48" s="99">
        <f>IF(D29="",0,SQRT(((((K23*H23+K24*H24+K25*H25+K26*H26+K27*H27+K28*H28+K29*H29)*0.001/SUM(H23:H29))*((SUM(H23:H29))^0.55)+0.012+Y47)*50)^2+(M23*H23+M24*H24+M25*H25+M26*H26+M27*H27+M28*H28+M29*H29+16.9646*(((K23*H23+K24*H24+K25*H25+K26*H26+K27*H27+K28*H28+K29*H29)*0.001/SUM(H23:H29))*((SUM(H23:H29))^0.55)+0.006)+Z47)^2))</f>
        <v>0</v>
      </c>
      <c r="T48" s="103" t="s">
        <v>133</v>
      </c>
      <c r="U48" s="3"/>
      <c r="V48" s="59"/>
      <c r="W48" s="59"/>
      <c r="X48" s="59"/>
      <c r="Y48" s="99">
        <f>IF(I24="---〃---",0,IF(OR(I24=AH3,I24=AH4,I24=AH5,I24=AH6,I24=AH7,I24=AH8,I24=AH9,I24=AH10),S24*0.001+0.012,0))</f>
        <v>1.9799999999999998E-2</v>
      </c>
      <c r="Z48" s="99">
        <f>IF(I24="---〃---",0,IF(OR(I24=AH3,I24=AH4,I24=AH5,I24=AH6,I24=AH7,I24=AH8,I24=AH9,I24=AH10),U24+1.884955592*(S24*0.001+0.006)*0.9,0))</f>
        <v>0.31741114845263996</v>
      </c>
      <c r="AA48" s="59"/>
      <c r="AB48" s="59"/>
      <c r="AC48" s="59"/>
      <c r="AD48" s="59"/>
      <c r="AE48" s="59"/>
      <c r="AF48" s="28"/>
      <c r="AG48" s="28"/>
      <c r="AH48" s="28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</row>
    <row r="49" spans="1:79" ht="13.5" customHeight="1" x14ac:dyDescent="0.15">
      <c r="A49" s="339"/>
      <c r="B49" s="348"/>
      <c r="C49" s="292"/>
      <c r="D49" s="336"/>
      <c r="E49" s="338"/>
      <c r="F49" s="361"/>
      <c r="G49" s="290"/>
      <c r="H49" s="291"/>
      <c r="I49" s="292"/>
      <c r="J49" s="336"/>
      <c r="K49" s="338"/>
      <c r="L49" s="361"/>
      <c r="M49" s="290"/>
      <c r="N49" s="292"/>
      <c r="O49" s="336"/>
      <c r="P49" s="207">
        <f>IF(D34="","",MIN(E34,K34,P34,E48,K48))</f>
        <v>0.67355041950470917</v>
      </c>
      <c r="Q49" s="307"/>
      <c r="R49" s="59"/>
      <c r="S49" s="99">
        <f>IF(D28="",0,SQRT(((((K23*H23+K24*H24+K25*H25+K26*H26+K27*H27+K28*H28)*0.001/SUM(H23:H28))*((SUM(H23:H28))^0.55)+0.012+Y51)*47)^2+(M23*H23+M24*H24+M25*H25+M26*H26+M27*H27+M28*H28+16.9646*(((K23*H23+K24*H24+K25*H25+K26*H26+K27*H27+K28*H28)*0.001/SUM(H23:H28))*((SUM(H23:H28))^0.55)+0.006)+Z47)^2))</f>
        <v>0</v>
      </c>
      <c r="T49" s="99">
        <f>IF(D29="",0,SQRT(((((K24*H24+K25*H25+K26*H26+K27*H27+K28*H28+K29*H29)*0.001/SUM(H24:H29))*((SUM(H24:H29))^0.55)+0.012+Y48)*50)^2+(M24*H24+M25*H25+M26*H26+M27*H27+M28*H28+M29*H29+16.9646*(((K24*H24+K25*H25+K26*H26+K27*H27+K28*H28+K29*H29)*0.001/SUM(H24:H29))*((SUM(H24:H29))^0.55)+0.006)+Z48)^2))</f>
        <v>0</v>
      </c>
      <c r="U49" s="103" t="s">
        <v>134</v>
      </c>
      <c r="V49" s="3"/>
      <c r="W49" s="3"/>
      <c r="X49" s="59"/>
      <c r="Y49" s="99">
        <f>IF(I25="---〃---",0,IF(OR(I25=AH3,I25=AH4,I25=AH5,I25=AH6,I25=AH7,I25=AH8,I25=AH9,I25=AH10),S25*0.001+0.012,0))</f>
        <v>0</v>
      </c>
      <c r="Z49" s="99">
        <f>IF(I25="---〃---",0,IF(OR(I25=AH3,I25=AH4,I25=AH5,I25=AH6,I25=AH7,I25=AH8,I25=AH9,I25=AH10),U25+1.884955592*(S25*0.001+0.006)*0.9,0))</f>
        <v>0</v>
      </c>
      <c r="AA49" s="59"/>
      <c r="AB49" s="59"/>
      <c r="AC49" s="59"/>
      <c r="AD49" s="59"/>
      <c r="AE49" s="59"/>
      <c r="AF49" s="28"/>
      <c r="AG49" s="28"/>
      <c r="AH49" s="28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</row>
    <row r="50" spans="1:79" ht="13.5" customHeight="1" x14ac:dyDescent="0.15">
      <c r="A50" s="339"/>
      <c r="B50" s="366" t="s">
        <v>14</v>
      </c>
      <c r="C50" s="295"/>
      <c r="D50" s="314" t="str">
        <f>IF(B46="","",IF(B26="使用電線-4",BR91*H26*J26,IF(B27="使用電線-4",BR91*H27*J27,IF(B28="使用電線-4",BR91*H28*J28,IF(B29="使用電線-4",BR91*H29*J29,"")))))</f>
        <v/>
      </c>
      <c r="E50" s="333" t="str">
        <f>IF(D50="","",BR90)</f>
        <v/>
      </c>
      <c r="F50" s="302" t="str">
        <f>IF(D50="","",IF(B26="使用電線-4",N26*H26*J26/D50,IF(B27="使用電線-4",N27*H27*J27/D50,IF(B28="使用電線-4",N28*H28*J28/D50,IF(B29="使用電線-4",N29*H29*J29/D50)))))</f>
        <v/>
      </c>
      <c r="G50" s="293" t="s">
        <v>14</v>
      </c>
      <c r="H50" s="294"/>
      <c r="I50" s="295"/>
      <c r="J50" s="314" t="str">
        <f>IF(G46="","",IF(B27="使用電線-5",CA91*H27*J27,IF(B28="使用電線-5",CA91*H28*J28,IF(B29="使用電線-5",CA91*H29*J29,""))))</f>
        <v/>
      </c>
      <c r="K50" s="333" t="str">
        <f>IF(J50="","",CA90)</f>
        <v/>
      </c>
      <c r="L50" s="302" t="str">
        <f>IF(J50="","",IF(B27="使用電線-5",N27*H27*J27/J50,IF(B28="使用電線-5",N28*H28*J28/J50,IF(B29="使用電線-5",N29*H29*J29/J50))))</f>
        <v/>
      </c>
      <c r="M50" s="293" t="s">
        <v>14</v>
      </c>
      <c r="N50" s="295"/>
      <c r="O50" s="314">
        <f>IF(D34="","",SUM(J62:N62))</f>
        <v>1526.556985271437</v>
      </c>
      <c r="P50" s="208">
        <f>IF(D36="","",MAX(E36,K36,P36,E50,K50))</f>
        <v>0.45274438511167048</v>
      </c>
      <c r="Q50" s="358">
        <f>IF(D36="","",MIN(F36,L36,Q36,F50,L50))</f>
        <v>4.3862217154380012</v>
      </c>
      <c r="R50" s="59"/>
      <c r="S50" s="99">
        <f>IF(D27="",0,SQRT(((((K23*H23+K24*H24+K25*H25+K26*H26+K27*H27)*0.001/SUM(H23:H27))*((SUM(H23:H27))^0.55)+0.012+Y47)*50)^2+(M23*H23+M24*H24+M25*H25+M26*H26+M27*H27+16.9646*(((K23*H23+K24*H24+K25*H25+K26*H26+K27*H27)*0.001/SUM(H23:H27))*((SUM(H23:H27))^0.55)+0.006)+Z47)^2))</f>
        <v>0</v>
      </c>
      <c r="T50" s="99">
        <f>IF(D28="",0,SQRT(((((K24*H24+K25*H25+K26*H26+K27*H27+K28*H28)*0.001/SUM(H24:H28))*((SUM(H24:H28))^0.55)+0.012+Y48)*50)^2+(M24*H24+M25*H25+M26*H26+M27*H27+M28*H28+16.9646*(((K24*H24+K25*H25+K26*H26+K27*H27+K28*H28)*0.001/SUM(H24:H28))*((SUM(H24:H28))^0.55)+0.006)+Z48)^2))</f>
        <v>0</v>
      </c>
      <c r="U50" s="99">
        <f>IF(D29="",0,SQRT(((((K25*H25+K26*H26+K27*H27+K28*H28+K29*H29)*0.001/SUM(H25:H29))*((SUM(H25:H29))^0.55)+0.012+Y49)*50)^2+(M25*H25+M26*H26+M27*H27+M28*H28+M29*H29+16.9646*(((K25*H25+K26*H26+K27*H27+K28*H28+K29*H29)*0.001/SUM(H25:H29))*((SUM(H25:H29))^0.55)+0.006)+Z49)^2))</f>
        <v>0</v>
      </c>
      <c r="V50" s="103" t="s">
        <v>135</v>
      </c>
      <c r="W50" s="3"/>
      <c r="X50" s="3"/>
      <c r="Y50" s="99">
        <f>IF(I26="---〃---",0,IF(OR(I26=AH3,I26=AH4,I26=AH5,I26=AH6,I26=AH7,I26=AH8,I26=AH9,I26=AH10),S26*0.001+0.012,0))</f>
        <v>0</v>
      </c>
      <c r="Z50" s="99">
        <f>IF(I26="---〃---",0,IF(OR(I26=AH3,I26=AH4,I26=AH5,I26=AH6,I26=AH7,I26=AH8,I26=AH9,I26=AH10),U26+1.884955592*(S26*0.001+0.006)*0.9,0))</f>
        <v>0</v>
      </c>
      <c r="AA50" s="59"/>
      <c r="AB50" s="59"/>
      <c r="AC50" s="59"/>
      <c r="AD50" s="59"/>
      <c r="AE50" s="59"/>
      <c r="AF50" s="28"/>
      <c r="AG50" s="28"/>
      <c r="AH50" s="28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</row>
    <row r="51" spans="1:79" ht="13.5" customHeight="1" x14ac:dyDescent="0.15">
      <c r="A51" s="339"/>
      <c r="B51" s="348"/>
      <c r="C51" s="292"/>
      <c r="D51" s="315"/>
      <c r="E51" s="334"/>
      <c r="F51" s="303"/>
      <c r="G51" s="290"/>
      <c r="H51" s="291"/>
      <c r="I51" s="292"/>
      <c r="J51" s="315"/>
      <c r="K51" s="334"/>
      <c r="L51" s="303"/>
      <c r="M51" s="290"/>
      <c r="N51" s="292"/>
      <c r="O51" s="315"/>
      <c r="P51" s="207">
        <f>IF(D36="","",MIN(E36,K36,P36,E50,K50))</f>
        <v>0.42742560271798197</v>
      </c>
      <c r="Q51" s="359"/>
      <c r="R51" s="59"/>
      <c r="S51" s="99">
        <f>IF(D26="",0,SQRT(((((K23*H23+K24*H24+K25*H25+K26*H26)*0.001/SUM(H23:H26))*((SUM(H23:H26))^0.55)+0.012+Y47)*50)^2+(M23*H23+M24*H24+M25*H25+M26*H26+16.9646*(((K23*H23+K24*H24+K25*H25+K26*H26)*0.001/SUM(H23:H26))*((SUM(H23:H26))^0.55)+0.006)+Z47)^2))</f>
        <v>0</v>
      </c>
      <c r="T51" s="99">
        <f>IF(D27="",0,SQRT(((((K24*H24+K25*H25+K26*H26+K27*H27)*0.001/SUM(H24:H27))*((SUM(H24:H27))^0.55)+0.012+Y48)*50)^2+(M24*H24+M25*H25+M26*H26+M27*H27+16.9646*(((K24*H24+K25*H25+K26*H26+K27*H27)*0.001/SUM(H24:H27))*((SUM(H24:H27))^0.55)+0.006)+Z48)^2))</f>
        <v>0</v>
      </c>
      <c r="U51" s="99">
        <f>IF(D28="",0,SQRT(((((K25*H25+K26*H26+K27*H27+K28*H28)*0.001/SUM(H25:H28))*((SUM(H25:H28))^0.55)+0.012+Y49)*50)^2+(M25*H25+M26*H26+M27*H27+M28*H28+16.9646*(((K25*H25+K26*H26+K27*H27+K28*H28)*0.001/SUM(H25:H28))*((SUM(H25:H28))^0.55)+0.006)+Z49)^2))</f>
        <v>0</v>
      </c>
      <c r="V51" s="99">
        <f>IF(D29="",0,SQRT(((((K26*H26+K27*H27+K28*H28+K29*H29)*0.001/SUM(H26:H29))*((SUM(H26:H29))^0.55)+0.012+Y50)*50)^2+(M26*H26+M27*H27+M28*H28+M29*H29+16.9646*(((K26*H26+K27*H27+K28*H28+K29*H29)*0.001/SUM(H26:H29))*((SUM(H26:H29))^0.55)+0.006)+Z50)^2))</f>
        <v>0</v>
      </c>
      <c r="W51" s="103" t="s">
        <v>136</v>
      </c>
      <c r="X51" s="3"/>
      <c r="Y51" s="99">
        <f>IF(I27="---〃---",0,IF(OR(I27=AH3,I27=AH4,I27=AH5,I27=AH6,I27=AH7,I27=AH8,I27=AH9,I27=AH10),S27*0.001+0.012,0))</f>
        <v>0</v>
      </c>
      <c r="Z51" s="99">
        <f>IF(I27="---〃---",0,IF(OR(I27=AH3,I27=AH4,I27=AH5,I27=AH6,I27=AH7,I27=AH8,I27=AH9,I27=AH10),U27+1.884955592*(S27*0.001+0.006)*0.9,0))</f>
        <v>0</v>
      </c>
      <c r="AA51" s="59"/>
      <c r="AB51" s="59"/>
      <c r="AC51" s="59"/>
      <c r="AD51" s="59"/>
      <c r="AE51" s="59"/>
      <c r="AF51" s="28"/>
      <c r="AG51" s="28"/>
      <c r="AH51" s="28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BV51" s="168"/>
    </row>
    <row r="52" spans="1:79" ht="17.25" customHeight="1" x14ac:dyDescent="0.15">
      <c r="A52" s="339"/>
      <c r="B52" s="366" t="s">
        <v>15</v>
      </c>
      <c r="C52" s="295"/>
      <c r="D52" s="314" t="str">
        <f>IF(B46="","",IF(B26="使用電線-4",BR111*H26*J26,IF(B27="使用電線-4",BR111*H27*J27,IF(B28="使用電線-4",BR111*H28*J28,IF(B29="使用電線-4",BR111*H29*J29,"")))))</f>
        <v/>
      </c>
      <c r="E52" s="333" t="str">
        <f>IF(D52="","",BR110)</f>
        <v/>
      </c>
      <c r="F52" s="302" t="str">
        <f>IF(D52="","",IF(B26="使用電線-4",N26*H26*J26/D52,IF(B27="使用電線-4",N27*H27*J27/D52,IF(B28="使用電線-4",N28*H28*J28/D52,IF(B29="使用電線-4",N29*H29*J29/D52)))))</f>
        <v/>
      </c>
      <c r="G52" s="293" t="s">
        <v>15</v>
      </c>
      <c r="H52" s="294"/>
      <c r="I52" s="295"/>
      <c r="J52" s="314" t="str">
        <f>IF(G46="","",IF(B27="使用電線-5",CA111*H27*J27,IF(B28="使用電線-5",CA111*H28*J28,IF(B29="使用電線-5",CA111*H29*J29,""))))</f>
        <v/>
      </c>
      <c r="K52" s="333" t="str">
        <f>IF(J52="","",CA110)</f>
        <v/>
      </c>
      <c r="L52" s="302" t="str">
        <f>IF(J52="","",IF(B27="使用電線-5",N27*H27*J27/J52,IF(B28="使用電線-5",N28*H28*J28/J52,IF(B29="使用電線-5",N29*H29*J29/J52))))</f>
        <v/>
      </c>
      <c r="M52" s="293" t="s">
        <v>15</v>
      </c>
      <c r="N52" s="295"/>
      <c r="O52" s="336">
        <f>IF(D34="","",SUM(J63:N63))</f>
        <v>2221.6783920242647</v>
      </c>
      <c r="P52" s="209">
        <f>IF(D38="","",MAX(E38,K38,P38,E52,K52))</f>
        <v>0.66471569738201508</v>
      </c>
      <c r="Q52" s="358">
        <f>IF(D38="","",MIN(F38,L38,Q38,F52,L52))</f>
        <v>3.1730870992203606</v>
      </c>
      <c r="R52" s="59"/>
      <c r="S52" s="99">
        <f>IF(D25="",0,SQRT(((((K23*H23+K24*H24+K25*H25)*0.001/SUM(H23:H25))*((SUM(H23:H25))^0.55)+0.012+Y47)*50)^2+(M23*H23+M24*H24+M25*H25+16.9646*(((K23*H23+K24*H24+K25*H25)*0.001/SUM(H23:H25))*((SUM(H23:H25))^0.55)+0.006)+Z47)^2))</f>
        <v>0</v>
      </c>
      <c r="T52" s="99">
        <f>IF(D26="",0,SQRT(((((K24*H24+K25*H25+K26*H26)*0.001/SUM(H24:H26))*((SUM(H24:H26))^0.55)+0.012+Y48)*50)^2+(M24*H24+M25*H25+M26*H26+16.9646*(((K24*H24+K25*H25+K26*H26)*0.001/SUM(H24:H26))*((SUM(H24:H26))^0.55)+0.006)+Z48)^2))</f>
        <v>0</v>
      </c>
      <c r="U52" s="99">
        <f>IF(D27="",0,SQRT(((((K25*H25+K26*H26+K27*H27)*0.001/SUM(H25:H27))*((SUM(H25:H27))^0.55)+0.012+Y49)*50)^2+(M25*H25+M26*H26+M27*H27+16.9646*(((K25*H25+K26*H26+K27*H27)*0.001/SUM(H25:H27))*((SUM(H25:H27))^0.55)+0.006)+Z49)^2))</f>
        <v>0</v>
      </c>
      <c r="V52" s="99">
        <f>IF(D28="",0,SQRT(((((K26*H26+K27*H27+K28*H28)*0.001/SUM(H26:H28))*((SUM(H26:H28))^0.55)+0.012+Y50)*50)^2+(M26*H26+M27*H27+M28*H28+16.9646*(((K26*H26+K27*H27+K28*H28)*0.001/SUM(H26:H28))*((SUM(H26:H28))^0.55)+0.006)+Z50)^2))</f>
        <v>0</v>
      </c>
      <c r="W52" s="99">
        <f>IF(D29="",0,SQRT(((((K27*H27+K28*H28+K29*H29)*0.001/SUM(H27:H29))*((SUM(H27:H29))^0.55)+0.012+Y51)*50)^2+(M27*H27+M28*H28+M29*H29+16.9646*(((K27*H27+K28*H28+K29*H29)*0.001/SUM(H27:H29))*((SUM(H27:H29))^0.55)+0.006)+Z51)^2))</f>
        <v>0</v>
      </c>
      <c r="X52" s="103" t="s">
        <v>137</v>
      </c>
      <c r="Y52" s="99">
        <f>IF(I28="---〃---",0,IF(OR(I28=AH3,I28=AH4,I28=AH5,I28=AH6,I28=AH7,I28=AH8,I28=AH9,I28=AH10),S28*0.001+0.012,0))</f>
        <v>0</v>
      </c>
      <c r="Z52" s="99">
        <f>IF(I28="---〃---",0,IF(OR(I28=AH3,I28=AH4,I28=AH5,I28=AH6,I28=AH7,I28=AH8,I28=AH9,I28=AH10),U28+1.884955592*(S28*0.001+0.006)*0.9,0))</f>
        <v>0</v>
      </c>
      <c r="AA52" s="59"/>
      <c r="AB52" s="59"/>
      <c r="AC52" s="59"/>
      <c r="AD52" s="59"/>
      <c r="AE52" s="59"/>
      <c r="AF52" s="28"/>
      <c r="AG52" s="28"/>
      <c r="AH52" s="28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</row>
    <row r="53" spans="1:79" ht="17.25" customHeight="1" x14ac:dyDescent="0.15">
      <c r="A53" s="339"/>
      <c r="B53" s="348"/>
      <c r="C53" s="292"/>
      <c r="D53" s="315"/>
      <c r="E53" s="334"/>
      <c r="F53" s="303"/>
      <c r="G53" s="290"/>
      <c r="H53" s="291"/>
      <c r="I53" s="292"/>
      <c r="J53" s="315"/>
      <c r="K53" s="334"/>
      <c r="L53" s="303"/>
      <c r="M53" s="290"/>
      <c r="N53" s="292"/>
      <c r="O53" s="336"/>
      <c r="P53" s="210">
        <f>IF(D38="","",MIN(E38,K38,P38,E52,K52))</f>
        <v>0.59686380071293776</v>
      </c>
      <c r="Q53" s="359"/>
      <c r="R53" s="59"/>
      <c r="S53" s="99">
        <f>IF(D24="",0,SQRT(((((K23*H23+K24*H24)*0.001/SUM(H23:H24))*((SUM(H23:H24))^0.55)+0.012+Y47)*50)^2+(M23*H23+M24*H24+16.9646*(((K23*H23+K24*H24)*0.001/SUM(H23:H24))*((SUM(H23:H24))^0.55)+0.006)+Z47)^2))</f>
        <v>3.0351025630213906</v>
      </c>
      <c r="T53" s="99">
        <f>IF(D25="",0,SQRT(((((K24*H24+K25*H25)*0.001/SUM(H24:H25))*((SUM(H24:H25))^0.55)+0.012+Y48)*50)^2+(M24*H24+M25*H25+16.9646*(((K24*H24+K25*H25)*0.001/SUM(H24:H25))*((SUM(H24:H25))^0.55)+0.006)+Z48)^2))</f>
        <v>0</v>
      </c>
      <c r="U53" s="99">
        <f>IF(D26="",0,SQRT(((((K25*H25+K26*H26)*0.001/SUM(H25:H26))*((SUM(H25:H26))^0.55)+0.012+Y49)*50)^2+(M25*H25+M26*H26+16.9646*(((K25*H25+K26*H26)*0.001/SUM(H25:H26))*((SUM(H25:H26))^0.55)+0.006)+Z49)^2))</f>
        <v>0</v>
      </c>
      <c r="V53" s="99">
        <f>IF(D27="",0,SQRT(((((K26*H26+K27*H27)*0.001/SUM(H26:H27))*((SUM(H26:H27))^0.55)+0.012+Y50)*50)^2+(M26*H26+M27*H27+16.9646*(((K26*H26+K27*H27)*0.001/SUM(H26:H27))*((SUM(H26:H27))^0.55)+0.006)+Z50)^2))</f>
        <v>0</v>
      </c>
      <c r="W53" s="99">
        <f>IF(D28="",0,SQRT(((((K27*H27+K28*H28)*0.001/SUM(H27:H28))*((SUM(H27:H28))^0.55)+0.012+Y51)*50)^2+(M27*H27+M28*H28+16.9646*(((K27*H27+K28*H28)*0.001/SUM(H27:H28))*((SUM(H27:H28))^0.55)+0.006)+Z51)^2))</f>
        <v>0</v>
      </c>
      <c r="X53" s="99">
        <f>IF(D29="",0,SQRT(((((K28*H28+K29*H29)*0.001/SUM(H28:H29))*((SUM(H28:H29))^0.55)+0.012+Y52)*50)^2+(M28*H28+M29*H29+16.9646*(((K28*H28+K29*H29)*0.001/SUM(H28:H29))*((SUM(H28:H29))^0.55)+0.006)+Z52)^2))</f>
        <v>0</v>
      </c>
      <c r="Y53" s="99">
        <f>IF(I29="---〃---",0,IF(OR(I29=AH3,I29=AH4,I29=AH5,I29=AH6,I29=AH7,I29=AH8,I29=AH9,I29=AH10),S29*0.001+0.012,0))</f>
        <v>0</v>
      </c>
      <c r="Z53" s="99">
        <f>IF(I29="---〃---",0,IF(OR(I29=AH3,I29=AH4,I29=AH5,I29=AH6,I29=AH7,I29=AH8,I29=AH9,I29=AH10),U29+1.884955592*(S29*0.001+0.006)*0.9,0))</f>
        <v>0</v>
      </c>
      <c r="AA53" s="59"/>
      <c r="AB53" s="59"/>
      <c r="AC53" s="59"/>
      <c r="AD53" s="59"/>
      <c r="AE53" s="59"/>
      <c r="AF53" s="28"/>
      <c r="AG53" s="28"/>
      <c r="AH53" s="28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</row>
    <row r="54" spans="1:79" ht="15" customHeight="1" x14ac:dyDescent="0.15">
      <c r="A54" s="339"/>
      <c r="B54" s="388" t="s">
        <v>16</v>
      </c>
      <c r="C54" s="298"/>
      <c r="D54" s="198" t="str">
        <f>IF(B46="","",IF(B26="使用電線-4",BR131*H26*J26,IF(B27="使用電線-4",BR131*H27*J27,IF(B28="使用電線-4",BR131*H28*J28,IF(B29="使用電線-4",BR131*H29*J29,"")))))</f>
        <v/>
      </c>
      <c r="E54" s="199" t="str">
        <f>IF(D54="","",BR130)</f>
        <v/>
      </c>
      <c r="F54" s="200" t="str">
        <f>IF(D54="","",IF(B26="使用電線-4",N26*H26*J26/D54,IF(B27="使用電線-4",N27*H27*J27/D54,IF(B28="使用電線-4",N28*H28*J28/D54,IF(B29="使用電線-4",N29*H29*J29/D54)))))</f>
        <v/>
      </c>
      <c r="G54" s="296" t="s">
        <v>16</v>
      </c>
      <c r="H54" s="297"/>
      <c r="I54" s="298"/>
      <c r="J54" s="198" t="str">
        <f>IF(G46="","",IF(B27="使用電線-5",CA131*H27*J27,IF(B28="使用電線-5",CA131*H28*J28,IF(B29="使用電線-5",CA131*H29*J29,""))))</f>
        <v/>
      </c>
      <c r="K54" s="199" t="str">
        <f>IF(J54="","",CA130)</f>
        <v/>
      </c>
      <c r="L54" s="200" t="str">
        <f>IF(J54="","",IF(B27="使用電線-5",N27*H27*J27/J54,IF(B28="使用電線-5",N28*H28*J28/J54,IF(B29="使用電線-5",N29*H29*J29/J54))))</f>
        <v/>
      </c>
      <c r="M54" s="296" t="s">
        <v>16</v>
      </c>
      <c r="N54" s="298"/>
      <c r="O54" s="198">
        <f>IF(D34="","",SUM(J64:N64))</f>
        <v>962.72201555450249</v>
      </c>
      <c r="P54" s="189">
        <f>IF(D40="","",MAX(E40,K40,P40,E54,K54))</f>
        <v>0.42972858038867845</v>
      </c>
      <c r="Q54" s="203">
        <f>IF(D40="","",MIN(F40,L40,Q40,F54,L54))</f>
        <v>7.2849489499095554</v>
      </c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3"/>
      <c r="AG54" s="3"/>
      <c r="AH54" s="3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</row>
    <row r="55" spans="1:79" ht="15" customHeight="1" x14ac:dyDescent="0.15">
      <c r="A55" s="339"/>
      <c r="B55" s="389" t="s">
        <v>17</v>
      </c>
      <c r="C55" s="301"/>
      <c r="D55" s="249" t="str">
        <f>IF(B46="","",IF(B26="使用電線-4",BR151*H26*J26,IF(B27="使用電線-4",BR151*H27*J27,IF(B28="使用電線-4",BR151*H28*J28,IF(B29="使用電線-4",BR151*H29*J29,"")))))</f>
        <v/>
      </c>
      <c r="E55" s="250" t="str">
        <f>IF(D55="","",BR150)</f>
        <v/>
      </c>
      <c r="F55" s="251" t="str">
        <f>IF(D55="","",IF(B26="使用電線-4",N26*H26*J26/D55,IF(B27="使用電線-4",N27*H27*J27/D55,IF(B28="使用電線-4",N28*H28*J28/D55,IF(B29="使用電線-4",N29*H29*J29/D55)))))</f>
        <v/>
      </c>
      <c r="G55" s="299" t="s">
        <v>17</v>
      </c>
      <c r="H55" s="300"/>
      <c r="I55" s="301"/>
      <c r="J55" s="249" t="str">
        <f>IF(G46="","",IF(B27="使用電線-5",CA151*H27*J27,IF(B28="使用電線-5",CA151*H28*J28,IF(B29="使用電線-5",CA151*H29*J29,""))))</f>
        <v/>
      </c>
      <c r="K55" s="250" t="str">
        <f>IF(J55="","",CA150)</f>
        <v/>
      </c>
      <c r="L55" s="251" t="str">
        <f>IF(J55="","",IF(B27="使用電線-5",N27*H27*J27/J55,IF(B28="使用電線-5",N28*H28*J28/J55,IF(B29="使用電線-5",N29*H29*J29/J55))))</f>
        <v/>
      </c>
      <c r="M55" s="299" t="s">
        <v>17</v>
      </c>
      <c r="N55" s="301"/>
      <c r="O55" s="249">
        <f>IF(D34="","",SUM(J65:N65))</f>
        <v>783.6</v>
      </c>
      <c r="P55" s="253">
        <f>IF(D41="","",MAX(E41,K41,P41,E55,K55))</f>
        <v>0.5</v>
      </c>
      <c r="Q55" s="252">
        <f>IF(D41="","",MIN(F41,L41,Q41,F55,L55))</f>
        <v>9.25</v>
      </c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3"/>
      <c r="AG55" s="3"/>
      <c r="AH55" s="3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</row>
    <row r="56" spans="1:79" ht="15" customHeight="1" x14ac:dyDescent="0.15">
      <c r="A56" s="339"/>
      <c r="B56" s="388" t="s">
        <v>18</v>
      </c>
      <c r="C56" s="298"/>
      <c r="D56" s="198" t="str">
        <f>IF(B46="","",IF(B26="使用電線-4",BR171*H26*J26,IF(B27="使用電線-4",BR171*H27*J27,IF(B28="使用電線-4",BR171*H28*J28,IF(B29="使用電線-4",BR171*H29*J29,"")))))</f>
        <v/>
      </c>
      <c r="E56" s="199" t="str">
        <f>IF(D56="","",BR170)</f>
        <v/>
      </c>
      <c r="F56" s="200" t="str">
        <f>IF(D56="","",IF(B26="使用電線-4",N26*H26*J26/D56,IF(B27="使用電線-4",N27*H27*J27/D56,IF(B28="使用電線-4",N28*H28*J28/D56,IF(B29="使用電線-4",N29*H29*J29/D56)))))</f>
        <v/>
      </c>
      <c r="G56" s="296" t="s">
        <v>18</v>
      </c>
      <c r="H56" s="297"/>
      <c r="I56" s="298"/>
      <c r="J56" s="198" t="str">
        <f>IF(G46="","",IF(B27="使用電線-5",CA171*H27*J27,IF(B28="使用電線-5",CA171*H28*J28,IF(B29="使用電線-5",CA171*H29*J29,""))))</f>
        <v/>
      </c>
      <c r="K56" s="199" t="str">
        <f>IF(J56="","",CA170)</f>
        <v/>
      </c>
      <c r="L56" s="200" t="str">
        <f>IF(J56="","",IF(B27="使用電線-5",N27*H27*J27/J56,IF(B28="使用電線-5",N28*H28*J28/J56,IF(B29="使用電線-5",N29*H29*J29/J56))))</f>
        <v/>
      </c>
      <c r="M56" s="296" t="s">
        <v>18</v>
      </c>
      <c r="N56" s="298"/>
      <c r="O56" s="198">
        <f>IF(D34="","",SUM(J66:N66))</f>
        <v>663.1969489447672</v>
      </c>
      <c r="P56" s="189">
        <f>IF(D42="","",MAX(E42,K42,P42,E56,K56))</f>
        <v>0.60474497919021886</v>
      </c>
      <c r="Q56" s="203">
        <f>IF(D42="","",MIN(F42,L42,Q42,F56,L56))</f>
        <v>11.187782115019049</v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265">
        <f>IF(AF57="入力完了",1,0)</f>
        <v>1</v>
      </c>
      <c r="AG56" s="3"/>
      <c r="AH56" s="3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</row>
    <row r="57" spans="1:79" ht="15" customHeight="1" x14ac:dyDescent="0.15">
      <c r="A57" s="339"/>
      <c r="B57" s="388" t="s">
        <v>19</v>
      </c>
      <c r="C57" s="298"/>
      <c r="D57" s="198" t="str">
        <f>IF(B46="","",IF(B26="使用電線-4",BR191*H26*J26,IF(B27="使用電線-4",BR191*H27*J27,IF(B28="使用電線-4",BR191*H28*J28,IF(B29="使用電線-4",BR191*H29*J29,"")))))</f>
        <v/>
      </c>
      <c r="E57" s="199" t="str">
        <f>IF(D57="","",BR190)</f>
        <v/>
      </c>
      <c r="F57" s="200" t="str">
        <f>IF(D57="","",IF(B26="使用電線-4",N26*H26*J26/D57,IF(B27="使用電線-4",N27*H27*J27/D57,IF(B28="使用電線-4",N28*H28*J28/D57,IF(B29="使用電線-4",N29*H29*J29/D57)))))</f>
        <v/>
      </c>
      <c r="G57" s="296" t="s">
        <v>19</v>
      </c>
      <c r="H57" s="297"/>
      <c r="I57" s="298"/>
      <c r="J57" s="198" t="str">
        <f>IF(G46="","",IF(B27="使用電線-5",CA191*H27*J27,IF(B28="使用電線-5",CA191*H28*J28,IF(B29="使用電線-5",CA191*H29*J29,""))))</f>
        <v/>
      </c>
      <c r="K57" s="199" t="str">
        <f>IF(J57="","",CA190)</f>
        <v/>
      </c>
      <c r="L57" s="200" t="str">
        <f>IF(J57="","",IF(B27="使用電線-5",N27*H27*J27/J57,IF(B28="使用電線-5",N28*H28*J28/J57,IF(B29="使用電線-5",N29*H29*J29/J57))))</f>
        <v/>
      </c>
      <c r="M57" s="296" t="s">
        <v>19</v>
      </c>
      <c r="N57" s="298"/>
      <c r="O57" s="198">
        <f>IF(D34="","",SUM(J67:N67))</f>
        <v>518.65298272517578</v>
      </c>
      <c r="P57" s="189">
        <f>IF(D43="","",MAX(E43,K43,P43,E57,K57))</f>
        <v>0.79335134642273253</v>
      </c>
      <c r="Q57" s="203">
        <f>IF(D43="","",MIN(F43,L43,Q43,F57,L57))</f>
        <v>14.676999908820553</v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396" t="str">
        <f>IF(OR(C2="",C4="",P4="",B23=""),"入力未完","入力完了")</f>
        <v>入力完了</v>
      </c>
      <c r="AG57" s="3"/>
      <c r="AH57" s="3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</row>
    <row r="58" spans="1:79" ht="15" customHeight="1" x14ac:dyDescent="0.15">
      <c r="A58" s="339"/>
      <c r="B58" s="385" t="s">
        <v>20</v>
      </c>
      <c r="C58" s="309"/>
      <c r="D58" s="201" t="str">
        <f>IF(B46="","",IF(BR211=0,"",IF(B26="使用電線-4",BR211*H26*J26,IF(B27="使用電線-4",BR211*H27*J27,IF(B28="使用電線-4",BR211*H28*J28,IF(B29="使用電線-4",BR211*H29*J29,""))))))</f>
        <v/>
      </c>
      <c r="E58" s="205" t="str">
        <f>IF(D58="","",BR210)</f>
        <v/>
      </c>
      <c r="F58" s="202" t="str">
        <f>IF(D58="","",IF(B26="使用電線-4",N26*H26*J26/D58,IF(B27="使用電線-4",N27*H27*J27/D58,IF(B28="使用電線-4",N28*H28*J28/D58,IF(B29="使用電線-4",N29*H29*J29/D58)))))</f>
        <v/>
      </c>
      <c r="G58" s="308" t="s">
        <v>20</v>
      </c>
      <c r="H58" s="332"/>
      <c r="I58" s="309"/>
      <c r="J58" s="201" t="str">
        <f>IF(G46="","",IF(CA211=0,"",IF(B27="使用電線-5",CA211*H27*J27,IF(B28="使用電線-5",CA211*H28*J28,IF(B29="使用電線-5",CA211*H29*J29,"")))))</f>
        <v/>
      </c>
      <c r="K58" s="205" t="str">
        <f>IF(J58="","",CA210)</f>
        <v/>
      </c>
      <c r="L58" s="202" t="str">
        <f>IF(J58="","",IF(B27="使用電線-5",N27*H27*J27/J58,IF(B28="使用電線-5",N28*H28*J28/J58,IF(B29="使用電線-5",N29*H29*J29/J58))))</f>
        <v/>
      </c>
      <c r="M58" s="308" t="s">
        <v>20</v>
      </c>
      <c r="N58" s="309"/>
      <c r="O58" s="201">
        <f>IF(SUM(J68:N68)=0,"",SUM(J68:N68))</f>
        <v>251.25463428448933</v>
      </c>
      <c r="P58" s="211">
        <f>IF(O58="","",IF(MAX(E44,K44,P44,E58,K58)=0,"",MAX(E44,K44,P44,E58,K58)))</f>
        <v>0.95520626190024427</v>
      </c>
      <c r="Q58" s="204">
        <f>IF(O58="","",IF(MIN(F44,L44,Q44,F58,L58)=0,"",MIN(F44,L44,Q44,F58,L58)))</f>
        <v>17.671315845154517</v>
      </c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397"/>
      <c r="AG58" s="3"/>
      <c r="AH58" s="3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</row>
    <row r="59" spans="1:79" ht="4.5" customHeight="1" thickBot="1" x14ac:dyDescent="0.2">
      <c r="A59" s="339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79" ht="13.5" customHeight="1" thickBot="1" x14ac:dyDescent="0.2">
      <c r="B60" s="36"/>
      <c r="C60" s="36"/>
      <c r="D60" s="102"/>
      <c r="E60" s="102"/>
      <c r="F60" s="59"/>
      <c r="G60" s="59"/>
      <c r="S60" s="103" t="s">
        <v>138</v>
      </c>
      <c r="T60" s="36"/>
      <c r="U60" s="102"/>
      <c r="V60" s="102"/>
      <c r="W60" s="59"/>
      <c r="X60" s="59"/>
    </row>
    <row r="61" spans="1:79" ht="13.5" customHeight="1" x14ac:dyDescent="0.15">
      <c r="J61" s="53">
        <f>IF(D34="",0,D34)</f>
        <v>1061.7948813521252</v>
      </c>
      <c r="K61" s="53">
        <f>IF(J34="",0,J34)</f>
        <v>568.52906227141546</v>
      </c>
      <c r="L61" s="53">
        <f>IF(O34="",0,O34)</f>
        <v>0</v>
      </c>
      <c r="M61" s="53">
        <f>IF(D48="",0,D48)</f>
        <v>0</v>
      </c>
      <c r="N61" s="53">
        <f>IF(J48="",0,J48)</f>
        <v>0</v>
      </c>
      <c r="S61" s="99">
        <f>IF(D29="",0,SQRT(((((K23*H23+K24*H24+K25*H25+K26*H26+K27*H27+K28*H28+K29*H29)*0.001/SUM(H23:H29))*((SUM(H23:H29))^0.55)+S23*0.001)*50)^2+(M23*H23+M24*H24+M25*H25+M26*H26+M27*H27+M28*H28+M29*H29+U23)^2))</f>
        <v>0</v>
      </c>
      <c r="T61" s="103" t="s">
        <v>139</v>
      </c>
      <c r="U61" s="102"/>
      <c r="V61" s="102"/>
      <c r="W61" s="59"/>
      <c r="X61" s="59"/>
      <c r="AJ61" s="2" t="s">
        <v>144</v>
      </c>
      <c r="AK61" s="111" t="s">
        <v>145</v>
      </c>
      <c r="AL61" s="12" t="s">
        <v>7</v>
      </c>
      <c r="AM61" s="12" t="s">
        <v>0</v>
      </c>
      <c r="AN61" s="12" t="s">
        <v>1</v>
      </c>
      <c r="AO61" s="12" t="s">
        <v>2</v>
      </c>
      <c r="AP61" s="12" t="s">
        <v>5</v>
      </c>
      <c r="AQ61" s="13" t="s">
        <v>6</v>
      </c>
      <c r="AS61" s="2" t="s">
        <v>144</v>
      </c>
      <c r="AT61" s="111" t="s">
        <v>145</v>
      </c>
      <c r="AU61" s="12" t="s">
        <v>7</v>
      </c>
      <c r="AV61" s="12" t="s">
        <v>0</v>
      </c>
      <c r="AW61" s="12" t="s">
        <v>1</v>
      </c>
      <c r="AX61" s="12" t="s">
        <v>2</v>
      </c>
      <c r="AY61" s="12" t="s">
        <v>5</v>
      </c>
      <c r="AZ61" s="13" t="s">
        <v>6</v>
      </c>
      <c r="BB61" s="2" t="s">
        <v>144</v>
      </c>
      <c r="BC61" s="111" t="s">
        <v>145</v>
      </c>
      <c r="BD61" s="12" t="s">
        <v>7</v>
      </c>
      <c r="BE61" s="12" t="s">
        <v>0</v>
      </c>
      <c r="BF61" s="12" t="s">
        <v>1</v>
      </c>
      <c r="BG61" s="12" t="s">
        <v>2</v>
      </c>
      <c r="BH61" s="12" t="s">
        <v>5</v>
      </c>
      <c r="BI61" s="13" t="s">
        <v>6</v>
      </c>
      <c r="BK61" s="2" t="s">
        <v>144</v>
      </c>
      <c r="BL61" s="111" t="s">
        <v>145</v>
      </c>
      <c r="BM61" s="12" t="s">
        <v>7</v>
      </c>
      <c r="BN61" s="12" t="s">
        <v>0</v>
      </c>
      <c r="BO61" s="12" t="s">
        <v>1</v>
      </c>
      <c r="BP61" s="12" t="s">
        <v>2</v>
      </c>
      <c r="BQ61" s="12" t="s">
        <v>5</v>
      </c>
      <c r="BR61" s="13" t="s">
        <v>6</v>
      </c>
      <c r="BT61" s="2" t="s">
        <v>144</v>
      </c>
      <c r="BU61" s="111" t="s">
        <v>145</v>
      </c>
      <c r="BV61" s="12" t="s">
        <v>7</v>
      </c>
      <c r="BW61" s="12" t="s">
        <v>0</v>
      </c>
      <c r="BX61" s="12" t="s">
        <v>1</v>
      </c>
      <c r="BY61" s="12" t="s">
        <v>2</v>
      </c>
      <c r="BZ61" s="12" t="s">
        <v>5</v>
      </c>
      <c r="CA61" s="13" t="s">
        <v>6</v>
      </c>
    </row>
    <row r="62" spans="1:79" ht="13.5" customHeight="1" x14ac:dyDescent="0.15">
      <c r="J62" s="53">
        <f>IF(D36="",0,D36)</f>
        <v>1012.2607310006053</v>
      </c>
      <c r="K62" s="53">
        <f>IF(J36="",0,J36)</f>
        <v>514.29625427083181</v>
      </c>
      <c r="L62" s="53">
        <f>IF(O36="",0,O36)</f>
        <v>0</v>
      </c>
      <c r="M62" s="53">
        <f>IF(D50="",0,D50)</f>
        <v>0</v>
      </c>
      <c r="N62" s="53">
        <f>IF(J50="",0,J50)</f>
        <v>0</v>
      </c>
      <c r="S62" s="99">
        <f>IF(D28="",0,SQRT(((((K23*H23+K24*H24+K25*H25+K26*H26+K27*H27+K28*H28)*0.001/SUM(H23:H28))*((SUM(H23:H28))^0.55)+S23*0.001)*50)^2+(M23*H23+M24*H24+M25*H25+M26*H26+M27*H27+M28*H28+U23)^2))</f>
        <v>0</v>
      </c>
      <c r="T62" s="99">
        <f>IF(D29="",0,SQRT(((((K24*H24+K25*H25+K26*H26+K27*H27+K28*H28+K29*H29)*0.001/SUM(H24:H29))*((SUM(H24:H29))^0.55)+S24*0.001)*50)^2+(M24*H24+M25*H25+M26*H26+M27*H27+M28*H28+M29*H29+U24)^2))</f>
        <v>0</v>
      </c>
      <c r="U62" s="103" t="s">
        <v>140</v>
      </c>
      <c r="V62" s="102"/>
      <c r="W62" s="59"/>
      <c r="X62" s="59"/>
      <c r="AJ62" s="16">
        <f>-AJ65+AJ68</f>
        <v>-3.4743710480290596E-2</v>
      </c>
      <c r="AK62" s="17">
        <f>-AJ71</f>
        <v>-0.34035007777945692</v>
      </c>
      <c r="AL62" s="18">
        <f>IF(AND(AP65&lt;0,AQ65&lt;0),AQ62*1.2,IF(AND(AP65&gt;0,AQ65&gt;0),AP62*0.8,10))</f>
        <v>0.12913938605452438</v>
      </c>
      <c r="AM62" s="18">
        <f>AL62^3+AJ62*AL62+AK62</f>
        <v>-0.34268320412861097</v>
      </c>
      <c r="AN62" s="18">
        <f>3*AL62^2+AJ62</f>
        <v>1.5287232611327861E-2</v>
      </c>
      <c r="AO62" s="18">
        <f t="shared" ref="AO62:AO68" si="8">AL62-AM62/AN62</f>
        <v>22.545440154231642</v>
      </c>
      <c r="AP62" s="18">
        <f>-SQRT(ABS(-4*3*AJ62))/6</f>
        <v>-0.10761615504543698</v>
      </c>
      <c r="AQ62" s="19">
        <f>SQRT(ABS(-4*3*AJ62))/6</f>
        <v>0.10761615504543698</v>
      </c>
      <c r="AS62" s="16">
        <f>-AS65+AS68</f>
        <v>-1.6600680363629383E-2</v>
      </c>
      <c r="AT62" s="17">
        <f>-AS71</f>
        <v>-0.29438833648673352</v>
      </c>
      <c r="AU62" s="18">
        <f>IF(AND(AY65&lt;0,AZ65&lt;0),AZ62*1.2,IF(AND(AY65&gt;0,AZ65&gt;0),AY62*0.8,10))</f>
        <v>8.9265483668336795E-2</v>
      </c>
      <c r="AV62" s="18">
        <f>AU62^3+AS62*AU62+AT62</f>
        <v>-0.29515890772291259</v>
      </c>
      <c r="AW62" s="18">
        <f>3*AU62^2+AS62</f>
        <v>7.3042993599969248E-3</v>
      </c>
      <c r="AX62" s="18">
        <f t="shared" ref="AX62:AX76" si="9">AU62-AV62/AW62</f>
        <v>40.498193592419462</v>
      </c>
      <c r="AY62" s="18">
        <f>-SQRT(ABS(-4*3*AS62))/6</f>
        <v>-7.4387903056947327E-2</v>
      </c>
      <c r="AZ62" s="19">
        <f>SQRT(ABS(-4*3*AS62))/6</f>
        <v>7.4387903056947327E-2</v>
      </c>
      <c r="BB62" s="16" t="e">
        <f>-BB65+BB68</f>
        <v>#VALUE!</v>
      </c>
      <c r="BC62" s="17" t="e">
        <f>-BB71</f>
        <v>#VALUE!</v>
      </c>
      <c r="BD62" s="18" t="e">
        <f>IF(AND(BH65&lt;0,BI65&lt;0),BI62*1.2,IF(AND(BH65&gt;0,BI65&gt;0),BH62*0.8,10))</f>
        <v>#VALUE!</v>
      </c>
      <c r="BE62" s="18" t="e">
        <f>BD62^3+BB62*BD62+BC62</f>
        <v>#VALUE!</v>
      </c>
      <c r="BF62" s="18" t="e">
        <f>3*BD62^2+BB62</f>
        <v>#VALUE!</v>
      </c>
      <c r="BG62" s="18" t="e">
        <f t="shared" ref="BG62:BG76" si="10">BD62-BE62/BF62</f>
        <v>#VALUE!</v>
      </c>
      <c r="BH62" s="18" t="e">
        <f>-SQRT(ABS(-4*3*BB62))/6</f>
        <v>#VALUE!</v>
      </c>
      <c r="BI62" s="19" t="e">
        <f>SQRT(ABS(-4*3*BB62))/6</f>
        <v>#VALUE!</v>
      </c>
      <c r="BK62" s="16" t="e">
        <f>-BK65+BK68</f>
        <v>#VALUE!</v>
      </c>
      <c r="BL62" s="17" t="e">
        <f>-BK71</f>
        <v>#VALUE!</v>
      </c>
      <c r="BM62" s="18" t="e">
        <f>IF(AND(BQ65&lt;0,BR65&lt;0),BR62*1.2,IF(AND(BQ65&gt;0,BR65&gt;0),BQ62*0.8,10))</f>
        <v>#VALUE!</v>
      </c>
      <c r="BN62" s="18" t="e">
        <f>BM62^3+BK62*BM62+BL62</f>
        <v>#VALUE!</v>
      </c>
      <c r="BO62" s="18" t="e">
        <f>3*BM62^2+BK62</f>
        <v>#VALUE!</v>
      </c>
      <c r="BP62" s="18" t="e">
        <f t="shared" ref="BP62:BP76" si="11">BM62-BN62/BO62</f>
        <v>#VALUE!</v>
      </c>
      <c r="BQ62" s="18" t="e">
        <f>-SQRT(ABS(-4*3*BK62))/6</f>
        <v>#VALUE!</v>
      </c>
      <c r="BR62" s="19" t="e">
        <f>SQRT(ABS(-4*3*BK62))/6</f>
        <v>#VALUE!</v>
      </c>
      <c r="BT62" s="16" t="e">
        <f>-BT65+BT68</f>
        <v>#VALUE!</v>
      </c>
      <c r="BU62" s="17" t="e">
        <f>-BT71</f>
        <v>#VALUE!</v>
      </c>
      <c r="BV62" s="18" t="e">
        <f>IF(AND(BZ65&lt;0,CA65&lt;0),CA62*1.2,IF(AND(BZ65&gt;0,CA65&gt;0),BZ62*0.8,10))</f>
        <v>#VALUE!</v>
      </c>
      <c r="BW62" s="18" t="e">
        <f>BV62^3+BT62*BV62+BU62</f>
        <v>#VALUE!</v>
      </c>
      <c r="BX62" s="18" t="e">
        <f>3*BV62^2+BT62</f>
        <v>#VALUE!</v>
      </c>
      <c r="BY62" s="18" t="e">
        <f t="shared" ref="BY62:BY76" si="12">BV62-BW62/BX62</f>
        <v>#VALUE!</v>
      </c>
      <c r="BZ62" s="18" t="e">
        <f>-SQRT(ABS(-4*3*BT62))/6</f>
        <v>#VALUE!</v>
      </c>
      <c r="CA62" s="19" t="e">
        <f>SQRT(ABS(-4*3*BT62))/6</f>
        <v>#VALUE!</v>
      </c>
    </row>
    <row r="63" spans="1:79" ht="13.5" customHeight="1" x14ac:dyDescent="0.15">
      <c r="J63" s="53">
        <f>IF(D38="",0,D38)</f>
        <v>1399.2682397816702</v>
      </c>
      <c r="K63" s="53">
        <f>IF(J38="",0,J38)</f>
        <v>822.41015224259456</v>
      </c>
      <c r="L63" s="53">
        <f>IF(O38="",0,O38)</f>
        <v>0</v>
      </c>
      <c r="M63" s="53">
        <f>IF(D52="",0,D52)</f>
        <v>0</v>
      </c>
      <c r="N63" s="53">
        <f>IF(J52="",0,J52)</f>
        <v>0</v>
      </c>
      <c r="S63" s="99">
        <f>IF(D27="",0,SQRT(((((K23*H23+K24*H24+K25*H25+K26*H26+K27*H27)*0.001/SUM(H23:H27))*((SUM(H23:H27))^0.55)+S23*0.001)*50)^2+(M23*H23+M24*H24+M25*H25+M26*H26+M27*H27+U23)^2))</f>
        <v>0</v>
      </c>
      <c r="T63" s="99">
        <f>IF(D28="",0,SQRT(((((K24*H24+K25*H25+K26*H26+K27*H27+K28*H28)*0.001/SUM(H24:H28))*((SUM(H24:H28))^0.55)+S24*0.001)*50)^2+(M24*H24+M25*H25+M26*H26+M27*H27+M28*H28+U24)^2))</f>
        <v>0</v>
      </c>
      <c r="U63" s="99">
        <f>IF(D29="",0,SQRT(((((K25*H25+K26*H26+K27*H27+K28*H28+K29*H29)*0.001/SUM(H25:H29))*((SUM(H25:H29))^0.55)+S25*0.001)*50)^2+(M25*H25+M26*H26+M27*H27+M28*H28+M29*H29+U25)^2))</f>
        <v>0</v>
      </c>
      <c r="V63" s="103" t="s">
        <v>141</v>
      </c>
      <c r="W63" s="59"/>
      <c r="X63" s="59"/>
      <c r="AJ63" s="267"/>
      <c r="AK63" s="268"/>
      <c r="AL63" s="18">
        <f>AO62</f>
        <v>22.545440154231642</v>
      </c>
      <c r="AM63" s="18">
        <f>AL63^3+AJ62*AL63+AK62</f>
        <v>11458.653040255456</v>
      </c>
      <c r="AN63" s="18">
        <f>3*AL63^2+AJ62</f>
        <v>1524.855871533641</v>
      </c>
      <c r="AO63" s="18">
        <f t="shared" si="8"/>
        <v>15.030859101577278</v>
      </c>
      <c r="AP63" s="6"/>
      <c r="AQ63" s="7"/>
      <c r="AS63" s="267"/>
      <c r="AT63" s="268"/>
      <c r="AU63" s="18">
        <f t="shared" ref="AU63:AU75" si="13">AX62</f>
        <v>40.498193592419462</v>
      </c>
      <c r="AV63" s="18">
        <f>AU63^3+AS62*AU63+AT62</f>
        <v>66420.269830456222</v>
      </c>
      <c r="AW63" s="18">
        <f>3*AU63^2+AS62</f>
        <v>4920.2944520668907</v>
      </c>
      <c r="AX63" s="18">
        <f t="shared" si="9"/>
        <v>26.998946651506252</v>
      </c>
      <c r="AY63" s="6"/>
      <c r="AZ63" s="7"/>
      <c r="BB63" s="267"/>
      <c r="BC63" s="268"/>
      <c r="BD63" s="18" t="e">
        <f t="shared" ref="BD63:BD75" si="14">BG62</f>
        <v>#VALUE!</v>
      </c>
      <c r="BE63" s="18" t="e">
        <f>BD63^3+BB62*BD63+BC62</f>
        <v>#VALUE!</v>
      </c>
      <c r="BF63" s="18" t="e">
        <f>3*BD63^2+BB62</f>
        <v>#VALUE!</v>
      </c>
      <c r="BG63" s="18" t="e">
        <f t="shared" si="10"/>
        <v>#VALUE!</v>
      </c>
      <c r="BH63" s="6"/>
      <c r="BI63" s="7"/>
      <c r="BK63" s="267"/>
      <c r="BL63" s="268"/>
      <c r="BM63" s="18" t="e">
        <f t="shared" ref="BM63:BM75" si="15">BP62</f>
        <v>#VALUE!</v>
      </c>
      <c r="BN63" s="18" t="e">
        <f>BM63^3+BK62*BM63+BL62</f>
        <v>#VALUE!</v>
      </c>
      <c r="BO63" s="18" t="e">
        <f>3*BM63^2+BK62</f>
        <v>#VALUE!</v>
      </c>
      <c r="BP63" s="18" t="e">
        <f t="shared" si="11"/>
        <v>#VALUE!</v>
      </c>
      <c r="BQ63" s="6"/>
      <c r="BR63" s="7"/>
      <c r="BT63" s="267"/>
      <c r="BU63" s="268"/>
      <c r="BV63" s="18" t="e">
        <f t="shared" ref="BV63:BV75" si="16">BY62</f>
        <v>#VALUE!</v>
      </c>
      <c r="BW63" s="18" t="e">
        <f>BV63^3+BT62*BV63+BU62</f>
        <v>#VALUE!</v>
      </c>
      <c r="BX63" s="18" t="e">
        <f>3*BV63^2+BT62</f>
        <v>#VALUE!</v>
      </c>
      <c r="BY63" s="18" t="e">
        <f t="shared" si="12"/>
        <v>#VALUE!</v>
      </c>
      <c r="BZ63" s="6"/>
      <c r="CA63" s="7"/>
    </row>
    <row r="64" spans="1:79" ht="13.5" customHeight="1" x14ac:dyDescent="0.15">
      <c r="J64" s="53">
        <f>IF(D40="",0,D40)</f>
        <v>609.4757877548509</v>
      </c>
      <c r="K64" s="53">
        <f>IF(J40="",0,J40)</f>
        <v>353.24622779965159</v>
      </c>
      <c r="L64" s="53">
        <f>IF(O40="",0,O40)</f>
        <v>0</v>
      </c>
      <c r="M64" s="53">
        <f>IF(D54="",0,D54)</f>
        <v>0</v>
      </c>
      <c r="N64" s="53">
        <f>IF(J54="",0,J54)</f>
        <v>0</v>
      </c>
      <c r="S64" s="99">
        <f>IF(D26="",0,SQRT(((((K23*H23+K24*H24+K25*H25+K26*H26)*0.001/SUM(H23:H26))*((SUM(H23:H26))^0.55)+S23*0.001)*50)^2+(M23*H23+M24*H24+M25*H25+M26*H26+U23)^2))</f>
        <v>0</v>
      </c>
      <c r="T64" s="99">
        <f>IF(D27="",0,SQRT(((((K24*H24+K25*H25+K26*H26+K27*H27)*0.001/SUM(H24:H27))*((SUM(H24:H27))^0.55)+S24*0.001)*50)^2+(M24*H24+M25*H25+M26*H26+M27*H27+U24)^2))</f>
        <v>0</v>
      </c>
      <c r="U64" s="99">
        <f>IF(D28="",0,SQRT(((((K25*H25+K26*H26+K27*H27+K28*H28)*0.001/SUM(H25:H28))*((SUM(H25:H28))^0.55)+S25*0.001)*50)^2+(M25*H25+M26*H26+M27*H27+M28*H28+U25)^2))</f>
        <v>0</v>
      </c>
      <c r="V64" s="99">
        <f>IF(D29="",0,SQRT(((((K26*H26+K27*H27+K28*H28+K29*H29)*0.001/SUM(H26:H29))*((SUM(H26:H29))^0.55)+S26*0.001)*50)^2+(M26*H26+M27*H27+M28*H28+M29*H29+U26)^2))</f>
        <v>0</v>
      </c>
      <c r="W64" s="103" t="s">
        <v>142</v>
      </c>
      <c r="X64" s="59"/>
      <c r="AJ64" s="269" t="s">
        <v>8</v>
      </c>
      <c r="AK64" s="270"/>
      <c r="AL64" s="18">
        <f t="shared" ref="AL64:AL68" si="17">AO63</f>
        <v>15.030859101577278</v>
      </c>
      <c r="AM64" s="18">
        <f>AL64^3+AJ62*AL64+AK62</f>
        <v>3395.0101978433777</v>
      </c>
      <c r="AN64" s="18">
        <f>3*AL64^2+AJ62</f>
        <v>677.7454322839252</v>
      </c>
      <c r="AO64" s="18">
        <f t="shared" si="8"/>
        <v>10.021588605422728</v>
      </c>
      <c r="AP64" s="14" t="s">
        <v>3</v>
      </c>
      <c r="AQ64" s="15" t="s">
        <v>4</v>
      </c>
      <c r="AS64" s="269" t="s">
        <v>8</v>
      </c>
      <c r="AT64" s="270"/>
      <c r="AU64" s="18">
        <f t="shared" si="13"/>
        <v>26.998946651506252</v>
      </c>
      <c r="AV64" s="18">
        <f>AU64^3+AS62*AU64+AT62</f>
        <v>19679.953827495989</v>
      </c>
      <c r="AW64" s="18">
        <f>3*AU64^2+AS62</f>
        <v>2186.8127601922779</v>
      </c>
      <c r="AX64" s="18">
        <f t="shared" si="9"/>
        <v>17.999569024971088</v>
      </c>
      <c r="AY64" s="14" t="s">
        <v>3</v>
      </c>
      <c r="AZ64" s="15" t="s">
        <v>4</v>
      </c>
      <c r="BB64" s="269" t="s">
        <v>8</v>
      </c>
      <c r="BC64" s="270"/>
      <c r="BD64" s="18" t="e">
        <f t="shared" si="14"/>
        <v>#VALUE!</v>
      </c>
      <c r="BE64" s="18" t="e">
        <f>BD64^3+BB62*BD64+BC62</f>
        <v>#VALUE!</v>
      </c>
      <c r="BF64" s="18" t="e">
        <f>3*BD64^2+BB62</f>
        <v>#VALUE!</v>
      </c>
      <c r="BG64" s="18" t="e">
        <f t="shared" si="10"/>
        <v>#VALUE!</v>
      </c>
      <c r="BH64" s="14" t="s">
        <v>3</v>
      </c>
      <c r="BI64" s="15" t="s">
        <v>4</v>
      </c>
      <c r="BK64" s="269" t="s">
        <v>8</v>
      </c>
      <c r="BL64" s="270"/>
      <c r="BM64" s="18" t="e">
        <f t="shared" si="15"/>
        <v>#VALUE!</v>
      </c>
      <c r="BN64" s="18" t="e">
        <f>BM64^3+BK62*BM64+BL62</f>
        <v>#VALUE!</v>
      </c>
      <c r="BO64" s="18" t="e">
        <f>3*BM64^2+BK62</f>
        <v>#VALUE!</v>
      </c>
      <c r="BP64" s="18" t="e">
        <f t="shared" si="11"/>
        <v>#VALUE!</v>
      </c>
      <c r="BQ64" s="14" t="s">
        <v>3</v>
      </c>
      <c r="BR64" s="15" t="s">
        <v>4</v>
      </c>
      <c r="BT64" s="269" t="s">
        <v>8</v>
      </c>
      <c r="BU64" s="270"/>
      <c r="BV64" s="18" t="e">
        <f t="shared" si="16"/>
        <v>#VALUE!</v>
      </c>
      <c r="BW64" s="18" t="e">
        <f>BV64^3+BT62*BV64+BU62</f>
        <v>#VALUE!</v>
      </c>
      <c r="BX64" s="18" t="e">
        <f>3*BV64^2+BT62</f>
        <v>#VALUE!</v>
      </c>
      <c r="BY64" s="18" t="e">
        <f t="shared" si="12"/>
        <v>#VALUE!</v>
      </c>
      <c r="BZ64" s="14" t="s">
        <v>3</v>
      </c>
      <c r="CA64" s="15" t="s">
        <v>4</v>
      </c>
    </row>
    <row r="65" spans="10:79" ht="13.5" customHeight="1" x14ac:dyDescent="0.15">
      <c r="J65" s="53">
        <f>IF(D41="",0,D41)</f>
        <v>480</v>
      </c>
      <c r="K65" s="53">
        <f>IF(J41="",0,J41)</f>
        <v>303.60000000000002</v>
      </c>
      <c r="L65" s="53">
        <f>IF(O41="",0,O41)</f>
        <v>0</v>
      </c>
      <c r="M65" s="53">
        <f>IF(D55="",0,D55)</f>
        <v>0</v>
      </c>
      <c r="N65" s="53">
        <f>IF(J55="",0,J55)</f>
        <v>0</v>
      </c>
      <c r="S65" s="99">
        <f>IF(D25="",0,SQRT(((((K23*H23+K24*H24+K25*H25)*0.001/SUM(H23:H25))*((SUM(H23:H25))^0.55)+S23*0.001)*50)^2+(M23*H23+M24*H24+M25*H25+U23)^2))</f>
        <v>0</v>
      </c>
      <c r="T65" s="99">
        <f>IF(D26="",0,SQRT(((((K24*H24+K25*H25+K26*H26)*0.001/SUM(H24:H26))*((SUM(H24:H26))^0.55)+S24*0.001)*50)^2+(M24*H24+M25*H25+M26*H26+U24)^2))</f>
        <v>0</v>
      </c>
      <c r="U65" s="99">
        <f>IF(D27="",0,SQRT(((((K25*H25+K26*H26+K27*H27)*0.001/SUM(H25:H27))*((SUM(H25:H27))^0.55)+S25*0.001)*50)^2+(M25*H25+M26*H26+M27*H27+U25)^2))</f>
        <v>0</v>
      </c>
      <c r="V65" s="99">
        <f>IF(D28="",0,SQRT(((((K26*H26+K27*H27+K28*H28)*0.001/SUM(H26:H28))*((SUM(H26:H28))^0.55)+S26*0.001)*50)^2+(M26*H26+M27*H27+M28*H28+U26)^2))</f>
        <v>0</v>
      </c>
      <c r="W65" s="99">
        <f>IF(D29="",0,SQRT(((((K27*H27+K28*H28+K29*H29)*0.001/SUM(H27:H29))*((SUM(H27:H29))^0.55)+S27*0.001)*50)^2+(M27*H27+M28*H28+M29*H29+U27)^2))</f>
        <v>0</v>
      </c>
      <c r="X65" s="103" t="s">
        <v>143</v>
      </c>
      <c r="AJ65" s="269">
        <f>(AL78^2)+3*(AM78^2)*AQ78*(AQ73-15)/(8*10^7)</f>
        <v>0.25</v>
      </c>
      <c r="AK65" s="270"/>
      <c r="AL65" s="18">
        <f t="shared" si="17"/>
        <v>10.021588605422728</v>
      </c>
      <c r="AM65" s="18">
        <f>AL65^3+AJ62*AL65+AK62</f>
        <v>1005.8020364742583</v>
      </c>
      <c r="AN65" s="18">
        <f>3*AL65^2+AJ62</f>
        <v>301.2619708185357</v>
      </c>
      <c r="AO65" s="18">
        <f t="shared" si="8"/>
        <v>6.6829593262559257</v>
      </c>
      <c r="AP65" s="18">
        <f>AP62^3+AJ62*AP62+AK62</f>
        <v>-0.3378574214235231</v>
      </c>
      <c r="AQ65" s="19">
        <f>AQ62^3+AJ62*AQ62+AK62</f>
        <v>-0.34284273413539074</v>
      </c>
      <c r="AS65" s="269">
        <f>(AU78^2)+3*(AV78^2)*AZ78*(AZ73-15)/(8*10^7)</f>
        <v>0.25</v>
      </c>
      <c r="AT65" s="270"/>
      <c r="AU65" s="18">
        <f t="shared" si="13"/>
        <v>17.999569024971088</v>
      </c>
      <c r="AV65" s="18">
        <f>AU65^3+AS62*AU65+AT62</f>
        <v>5830.987908873195</v>
      </c>
      <c r="AW65" s="18">
        <f>3*AU65^2+AS62</f>
        <v>971.93685457373226</v>
      </c>
      <c r="AX65" s="18">
        <f t="shared" si="9"/>
        <v>12.00022052672886</v>
      </c>
      <c r="AY65" s="18">
        <f>AY62^3+AS62*AY62+AT62</f>
        <v>-0.29356507661902081</v>
      </c>
      <c r="AZ65" s="19">
        <f>AZ62^3+AS62*AZ62+AT62</f>
        <v>-0.29521159635444622</v>
      </c>
      <c r="BB65" s="269" t="e">
        <f>(BD78^2)+3*(BE78^2)*BI78*(BI73-15)/(8*10^7)</f>
        <v>#VALUE!</v>
      </c>
      <c r="BC65" s="270"/>
      <c r="BD65" s="18" t="e">
        <f t="shared" si="14"/>
        <v>#VALUE!</v>
      </c>
      <c r="BE65" s="18" t="e">
        <f>BD65^3+BB62*BD65+BC62</f>
        <v>#VALUE!</v>
      </c>
      <c r="BF65" s="18" t="e">
        <f>3*BD65^2+BB62</f>
        <v>#VALUE!</v>
      </c>
      <c r="BG65" s="18" t="e">
        <f t="shared" si="10"/>
        <v>#VALUE!</v>
      </c>
      <c r="BH65" s="18" t="e">
        <f>BH62^3+BB62*BH62+BC62</f>
        <v>#VALUE!</v>
      </c>
      <c r="BI65" s="19" t="e">
        <f>BI62^3+BB62*BI62+BC62</f>
        <v>#VALUE!</v>
      </c>
      <c r="BK65" s="269" t="e">
        <f>(BM78^2)+3*(BN78^2)*BR78*(BR73-15)/(8*10^7)</f>
        <v>#VALUE!</v>
      </c>
      <c r="BL65" s="270"/>
      <c r="BM65" s="18" t="e">
        <f t="shared" si="15"/>
        <v>#VALUE!</v>
      </c>
      <c r="BN65" s="18" t="e">
        <f>BM65^3+BK62*BM65+BL62</f>
        <v>#VALUE!</v>
      </c>
      <c r="BO65" s="18" t="e">
        <f>3*BM65^2+BK62</f>
        <v>#VALUE!</v>
      </c>
      <c r="BP65" s="18" t="e">
        <f t="shared" si="11"/>
        <v>#VALUE!</v>
      </c>
      <c r="BQ65" s="18" t="e">
        <f>BQ62^3+BK62*BQ62+BL62</f>
        <v>#VALUE!</v>
      </c>
      <c r="BR65" s="19" t="e">
        <f>BR62^3+BK62*BR62+BL62</f>
        <v>#VALUE!</v>
      </c>
      <c r="BT65" s="269" t="e">
        <f>(BV78^2)+3*(BW78^2)*CA78*(CA73-15)/(8*10^7)</f>
        <v>#VALUE!</v>
      </c>
      <c r="BU65" s="270"/>
      <c r="BV65" s="18" t="e">
        <f t="shared" si="16"/>
        <v>#VALUE!</v>
      </c>
      <c r="BW65" s="18" t="e">
        <f>BV65^3+BT62*BV65+BU62</f>
        <v>#VALUE!</v>
      </c>
      <c r="BX65" s="18" t="e">
        <f>3*BV65^2+BT62</f>
        <v>#VALUE!</v>
      </c>
      <c r="BY65" s="18" t="e">
        <f t="shared" si="12"/>
        <v>#VALUE!</v>
      </c>
      <c r="BZ65" s="18" t="e">
        <f>BZ62^3+BT62*BZ62+BU62</f>
        <v>#VALUE!</v>
      </c>
      <c r="CA65" s="19" t="e">
        <f>CA62^3+BT62*CA62+BU62</f>
        <v>#VALUE!</v>
      </c>
    </row>
    <row r="66" spans="10:79" ht="13.5" customHeight="1" x14ac:dyDescent="0.15">
      <c r="J66" s="53">
        <f>IF(D42="",0,D42)</f>
        <v>396.86150072939995</v>
      </c>
      <c r="K66" s="53">
        <f>IF(J42="",0,J42)</f>
        <v>266.33544821536731</v>
      </c>
      <c r="L66" s="53">
        <f>IF(O42="",0,O42)</f>
        <v>0</v>
      </c>
      <c r="M66" s="53">
        <f>IF(D56="",0,D56)</f>
        <v>0</v>
      </c>
      <c r="N66" s="53">
        <f>IF(J56="",0,J56)</f>
        <v>0</v>
      </c>
      <c r="S66" s="99">
        <f>IF(D24="",0,SQRT(((((K23*H23+K24*H24)*0.001/SUM(H23:H24))*((SUM(H23:H24))^0.55)+S23*0.001)*50)^2+(M23*H23+M24*H24+U23)^2))</f>
        <v>2.1970750252594735</v>
      </c>
      <c r="T66" s="99">
        <f>IF(D25="",0,SQRT(((((K24*H24+K25*H25)*0.001/SUM(H24:H25))*((SUM(H24:H25))^0.55)+S24*0.001)*50)^2+(M24*H24+M25*H25+U24)^2))</f>
        <v>0</v>
      </c>
      <c r="U66" s="99">
        <f>IF(D26="",0,SQRT(((((K25*H25+K26*H26)*0.001/SUM(H25:H26))*((SUM(H25:H26))^0.55)+S25*0.001)*50)^2+(M25*H25+M26*H26+U25)^2))</f>
        <v>0</v>
      </c>
      <c r="V66" s="99">
        <f>IF(D27="",0,SQRT(((((K26*H26+K27*H27)*0.001/SUM(H26:H27))*((SUM(H26:H27))^0.55)+S26*0.001)*50)^2+(M26*H26+M27*H27+U26)^2))</f>
        <v>0</v>
      </c>
      <c r="W66" s="99">
        <f>IF(D28="",0,SQRT(((((K27*H27+K28*H28)*0.001/SUM(H27:H28))*((SUM(H27:H28))^0.55)+S27*0.001)*50)^2+(M27*H27+M28*H28+U27)^2))</f>
        <v>0</v>
      </c>
      <c r="X66" s="99">
        <f>IF(D29="",0,SQRT(((((K28*H28+K29*H29)*0.001/SUM(H28:H29))*((SUM(H28:H29))^0.55)+S28*0.001)*50)^2+(M28*H28+M29*H29+U28)^2))</f>
        <v>0</v>
      </c>
      <c r="AJ66" s="267"/>
      <c r="AK66" s="268"/>
      <c r="AL66" s="18">
        <f t="shared" si="17"/>
        <v>6.6829593262559257</v>
      </c>
      <c r="AM66" s="18">
        <f>AL66^3+AJ62*AL66+AK62</f>
        <v>297.90142336646369</v>
      </c>
      <c r="AN66" s="18">
        <f>3*AL66^2+AJ62</f>
        <v>133.95109235869288</v>
      </c>
      <c r="AO66" s="18">
        <f t="shared" si="8"/>
        <v>4.4590026707271573</v>
      </c>
      <c r="AP66" s="31"/>
      <c r="AQ66" s="32"/>
      <c r="AS66" s="267"/>
      <c r="AT66" s="268"/>
      <c r="AU66" s="18">
        <f t="shared" si="13"/>
        <v>12.00022052672886</v>
      </c>
      <c r="AV66" s="18">
        <f>AU66^3+AS62*AU66+AT62</f>
        <v>1727.601669135888</v>
      </c>
      <c r="AW66" s="18">
        <f>3*AU66^2+AS62</f>
        <v>431.99927739001043</v>
      </c>
      <c r="AX66" s="18">
        <f t="shared" si="9"/>
        <v>8.001135899612219</v>
      </c>
      <c r="AY66" s="31"/>
      <c r="AZ66" s="32"/>
      <c r="BB66" s="267"/>
      <c r="BC66" s="268"/>
      <c r="BD66" s="18" t="e">
        <f t="shared" si="14"/>
        <v>#VALUE!</v>
      </c>
      <c r="BE66" s="18" t="e">
        <f>BD66^3+BB62*BD66+BC62</f>
        <v>#VALUE!</v>
      </c>
      <c r="BF66" s="18" t="e">
        <f>3*BD66^2+BB62</f>
        <v>#VALUE!</v>
      </c>
      <c r="BG66" s="18" t="e">
        <f t="shared" si="10"/>
        <v>#VALUE!</v>
      </c>
      <c r="BH66" s="31"/>
      <c r="BI66" s="32"/>
      <c r="BK66" s="267"/>
      <c r="BL66" s="268"/>
      <c r="BM66" s="18" t="e">
        <f t="shared" si="15"/>
        <v>#VALUE!</v>
      </c>
      <c r="BN66" s="18" t="e">
        <f>BM66^3+BK62*BM66+BL62</f>
        <v>#VALUE!</v>
      </c>
      <c r="BO66" s="18" t="e">
        <f>3*BM66^2+BK62</f>
        <v>#VALUE!</v>
      </c>
      <c r="BP66" s="18" t="e">
        <f t="shared" si="11"/>
        <v>#VALUE!</v>
      </c>
      <c r="BQ66" s="31"/>
      <c r="BR66" s="32"/>
      <c r="BT66" s="267"/>
      <c r="BU66" s="268"/>
      <c r="BV66" s="18" t="e">
        <f t="shared" si="16"/>
        <v>#VALUE!</v>
      </c>
      <c r="BW66" s="18" t="e">
        <f>BV66^3+BT62*BV66+BU62</f>
        <v>#VALUE!</v>
      </c>
      <c r="BX66" s="18" t="e">
        <f>3*BV66^2+BT62</f>
        <v>#VALUE!</v>
      </c>
      <c r="BY66" s="18" t="e">
        <f t="shared" si="12"/>
        <v>#VALUE!</v>
      </c>
      <c r="BZ66" s="31"/>
      <c r="CA66" s="32"/>
    </row>
    <row r="67" spans="10:79" ht="13.5" customHeight="1" x14ac:dyDescent="0.15">
      <c r="J67" s="53">
        <f>IF(D43="",0,D43)</f>
        <v>302.51413964591347</v>
      </c>
      <c r="K67" s="53">
        <f>IF(J43="",0,J43)</f>
        <v>216.1388430792623</v>
      </c>
      <c r="L67" s="53">
        <f>IF(O43="",0,O43)</f>
        <v>0</v>
      </c>
      <c r="M67" s="53">
        <f>IF(D57="",0,D57)</f>
        <v>0</v>
      </c>
      <c r="N67" s="53">
        <f>IF(J57="",0,J57)</f>
        <v>0</v>
      </c>
      <c r="AJ67" s="269" t="s">
        <v>9</v>
      </c>
      <c r="AK67" s="270"/>
      <c r="AL67" s="18">
        <f t="shared" si="17"/>
        <v>4.4590026707271573</v>
      </c>
      <c r="AM67" s="18">
        <f>AL67^3+AJ62*AL67+AK62</f>
        <v>88.161761507141691</v>
      </c>
      <c r="AN67" s="18">
        <f>3*AL67^2+AJ62</f>
        <v>59.613370742175469</v>
      </c>
      <c r="AO67" s="18">
        <f t="shared" si="8"/>
        <v>2.9801102610287282</v>
      </c>
      <c r="AP67" s="31"/>
      <c r="AQ67" s="32"/>
      <c r="AS67" s="269" t="s">
        <v>9</v>
      </c>
      <c r="AT67" s="270"/>
      <c r="AU67" s="18">
        <f t="shared" si="13"/>
        <v>8.001135899612219</v>
      </c>
      <c r="AV67" s="18">
        <f>AU67^3+AS62*AU67+AT62</f>
        <v>511.79091105733977</v>
      </c>
      <c r="AW67" s="18">
        <f>3*AU67^2+AS62</f>
        <v>192.03792637182667</v>
      </c>
      <c r="AX67" s="18">
        <f t="shared" si="9"/>
        <v>5.3360846739162975</v>
      </c>
      <c r="AY67" s="31"/>
      <c r="AZ67" s="32"/>
      <c r="BB67" s="269" t="s">
        <v>9</v>
      </c>
      <c r="BC67" s="270"/>
      <c r="BD67" s="18" t="e">
        <f t="shared" si="14"/>
        <v>#VALUE!</v>
      </c>
      <c r="BE67" s="18" t="e">
        <f>BD67^3+BB62*BD67+BC62</f>
        <v>#VALUE!</v>
      </c>
      <c r="BF67" s="18" t="e">
        <f>3*BD67^2+BB62</f>
        <v>#VALUE!</v>
      </c>
      <c r="BG67" s="18" t="e">
        <f t="shared" si="10"/>
        <v>#VALUE!</v>
      </c>
      <c r="BH67" s="31"/>
      <c r="BI67" s="32"/>
      <c r="BK67" s="269" t="s">
        <v>9</v>
      </c>
      <c r="BL67" s="270"/>
      <c r="BM67" s="18" t="e">
        <f t="shared" si="15"/>
        <v>#VALUE!</v>
      </c>
      <c r="BN67" s="18" t="e">
        <f>BM67^3+BK62*BM67+BL62</f>
        <v>#VALUE!</v>
      </c>
      <c r="BO67" s="18" t="e">
        <f>3*BM67^2+BK62</f>
        <v>#VALUE!</v>
      </c>
      <c r="BP67" s="18" t="e">
        <f t="shared" si="11"/>
        <v>#VALUE!</v>
      </c>
      <c r="BQ67" s="31"/>
      <c r="BR67" s="32"/>
      <c r="BT67" s="269" t="s">
        <v>9</v>
      </c>
      <c r="BU67" s="270"/>
      <c r="BV67" s="18" t="e">
        <f t="shared" si="16"/>
        <v>#VALUE!</v>
      </c>
      <c r="BW67" s="18" t="e">
        <f>BV67^3+BT62*BV67+BU62</f>
        <v>#VALUE!</v>
      </c>
      <c r="BX67" s="18" t="e">
        <f>3*BV67^2+BT62</f>
        <v>#VALUE!</v>
      </c>
      <c r="BY67" s="18" t="e">
        <f t="shared" si="12"/>
        <v>#VALUE!</v>
      </c>
      <c r="BZ67" s="31"/>
      <c r="CA67" s="32"/>
    </row>
    <row r="68" spans="10:79" ht="13.5" customHeight="1" x14ac:dyDescent="0.15">
      <c r="J68" s="53">
        <f>IF(D44="",0,D44)</f>
        <v>251.25463428448933</v>
      </c>
      <c r="K68" s="53">
        <f>IF(J44="",0,J44)</f>
        <v>0</v>
      </c>
      <c r="L68" s="53">
        <f>IF(O44="",0,O44)</f>
        <v>0</v>
      </c>
      <c r="M68" s="53">
        <f>IF(D58="",0,D58)</f>
        <v>0</v>
      </c>
      <c r="N68" s="53">
        <f>IF(J58="",0,J58)</f>
        <v>0</v>
      </c>
      <c r="AJ68" s="277">
        <f>3*(AM78^2)*AN78/(8*AO78*AP78)</f>
        <v>0.2152562895197094</v>
      </c>
      <c r="AK68" s="278"/>
      <c r="AL68" s="118">
        <f t="shared" si="17"/>
        <v>2.9801102610287282</v>
      </c>
      <c r="AM68" s="118">
        <f>AL68^3+AJ62*AL68+AK62</f>
        <v>26.022639428919913</v>
      </c>
      <c r="AN68" s="118">
        <f>3*AL68^2+AJ62</f>
        <v>26.608427793185854</v>
      </c>
      <c r="AO68" s="118">
        <f t="shared" si="8"/>
        <v>2.0021254048327508</v>
      </c>
      <c r="AP68" s="116"/>
      <c r="AQ68" s="117"/>
      <c r="AS68" s="277">
        <f>3*(AV78^2)*AW78/(8*AX78*AY78)</f>
        <v>0.23339931963637062</v>
      </c>
      <c r="AT68" s="278"/>
      <c r="AU68" s="118">
        <f t="shared" si="13"/>
        <v>5.3360846739162975</v>
      </c>
      <c r="AV68" s="118">
        <f>AU68^3+AS62*AU68+AT62</f>
        <v>151.55563493305897</v>
      </c>
      <c r="AW68" s="118">
        <f>3*AU68^2+AS62</f>
        <v>85.404798261249567</v>
      </c>
      <c r="AX68" s="118">
        <f t="shared" si="9"/>
        <v>3.5615282319063666</v>
      </c>
      <c r="AY68" s="116"/>
      <c r="AZ68" s="117"/>
      <c r="BB68" s="277" t="e">
        <f>3*(BE78^2)*BF78/(8*BG78*BH78)</f>
        <v>#VALUE!</v>
      </c>
      <c r="BC68" s="278"/>
      <c r="BD68" s="118" t="e">
        <f t="shared" si="14"/>
        <v>#VALUE!</v>
      </c>
      <c r="BE68" s="118" t="e">
        <f>BD68^3+BB62*BD68+BC62</f>
        <v>#VALUE!</v>
      </c>
      <c r="BF68" s="118" t="e">
        <f>3*BD68^2+BB62</f>
        <v>#VALUE!</v>
      </c>
      <c r="BG68" s="118" t="e">
        <f t="shared" si="10"/>
        <v>#VALUE!</v>
      </c>
      <c r="BH68" s="116"/>
      <c r="BI68" s="117"/>
      <c r="BK68" s="277" t="e">
        <f>3*(BN78^2)*BO78/(8*BP78*BQ78)</f>
        <v>#VALUE!</v>
      </c>
      <c r="BL68" s="278"/>
      <c r="BM68" s="118" t="e">
        <f t="shared" si="15"/>
        <v>#VALUE!</v>
      </c>
      <c r="BN68" s="118" t="e">
        <f>BM68^3+BK62*BM68+BL62</f>
        <v>#VALUE!</v>
      </c>
      <c r="BO68" s="118" t="e">
        <f>3*BM68^2+BK62</f>
        <v>#VALUE!</v>
      </c>
      <c r="BP68" s="118" t="e">
        <f t="shared" si="11"/>
        <v>#VALUE!</v>
      </c>
      <c r="BQ68" s="116"/>
      <c r="BR68" s="117"/>
      <c r="BT68" s="277" t="e">
        <f>3*(BW78^2)*BX78/(8*BY78*BZ78)</f>
        <v>#VALUE!</v>
      </c>
      <c r="BU68" s="278"/>
      <c r="BV68" s="118" t="e">
        <f t="shared" si="16"/>
        <v>#VALUE!</v>
      </c>
      <c r="BW68" s="118" t="e">
        <f>BV68^3+BT62*BV68+BU62</f>
        <v>#VALUE!</v>
      </c>
      <c r="BX68" s="118" t="e">
        <f>3*BV68^2+BT62</f>
        <v>#VALUE!</v>
      </c>
      <c r="BY68" s="118" t="e">
        <f t="shared" si="12"/>
        <v>#VALUE!</v>
      </c>
      <c r="BZ68" s="116"/>
      <c r="CA68" s="117"/>
    </row>
    <row r="69" spans="10:79" ht="13.5" customHeight="1" x14ac:dyDescent="0.15">
      <c r="AJ69" s="121"/>
      <c r="AK69" s="122"/>
      <c r="AL69" s="118">
        <f t="shared" ref="AL69:AL75" si="18">AO68</f>
        <v>2.0021254048327508</v>
      </c>
      <c r="AM69" s="118">
        <f>AL69^3+AJ62*AL69+AK62</f>
        <v>7.615620628478216</v>
      </c>
      <c r="AN69" s="118">
        <f>3*AL69^2+AJ62</f>
        <v>11.990774699549828</v>
      </c>
      <c r="AO69" s="118">
        <f t="shared" ref="AO69:AO75" si="19">AL69-AM69/AN69</f>
        <v>1.3670020855059244</v>
      </c>
      <c r="AP69" s="119"/>
      <c r="AQ69" s="120"/>
      <c r="AS69" s="121"/>
      <c r="AT69" s="122"/>
      <c r="AU69" s="118">
        <f t="shared" si="13"/>
        <v>3.5615282319063666</v>
      </c>
      <c r="AV69" s="118">
        <f>AU69^3+AS62*AU69+AT62</f>
        <v>44.822633418026776</v>
      </c>
      <c r="AW69" s="118">
        <f>3*AU69^2+AS62</f>
        <v>38.036849359634637</v>
      </c>
      <c r="AX69" s="118">
        <f t="shared" si="9"/>
        <v>2.383127965516445</v>
      </c>
      <c r="AY69" s="119"/>
      <c r="AZ69" s="120"/>
      <c r="BB69" s="121"/>
      <c r="BC69" s="122"/>
      <c r="BD69" s="118" t="e">
        <f t="shared" si="14"/>
        <v>#VALUE!</v>
      </c>
      <c r="BE69" s="118" t="e">
        <f>BD69^3+BB62*BD69+BC62</f>
        <v>#VALUE!</v>
      </c>
      <c r="BF69" s="118" t="e">
        <f>3*BD69^2+BB62</f>
        <v>#VALUE!</v>
      </c>
      <c r="BG69" s="118" t="e">
        <f t="shared" si="10"/>
        <v>#VALUE!</v>
      </c>
      <c r="BH69" s="119"/>
      <c r="BI69" s="120"/>
      <c r="BK69" s="121"/>
      <c r="BL69" s="122"/>
      <c r="BM69" s="118" t="e">
        <f t="shared" si="15"/>
        <v>#VALUE!</v>
      </c>
      <c r="BN69" s="118" t="e">
        <f>BM69^3+BK62*BM69+BL62</f>
        <v>#VALUE!</v>
      </c>
      <c r="BO69" s="118" t="e">
        <f>3*BM69^2+BK62</f>
        <v>#VALUE!</v>
      </c>
      <c r="BP69" s="118" t="e">
        <f t="shared" si="11"/>
        <v>#VALUE!</v>
      </c>
      <c r="BQ69" s="119"/>
      <c r="BR69" s="120"/>
      <c r="BT69" s="121"/>
      <c r="BU69" s="122"/>
      <c r="BV69" s="118" t="e">
        <f t="shared" si="16"/>
        <v>#VALUE!</v>
      </c>
      <c r="BW69" s="118" t="e">
        <f>BV69^3+BT62*BV69+BU62</f>
        <v>#VALUE!</v>
      </c>
      <c r="BX69" s="118" t="e">
        <f>3*BV69^2+BT62</f>
        <v>#VALUE!</v>
      </c>
      <c r="BY69" s="118" t="e">
        <f t="shared" si="12"/>
        <v>#VALUE!</v>
      </c>
      <c r="BZ69" s="119"/>
      <c r="CA69" s="120"/>
    </row>
    <row r="70" spans="10:79" ht="13.5" customHeight="1" x14ac:dyDescent="0.15">
      <c r="AJ70" s="269" t="s">
        <v>10</v>
      </c>
      <c r="AK70" s="270"/>
      <c r="AL70" s="118">
        <f t="shared" si="18"/>
        <v>1.3670020855059244</v>
      </c>
      <c r="AM70" s="118">
        <f>AL70^3+AJ62*AL70+AK62</f>
        <v>2.1666647520395492</v>
      </c>
      <c r="AN70" s="118">
        <f>3*AL70^2+AJ62</f>
        <v>5.5713403948523492</v>
      </c>
      <c r="AO70" s="118">
        <f t="shared" si="19"/>
        <v>0.97810738540082154</v>
      </c>
      <c r="AP70" s="14" t="s">
        <v>148</v>
      </c>
      <c r="AQ70" s="123">
        <f>AO76</f>
        <v>0.71477707396172674</v>
      </c>
      <c r="AS70" s="269" t="s">
        <v>10</v>
      </c>
      <c r="AT70" s="270"/>
      <c r="AU70" s="118">
        <f t="shared" si="13"/>
        <v>2.383127965516445</v>
      </c>
      <c r="AV70" s="118">
        <f>AU70^3+AS62*AU70+AT62</f>
        <v>13.200546151072158</v>
      </c>
      <c r="AW70" s="118">
        <f>3*AU70^2+AS62</f>
        <v>17.021296019716019</v>
      </c>
      <c r="AX70" s="118">
        <f t="shared" si="9"/>
        <v>1.6075967641448354</v>
      </c>
      <c r="AY70" s="14" t="s">
        <v>148</v>
      </c>
      <c r="AZ70" s="123">
        <f>AX76</f>
        <v>0.67355041950470917</v>
      </c>
      <c r="BB70" s="269" t="s">
        <v>10</v>
      </c>
      <c r="BC70" s="270"/>
      <c r="BD70" s="118" t="e">
        <f t="shared" si="14"/>
        <v>#VALUE!</v>
      </c>
      <c r="BE70" s="118" t="e">
        <f>BD70^3+BB62*BD70+BC62</f>
        <v>#VALUE!</v>
      </c>
      <c r="BF70" s="118" t="e">
        <f>3*BD70^2+BB62</f>
        <v>#VALUE!</v>
      </c>
      <c r="BG70" s="118" t="e">
        <f t="shared" si="10"/>
        <v>#VALUE!</v>
      </c>
      <c r="BH70" s="14" t="s">
        <v>148</v>
      </c>
      <c r="BI70" s="123" t="e">
        <f>BG76</f>
        <v>#VALUE!</v>
      </c>
      <c r="BK70" s="269" t="s">
        <v>10</v>
      </c>
      <c r="BL70" s="270"/>
      <c r="BM70" s="118" t="e">
        <f t="shared" si="15"/>
        <v>#VALUE!</v>
      </c>
      <c r="BN70" s="118" t="e">
        <f>BM70^3+BK62*BM70+BL62</f>
        <v>#VALUE!</v>
      </c>
      <c r="BO70" s="118" t="e">
        <f>3*BM70^2+BK62</f>
        <v>#VALUE!</v>
      </c>
      <c r="BP70" s="118" t="e">
        <f t="shared" si="11"/>
        <v>#VALUE!</v>
      </c>
      <c r="BQ70" s="14" t="s">
        <v>148</v>
      </c>
      <c r="BR70" s="123" t="e">
        <f>BP76</f>
        <v>#VALUE!</v>
      </c>
      <c r="BT70" s="269" t="s">
        <v>10</v>
      </c>
      <c r="BU70" s="270"/>
      <c r="BV70" s="118" t="e">
        <f t="shared" si="16"/>
        <v>#VALUE!</v>
      </c>
      <c r="BW70" s="118" t="e">
        <f>BV70^3+BT62*BV70+BU62</f>
        <v>#VALUE!</v>
      </c>
      <c r="BX70" s="118" t="e">
        <f>3*BV70^2+BT62</f>
        <v>#VALUE!</v>
      </c>
      <c r="BY70" s="118" t="e">
        <f t="shared" si="12"/>
        <v>#VALUE!</v>
      </c>
      <c r="BZ70" s="14" t="s">
        <v>148</v>
      </c>
      <c r="CA70" s="123" t="e">
        <f>BY76</f>
        <v>#VALUE!</v>
      </c>
    </row>
    <row r="71" spans="10:79" ht="13.5" customHeight="1" x14ac:dyDescent="0.15">
      <c r="AJ71" s="271">
        <f>AJ68*AL78*AJ78/AK78</f>
        <v>0.34035007777945692</v>
      </c>
      <c r="AK71" s="272"/>
      <c r="AL71" s="118">
        <f t="shared" si="18"/>
        <v>0.97810738540082154</v>
      </c>
      <c r="AM71" s="118">
        <f>AL71^3+AJ62*AL71+AK62</f>
        <v>0.56141636549172524</v>
      </c>
      <c r="AN71" s="118">
        <f>3*AL71^2+AJ62</f>
        <v>2.8353384616466033</v>
      </c>
      <c r="AO71" s="118">
        <f t="shared" si="19"/>
        <v>0.7801005607885364</v>
      </c>
      <c r="AP71" s="14" t="s">
        <v>149</v>
      </c>
      <c r="AQ71" s="124">
        <f>AJ78*AM78^2/(8*AO76)</f>
        <v>353.93162711737511</v>
      </c>
      <c r="AS71" s="271">
        <f>AS68*AU78*AS78/AT78</f>
        <v>0.29438833648673352</v>
      </c>
      <c r="AT71" s="272"/>
      <c r="AU71" s="118">
        <f t="shared" si="13"/>
        <v>1.6075967641448354</v>
      </c>
      <c r="AV71" s="118">
        <f>AU71^3+AS62*AU71+AT62</f>
        <v>3.8335450624882257</v>
      </c>
      <c r="AW71" s="118">
        <f>3*AU71^2+AS62</f>
        <v>7.7365013879032087</v>
      </c>
      <c r="AX71" s="118">
        <f t="shared" si="9"/>
        <v>1.1120827235886797</v>
      </c>
      <c r="AY71" s="14" t="s">
        <v>149</v>
      </c>
      <c r="AZ71" s="124">
        <f>AS78*AV78^2/(8*AX76)</f>
        <v>568.52906227141546</v>
      </c>
      <c r="BB71" s="271" t="e">
        <f>BB68*BD78*BB78/BC78</f>
        <v>#VALUE!</v>
      </c>
      <c r="BC71" s="272"/>
      <c r="BD71" s="118" t="e">
        <f t="shared" si="14"/>
        <v>#VALUE!</v>
      </c>
      <c r="BE71" s="118" t="e">
        <f>BD71^3+BB62*BD71+BC62</f>
        <v>#VALUE!</v>
      </c>
      <c r="BF71" s="118" t="e">
        <f>3*BD71^2+BB62</f>
        <v>#VALUE!</v>
      </c>
      <c r="BG71" s="118" t="e">
        <f t="shared" si="10"/>
        <v>#VALUE!</v>
      </c>
      <c r="BH71" s="14" t="s">
        <v>149</v>
      </c>
      <c r="BI71" s="124" t="e">
        <f>BB78*BE78^2/(8*BG76)</f>
        <v>#VALUE!</v>
      </c>
      <c r="BK71" s="271" t="e">
        <f>BK68*BM78*BK78/BL78</f>
        <v>#VALUE!</v>
      </c>
      <c r="BL71" s="272"/>
      <c r="BM71" s="118" t="e">
        <f t="shared" si="15"/>
        <v>#VALUE!</v>
      </c>
      <c r="BN71" s="118" t="e">
        <f>BM71^3+BK62*BM71+BL62</f>
        <v>#VALUE!</v>
      </c>
      <c r="BO71" s="118" t="e">
        <f>3*BM71^2+BK62</f>
        <v>#VALUE!</v>
      </c>
      <c r="BP71" s="118" t="e">
        <f t="shared" si="11"/>
        <v>#VALUE!</v>
      </c>
      <c r="BQ71" s="14" t="s">
        <v>149</v>
      </c>
      <c r="BR71" s="124" t="e">
        <f>BK78*BN78^2/(8*BP76)</f>
        <v>#VALUE!</v>
      </c>
      <c r="BT71" s="271" t="e">
        <f>BT68*BV78*BT78/BU78</f>
        <v>#VALUE!</v>
      </c>
      <c r="BU71" s="272"/>
      <c r="BV71" s="118" t="e">
        <f t="shared" si="16"/>
        <v>#VALUE!</v>
      </c>
      <c r="BW71" s="118" t="e">
        <f>BV71^3+BT62*BV71+BU62</f>
        <v>#VALUE!</v>
      </c>
      <c r="BX71" s="118" t="e">
        <f>3*BV71^2+BT62</f>
        <v>#VALUE!</v>
      </c>
      <c r="BY71" s="118" t="e">
        <f t="shared" si="12"/>
        <v>#VALUE!</v>
      </c>
      <c r="BZ71" s="14" t="s">
        <v>149</v>
      </c>
      <c r="CA71" s="124" t="e">
        <f>BT78*BW78^2/(8*BY76)</f>
        <v>#VALUE!</v>
      </c>
    </row>
    <row r="72" spans="10:79" ht="13.5" customHeight="1" x14ac:dyDescent="0.15">
      <c r="AJ72" s="125"/>
      <c r="AK72" s="126"/>
      <c r="AL72" s="118">
        <f t="shared" si="18"/>
        <v>0.7801005607885364</v>
      </c>
      <c r="AM72" s="118">
        <f>AL72^3+AJ62*AL72+AK62</f>
        <v>0.10728190140643229</v>
      </c>
      <c r="AN72" s="118">
        <f>3*AL72^2+AJ62</f>
        <v>1.7909269443474762</v>
      </c>
      <c r="AO72" s="118">
        <f t="shared" si="19"/>
        <v>0.72019755818698672</v>
      </c>
      <c r="AP72" s="116"/>
      <c r="AQ72" s="117"/>
      <c r="AS72" s="125"/>
      <c r="AT72" s="126"/>
      <c r="AU72" s="118">
        <f t="shared" si="13"/>
        <v>1.1120827235886797</v>
      </c>
      <c r="AV72" s="118">
        <f>AU72^3+AS62*AU72+AT62</f>
        <v>1.0624941585822323</v>
      </c>
      <c r="AW72" s="118">
        <f>3*AU72^2+AS62</f>
        <v>3.6935832719496173</v>
      </c>
      <c r="AX72" s="118">
        <f t="shared" si="9"/>
        <v>0.82442326653753095</v>
      </c>
      <c r="AY72" s="116"/>
      <c r="AZ72" s="117"/>
      <c r="BB72" s="125"/>
      <c r="BC72" s="126"/>
      <c r="BD72" s="118" t="e">
        <f t="shared" si="14"/>
        <v>#VALUE!</v>
      </c>
      <c r="BE72" s="118" t="e">
        <f>BD72^3+BB62*BD72+BC62</f>
        <v>#VALUE!</v>
      </c>
      <c r="BF72" s="118" t="e">
        <f>3*BD72^2+BB62</f>
        <v>#VALUE!</v>
      </c>
      <c r="BG72" s="118" t="e">
        <f t="shared" si="10"/>
        <v>#VALUE!</v>
      </c>
      <c r="BH72" s="116"/>
      <c r="BI72" s="117"/>
      <c r="BK72" s="125"/>
      <c r="BL72" s="126"/>
      <c r="BM72" s="118" t="e">
        <f t="shared" si="15"/>
        <v>#VALUE!</v>
      </c>
      <c r="BN72" s="118" t="e">
        <f>BM72^3+BK62*BM72+BL62</f>
        <v>#VALUE!</v>
      </c>
      <c r="BO72" s="118" t="e">
        <f>3*BM72^2+BK62</f>
        <v>#VALUE!</v>
      </c>
      <c r="BP72" s="118" t="e">
        <f t="shared" si="11"/>
        <v>#VALUE!</v>
      </c>
      <c r="BQ72" s="116"/>
      <c r="BR72" s="117"/>
      <c r="BT72" s="125"/>
      <c r="BU72" s="126"/>
      <c r="BV72" s="118" t="e">
        <f t="shared" si="16"/>
        <v>#VALUE!</v>
      </c>
      <c r="BW72" s="118" t="e">
        <f>BV72^3+BT62*BV72+BU62</f>
        <v>#VALUE!</v>
      </c>
      <c r="BX72" s="118" t="e">
        <f>3*BV72^2+BT62</f>
        <v>#VALUE!</v>
      </c>
      <c r="BY72" s="118" t="e">
        <f t="shared" si="12"/>
        <v>#VALUE!</v>
      </c>
      <c r="BZ72" s="116"/>
      <c r="CA72" s="117"/>
    </row>
    <row r="73" spans="10:79" ht="13.5" customHeight="1" x14ac:dyDescent="0.15">
      <c r="AJ73" s="125"/>
      <c r="AK73" s="126"/>
      <c r="AL73" s="118">
        <f t="shared" si="18"/>
        <v>0.72019755818698672</v>
      </c>
      <c r="AM73" s="118">
        <f>AL73^3+AJ62*AL73+AK62</f>
        <v>8.1829135735468905E-3</v>
      </c>
      <c r="AN73" s="118">
        <f>3*AL73^2+AJ62</f>
        <v>1.5213098579752036</v>
      </c>
      <c r="AO73" s="118">
        <f t="shared" si="19"/>
        <v>0.71481869764082684</v>
      </c>
      <c r="AP73" s="112" t="s">
        <v>147</v>
      </c>
      <c r="AQ73" s="113">
        <v>15</v>
      </c>
      <c r="AS73" s="125"/>
      <c r="AT73" s="126"/>
      <c r="AU73" s="118">
        <f t="shared" si="13"/>
        <v>0.82442326653753095</v>
      </c>
      <c r="AV73" s="118">
        <f>AU73^3+AS62*AU73+AT62</f>
        <v>0.25226450678880447</v>
      </c>
      <c r="AW73" s="118">
        <f>3*AU73^2+AS62</f>
        <v>2.0224204868616091</v>
      </c>
      <c r="AX73" s="118">
        <f t="shared" si="9"/>
        <v>0.69968931114714206</v>
      </c>
      <c r="AY73" s="112" t="s">
        <v>147</v>
      </c>
      <c r="AZ73" s="113">
        <v>15</v>
      </c>
      <c r="BB73" s="125"/>
      <c r="BC73" s="126"/>
      <c r="BD73" s="118" t="e">
        <f t="shared" si="14"/>
        <v>#VALUE!</v>
      </c>
      <c r="BE73" s="118" t="e">
        <f>BD73^3+BB62*BD73+BC62</f>
        <v>#VALUE!</v>
      </c>
      <c r="BF73" s="118" t="e">
        <f>3*BD73^2+BB62</f>
        <v>#VALUE!</v>
      </c>
      <c r="BG73" s="118" t="e">
        <f t="shared" si="10"/>
        <v>#VALUE!</v>
      </c>
      <c r="BH73" s="112" t="s">
        <v>147</v>
      </c>
      <c r="BI73" s="113">
        <v>15</v>
      </c>
      <c r="BK73" s="125"/>
      <c r="BL73" s="126"/>
      <c r="BM73" s="118" t="e">
        <f t="shared" si="15"/>
        <v>#VALUE!</v>
      </c>
      <c r="BN73" s="118" t="e">
        <f>BM73^3+BK62*BM73+BL62</f>
        <v>#VALUE!</v>
      </c>
      <c r="BO73" s="118" t="e">
        <f>3*BM73^2+BK62</f>
        <v>#VALUE!</v>
      </c>
      <c r="BP73" s="118" t="e">
        <f t="shared" si="11"/>
        <v>#VALUE!</v>
      </c>
      <c r="BQ73" s="112" t="s">
        <v>147</v>
      </c>
      <c r="BR73" s="113">
        <v>15</v>
      </c>
      <c r="BT73" s="125"/>
      <c r="BU73" s="126"/>
      <c r="BV73" s="118" t="e">
        <f t="shared" si="16"/>
        <v>#VALUE!</v>
      </c>
      <c r="BW73" s="118" t="e">
        <f>BV73^3+BT62*BV73+BU62</f>
        <v>#VALUE!</v>
      </c>
      <c r="BX73" s="118" t="e">
        <f>3*BV73^2+BT62</f>
        <v>#VALUE!</v>
      </c>
      <c r="BY73" s="118" t="e">
        <f t="shared" si="12"/>
        <v>#VALUE!</v>
      </c>
      <c r="BZ73" s="112" t="s">
        <v>147</v>
      </c>
      <c r="CA73" s="113">
        <v>15</v>
      </c>
    </row>
    <row r="74" spans="10:79" ht="13.5" customHeight="1" x14ac:dyDescent="0.15">
      <c r="AJ74" s="125"/>
      <c r="AK74" s="126"/>
      <c r="AL74" s="118">
        <f t="shared" si="18"/>
        <v>0.71481869764082684</v>
      </c>
      <c r="AM74" s="118">
        <f>AL74^3+AJ62*AL74+AK62</f>
        <v>6.2354949467380294E-5</v>
      </c>
      <c r="AN74" s="118">
        <f>3*AL74^2+AJ62</f>
        <v>1.498153601010493</v>
      </c>
      <c r="AO74" s="118">
        <f t="shared" si="19"/>
        <v>0.71477707644162181</v>
      </c>
      <c r="AP74" s="128" t="s">
        <v>155</v>
      </c>
      <c r="AQ74" s="32"/>
      <c r="AS74" s="125"/>
      <c r="AT74" s="126"/>
      <c r="AU74" s="118">
        <f t="shared" si="13"/>
        <v>0.69968931114714206</v>
      </c>
      <c r="AV74" s="118">
        <f>AU74^3+AS62*AU74+AT62</f>
        <v>3.6539834969256446E-2</v>
      </c>
      <c r="AW74" s="118">
        <f>3*AU74^2+AS62</f>
        <v>1.4520947160370572</v>
      </c>
      <c r="AX74" s="118">
        <f t="shared" si="9"/>
        <v>0.67452577700180882</v>
      </c>
      <c r="AY74" s="128" t="s">
        <v>154</v>
      </c>
      <c r="AZ74" s="32"/>
      <c r="BB74" s="125"/>
      <c r="BC74" s="126"/>
      <c r="BD74" s="118" t="e">
        <f t="shared" si="14"/>
        <v>#VALUE!</v>
      </c>
      <c r="BE74" s="118" t="e">
        <f>BD74^3+BB62*BD74+BC62</f>
        <v>#VALUE!</v>
      </c>
      <c r="BF74" s="118" t="e">
        <f>3*BD74^2+BB62</f>
        <v>#VALUE!</v>
      </c>
      <c r="BG74" s="118" t="e">
        <f t="shared" si="10"/>
        <v>#VALUE!</v>
      </c>
      <c r="BH74" s="128" t="s">
        <v>153</v>
      </c>
      <c r="BI74" s="32"/>
      <c r="BK74" s="125"/>
      <c r="BL74" s="126"/>
      <c r="BM74" s="118" t="e">
        <f t="shared" si="15"/>
        <v>#VALUE!</v>
      </c>
      <c r="BN74" s="118" t="e">
        <f>BM74^3+BK62*BM74+BL62</f>
        <v>#VALUE!</v>
      </c>
      <c r="BO74" s="118" t="e">
        <f>3*BM74^2+BK62</f>
        <v>#VALUE!</v>
      </c>
      <c r="BP74" s="118" t="e">
        <f t="shared" si="11"/>
        <v>#VALUE!</v>
      </c>
      <c r="BQ74" s="128" t="s">
        <v>152</v>
      </c>
      <c r="BR74" s="32"/>
      <c r="BT74" s="125"/>
      <c r="BU74" s="126"/>
      <c r="BV74" s="118" t="e">
        <f t="shared" si="16"/>
        <v>#VALUE!</v>
      </c>
      <c r="BW74" s="118" t="e">
        <f>BV74^3+BT62*BV74+BU62</f>
        <v>#VALUE!</v>
      </c>
      <c r="BX74" s="118" t="e">
        <f>3*BV74^2+BT62</f>
        <v>#VALUE!</v>
      </c>
      <c r="BY74" s="118" t="e">
        <f t="shared" si="12"/>
        <v>#VALUE!</v>
      </c>
      <c r="BZ74" s="128" t="s">
        <v>151</v>
      </c>
      <c r="CA74" s="32"/>
    </row>
    <row r="75" spans="10:79" ht="13.5" customHeight="1" x14ac:dyDescent="0.15">
      <c r="AJ75" s="125"/>
      <c r="AK75" s="126"/>
      <c r="AL75" s="18">
        <f t="shared" si="18"/>
        <v>0.71477707644162181</v>
      </c>
      <c r="AM75" s="18">
        <f>AL75^3+AJ62*AL75+AK62</f>
        <v>3.7148211173843038E-9</v>
      </c>
      <c r="AN75" s="18">
        <f>3*AL75^2+AJ62</f>
        <v>1.4979750965390057</v>
      </c>
      <c r="AO75" s="18">
        <f t="shared" si="19"/>
        <v>0.71477707396172674</v>
      </c>
      <c r="AP75" s="283" t="str">
        <f>M48</f>
        <v>高温季最悪条件時
15[℃],100[Kg/ｍ2]</v>
      </c>
      <c r="AQ75" s="284"/>
      <c r="AS75" s="125"/>
      <c r="AT75" s="126"/>
      <c r="AU75" s="18">
        <f t="shared" si="13"/>
        <v>0.67452577700180882</v>
      </c>
      <c r="AV75" s="18">
        <f>AU75^3+AS62*AU75+AT62</f>
        <v>1.3132034220216804E-3</v>
      </c>
      <c r="AW75" s="18">
        <f>3*AU75^2+AS62</f>
        <v>1.3483543911560525</v>
      </c>
      <c r="AX75" s="18">
        <f t="shared" si="9"/>
        <v>0.67355184653468902</v>
      </c>
      <c r="AY75" s="283" t="str">
        <f>M48</f>
        <v>高温季最悪条件時
15[℃],100[Kg/ｍ2]</v>
      </c>
      <c r="AZ75" s="284"/>
      <c r="BB75" s="125"/>
      <c r="BC75" s="126"/>
      <c r="BD75" s="18" t="e">
        <f t="shared" si="14"/>
        <v>#VALUE!</v>
      </c>
      <c r="BE75" s="18" t="e">
        <f>BD75^3+BB62*BD75+BC62</f>
        <v>#VALUE!</v>
      </c>
      <c r="BF75" s="18" t="e">
        <f>3*BD75^2+BB62</f>
        <v>#VALUE!</v>
      </c>
      <c r="BG75" s="18" t="e">
        <f t="shared" si="10"/>
        <v>#VALUE!</v>
      </c>
      <c r="BH75" s="283" t="str">
        <f>M48</f>
        <v>高温季最悪条件時
15[℃],100[Kg/ｍ2]</v>
      </c>
      <c r="BI75" s="284"/>
      <c r="BK75" s="125"/>
      <c r="BL75" s="126"/>
      <c r="BM75" s="18" t="e">
        <f t="shared" si="15"/>
        <v>#VALUE!</v>
      </c>
      <c r="BN75" s="18" t="e">
        <f>BM75^3+BK62*BM75+BL62</f>
        <v>#VALUE!</v>
      </c>
      <c r="BO75" s="18" t="e">
        <f>3*BM75^2+BK62</f>
        <v>#VALUE!</v>
      </c>
      <c r="BP75" s="18" t="e">
        <f t="shared" si="11"/>
        <v>#VALUE!</v>
      </c>
      <c r="BQ75" s="283" t="str">
        <f>M48</f>
        <v>高温季最悪条件時
15[℃],100[Kg/ｍ2]</v>
      </c>
      <c r="BR75" s="284"/>
      <c r="BT75" s="125"/>
      <c r="BU75" s="126"/>
      <c r="BV75" s="18" t="e">
        <f t="shared" si="16"/>
        <v>#VALUE!</v>
      </c>
      <c r="BW75" s="18" t="e">
        <f>BV75^3+BT62*BV75+BU62</f>
        <v>#VALUE!</v>
      </c>
      <c r="BX75" s="18" t="e">
        <f>3*BV75^2+BT62</f>
        <v>#VALUE!</v>
      </c>
      <c r="BY75" s="18" t="e">
        <f t="shared" si="12"/>
        <v>#VALUE!</v>
      </c>
      <c r="BZ75" s="283" t="str">
        <f>M48</f>
        <v>高温季最悪条件時
15[℃],100[Kg/ｍ2]</v>
      </c>
      <c r="CA75" s="284"/>
    </row>
    <row r="76" spans="10:79" ht="13.5" customHeight="1" thickBot="1" x14ac:dyDescent="0.2">
      <c r="AJ76" s="125"/>
      <c r="AK76" s="126"/>
      <c r="AL76" s="114">
        <f>AO75</f>
        <v>0.71477707396172674</v>
      </c>
      <c r="AM76" s="115">
        <f>AL76^3+AJ62*AL76+AK62</f>
        <v>0</v>
      </c>
      <c r="AN76" s="115">
        <f>3*AL76^2+AJ62</f>
        <v>1.4979750859035728</v>
      </c>
      <c r="AO76" s="115">
        <f>AL76-AM76/AN76</f>
        <v>0.71477707396172674</v>
      </c>
      <c r="AP76" s="285"/>
      <c r="AQ76" s="286"/>
      <c r="AS76" s="125"/>
      <c r="AT76" s="126"/>
      <c r="AU76" s="114">
        <f>AX75</f>
        <v>0.67355184653468902</v>
      </c>
      <c r="AV76" s="115">
        <f>AU76^3+AS62*AU76+AT62</f>
        <v>1.9185213516736965E-6</v>
      </c>
      <c r="AW76" s="115">
        <f>3*AU76^2+AS62</f>
        <v>1.3444155895472385</v>
      </c>
      <c r="AX76" s="115">
        <f t="shared" si="9"/>
        <v>0.67355041950470917</v>
      </c>
      <c r="AY76" s="285"/>
      <c r="AZ76" s="286"/>
      <c r="BB76" s="125"/>
      <c r="BC76" s="126"/>
      <c r="BD76" s="114" t="e">
        <f>BG75</f>
        <v>#VALUE!</v>
      </c>
      <c r="BE76" s="115" t="e">
        <f>BD76^3+BB62*BD76+BC62</f>
        <v>#VALUE!</v>
      </c>
      <c r="BF76" s="115" t="e">
        <f>3*BD76^2+BB62</f>
        <v>#VALUE!</v>
      </c>
      <c r="BG76" s="115" t="e">
        <f t="shared" si="10"/>
        <v>#VALUE!</v>
      </c>
      <c r="BH76" s="285"/>
      <c r="BI76" s="286"/>
      <c r="BK76" s="125"/>
      <c r="BL76" s="126"/>
      <c r="BM76" s="114" t="e">
        <f>BP75</f>
        <v>#VALUE!</v>
      </c>
      <c r="BN76" s="115" t="e">
        <f>BM76^3+BK62*BM76+BL62</f>
        <v>#VALUE!</v>
      </c>
      <c r="BO76" s="115" t="e">
        <f>3*BM76^2+BK62</f>
        <v>#VALUE!</v>
      </c>
      <c r="BP76" s="115" t="e">
        <f t="shared" si="11"/>
        <v>#VALUE!</v>
      </c>
      <c r="BQ76" s="285"/>
      <c r="BR76" s="286"/>
      <c r="BT76" s="125"/>
      <c r="BU76" s="126"/>
      <c r="BV76" s="114" t="e">
        <f>BY75</f>
        <v>#VALUE!</v>
      </c>
      <c r="BW76" s="115" t="e">
        <f>BV76^3+BT62*BV76+BU62</f>
        <v>#VALUE!</v>
      </c>
      <c r="BX76" s="115" t="e">
        <f>3*BV76^2+BT62</f>
        <v>#VALUE!</v>
      </c>
      <c r="BY76" s="115" t="e">
        <f t="shared" si="12"/>
        <v>#VALUE!</v>
      </c>
      <c r="BZ76" s="285"/>
      <c r="CA76" s="286"/>
    </row>
    <row r="77" spans="10:79" ht="13.5" customHeight="1" x14ac:dyDescent="0.15">
      <c r="AJ77" s="62" t="s">
        <v>52</v>
      </c>
      <c r="AK77" s="12" t="s">
        <v>53</v>
      </c>
      <c r="AL77" s="12" t="s">
        <v>54</v>
      </c>
      <c r="AM77" s="12" t="s">
        <v>55</v>
      </c>
      <c r="AN77" s="12" t="s">
        <v>56</v>
      </c>
      <c r="AO77" s="63" t="s">
        <v>57</v>
      </c>
      <c r="AP77" s="12" t="s">
        <v>58</v>
      </c>
      <c r="AQ77" s="13" t="s">
        <v>59</v>
      </c>
      <c r="AS77" s="62" t="s">
        <v>52</v>
      </c>
      <c r="AT77" s="12" t="s">
        <v>53</v>
      </c>
      <c r="AU77" s="12" t="s">
        <v>54</v>
      </c>
      <c r="AV77" s="12" t="s">
        <v>55</v>
      </c>
      <c r="AW77" s="12" t="s">
        <v>56</v>
      </c>
      <c r="AX77" s="63" t="s">
        <v>57</v>
      </c>
      <c r="AY77" s="12" t="s">
        <v>58</v>
      </c>
      <c r="AZ77" s="13" t="s">
        <v>59</v>
      </c>
      <c r="BB77" s="62" t="s">
        <v>52</v>
      </c>
      <c r="BC77" s="12" t="s">
        <v>53</v>
      </c>
      <c r="BD77" s="12" t="s">
        <v>54</v>
      </c>
      <c r="BE77" s="12" t="s">
        <v>55</v>
      </c>
      <c r="BF77" s="12" t="s">
        <v>56</v>
      </c>
      <c r="BG77" s="63" t="s">
        <v>57</v>
      </c>
      <c r="BH77" s="12" t="s">
        <v>58</v>
      </c>
      <c r="BI77" s="13" t="s">
        <v>59</v>
      </c>
      <c r="BK77" s="62" t="s">
        <v>52</v>
      </c>
      <c r="BL77" s="12" t="s">
        <v>53</v>
      </c>
      <c r="BM77" s="12" t="s">
        <v>54</v>
      </c>
      <c r="BN77" s="12" t="s">
        <v>55</v>
      </c>
      <c r="BO77" s="12" t="s">
        <v>56</v>
      </c>
      <c r="BP77" s="63" t="s">
        <v>57</v>
      </c>
      <c r="BQ77" s="12" t="s">
        <v>58</v>
      </c>
      <c r="BR77" s="13" t="s">
        <v>59</v>
      </c>
      <c r="BT77" s="62" t="s">
        <v>52</v>
      </c>
      <c r="BU77" s="12" t="s">
        <v>53</v>
      </c>
      <c r="BV77" s="12" t="s">
        <v>54</v>
      </c>
      <c r="BW77" s="12" t="s">
        <v>55</v>
      </c>
      <c r="BX77" s="12" t="s">
        <v>56</v>
      </c>
      <c r="BY77" s="63" t="s">
        <v>57</v>
      </c>
      <c r="BZ77" s="12" t="s">
        <v>58</v>
      </c>
      <c r="CA77" s="13" t="s">
        <v>59</v>
      </c>
    </row>
    <row r="78" spans="10:79" ht="13.5" customHeight="1" thickBot="1" x14ac:dyDescent="0.2">
      <c r="AJ78" s="107">
        <f>O23</f>
        <v>1.2649110640673518</v>
      </c>
      <c r="AK78" s="108">
        <f>M23+U23</f>
        <v>0.4</v>
      </c>
      <c r="AL78" s="108">
        <f>IF(C33="",L19*(F19/40)^2,C33)</f>
        <v>0.5</v>
      </c>
      <c r="AM78" s="108">
        <f>F19</f>
        <v>40</v>
      </c>
      <c r="AN78" s="108">
        <f>AK78*1600/(8*L19)</f>
        <v>160</v>
      </c>
      <c r="AO78" s="109">
        <f>V23</f>
        <v>12000</v>
      </c>
      <c r="AP78" s="108">
        <f>IF(I23="",L23,T23)</f>
        <v>37.164999999999999</v>
      </c>
      <c r="AQ78" s="110">
        <f>W23</f>
        <v>170</v>
      </c>
      <c r="AS78" s="107">
        <f>IF(B24="使用電線-2",O24,IF(B25="使用電線-2",O25,IF(B26="使用電線-2",O26,IF(B27="使用電線-2",O27,IF(B28="使用電線-2",O28,IF(B29="使用電線-2",O29,""))))))</f>
        <v>1.914664941967654</v>
      </c>
      <c r="AT7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78" s="108">
        <f>IF(I33="",L19*(F19/40)^2,I33)</f>
        <v>0.5</v>
      </c>
      <c r="AV78" s="108">
        <f>F19</f>
        <v>40</v>
      </c>
      <c r="AW78" s="108">
        <f>AT78*1600/(8*L19)</f>
        <v>303.60000000000002</v>
      </c>
      <c r="AX78" s="109">
        <f>IF(B24="使用電線-2",V24,IF(B25="使用電線-2",V25,IF(B26="使用電線-2",V26,IF(B27="使用電線-2",V27,IF(B28="使用電線-2",V28,IF(B29="使用電線-2",V29,""))))))</f>
        <v>21000</v>
      </c>
      <c r="AY78" s="108">
        <f>IF(B24="使用電線-2",L24,IF(B25="使用電線-2",L25,IF(B26="使用電線-2",L26,IF(B27="使用電線-2",L27,IF(B28="使用電線-2",L28,IF(B29="使用電線-2",L29,""))))))</f>
        <v>37.164999999999999</v>
      </c>
      <c r="AZ78" s="110">
        <f>IF(B24="使用電線-2",W24,IF(B25="使用電線-2",W25,IF(B26="使用電線-2",W26,IF(B27="使用電線-2",W27,IF(B28="使用電線-2",W28,IF(B29="使用電線-2",W29,""))))))</f>
        <v>115</v>
      </c>
      <c r="BB78" s="107" t="str">
        <f>IF(B25="使用電線-3",O25,IF(B26="使用電線-3",O26,IF(B27="使用電線-3",O27,IF(B28="使用電線-3",O28,IF(B29="使用電線-3",O29,"")))))</f>
        <v/>
      </c>
      <c r="BC78" s="108" t="str">
        <f>IF(B25="使用電線-3",M25+U25,IF(B26="使用電線-3",M26+U26,IF(B27="使用電線-3",M27+U27,IF(B28="使用電線-3",M28+U28,IF(B29="使用電線-3",M29+U29,"")))))</f>
        <v/>
      </c>
      <c r="BD78" s="108">
        <f>IF(N33="",L19*(F19/40)^2,N33)</f>
        <v>0.5</v>
      </c>
      <c r="BE78" s="108">
        <f>F19</f>
        <v>40</v>
      </c>
      <c r="BF78" s="108" t="e">
        <f>BC78*1600/(8*L19)</f>
        <v>#VALUE!</v>
      </c>
      <c r="BG78" s="109" t="str">
        <f>IF(B25="使用電線-3",V25,IF(B26="使用電線-3",V26,IF(B27="使用電線-3",V27,IF(B28="使用電線-3",V28,IF(B29="使用電線-3",V29,"")))))</f>
        <v/>
      </c>
      <c r="BH78" s="108" t="str">
        <f>IF(B25="使用電線-3",L25,IF(B26="使用電線-3",L26,IF(B27="使用電線-3",L27,IF(B28="使用電線-3",L28,IF(B29="使用電線-3",L29,"")))))</f>
        <v/>
      </c>
      <c r="BI78" s="110" t="str">
        <f>IF(B25="使用電線-3",W25,IF(B26="使用電線-3",W26,IF(B27="使用電線-3",W27,IF(B28="使用電線-3",W28,IF(B29="使用電線-3",W29,"")))))</f>
        <v/>
      </c>
      <c r="BK78" s="107" t="str">
        <f>IF(B26="使用電線-4",O26,IF(B27="使用電線-4",O27,IF(B28="使用電線-4",O28,IF(B29="使用電線-4",O29,""))))</f>
        <v/>
      </c>
      <c r="BL78" s="108" t="str">
        <f>IF(B26="使用電線-4",M26+U26,IF(B27="使用電線-4",M27+U27,IF(B28="使用電線-4",M28+U28,IF(B29="使用電線-4",M29+U29,""))))</f>
        <v/>
      </c>
      <c r="BM78" s="108">
        <f>IF(C47="",L19*(F19/40)^2,C47)</f>
        <v>0.5</v>
      </c>
      <c r="BN78" s="108">
        <f>F19</f>
        <v>40</v>
      </c>
      <c r="BO78" s="127" t="e">
        <f>BL78*1600/(8*L19)</f>
        <v>#VALUE!</v>
      </c>
      <c r="BP78" s="109" t="str">
        <f>IF(B26="使用電線-4",V26,IF(B27="使用電線-4",V27,IF(B28="使用電線-4",V28,IF(B29="使用電線-4",V29,""))))</f>
        <v/>
      </c>
      <c r="BQ78" s="108" t="str">
        <f>IF(B26="使用電線-4",L26,IF(B27="使用電線-4",L27,IF(B28="使用電線-4",L28,IF(B29="使用電線-4",L29,""))))</f>
        <v/>
      </c>
      <c r="BR78" s="110" t="str">
        <f>IF(B26="使用電線-4",W26,IF(B27="使用電線-4",W27,IF(B28="使用電線-4",W28,IF(B29="使用電線-4",W29,""))))</f>
        <v/>
      </c>
      <c r="BT78" s="107" t="str">
        <f>IF(B27="使用電線-5",O27,IF(B28="使用電線-5",O28,IF(B29="使用電線-5",O29,"")))</f>
        <v/>
      </c>
      <c r="BU78" s="108" t="str">
        <f>IF(B27="使用電線-5",M27+U27,IF(B28="使用電線-5",M28+U28,IF(B29="使用電線-5",M29+U29,"")))</f>
        <v/>
      </c>
      <c r="BV78" s="108">
        <f>IF(I47="",L19*(F19/40)^2,I47)</f>
        <v>0.5</v>
      </c>
      <c r="BW78" s="108">
        <f>F19</f>
        <v>40</v>
      </c>
      <c r="BX78" s="127" t="e">
        <f>BU78*1600/(8*L19)</f>
        <v>#VALUE!</v>
      </c>
      <c r="BY78" s="109" t="str">
        <f>IF(B27="使用電線-5",V27,IF(B28="使用電線-5",V28,IF(B29="使用電線-5",V29,"")))</f>
        <v/>
      </c>
      <c r="BZ78" s="108" t="str">
        <f>IF(B27="使用電線-5",L27,IF(B28="使用電線-5",L28,IF(B29="使用電線-5",L29,"")))</f>
        <v/>
      </c>
      <c r="CA78" s="110" t="str">
        <f>IF(B27="使用電線-5",W27,IF(B28="使用電線-5",W28,IF(B29="使用電線-5",W29,"")))</f>
        <v/>
      </c>
    </row>
    <row r="79" spans="10:79" ht="13.5" customHeight="1" x14ac:dyDescent="0.15">
      <c r="AH79" s="1" t="s">
        <v>146</v>
      </c>
    </row>
    <row r="80" spans="10:79" ht="13.5" customHeight="1" thickBot="1" x14ac:dyDescent="0.2"/>
    <row r="81" spans="36:79" ht="13.5" customHeight="1" x14ac:dyDescent="0.15">
      <c r="AJ81" s="2" t="s">
        <v>144</v>
      </c>
      <c r="AK81" s="111" t="s">
        <v>145</v>
      </c>
      <c r="AL81" s="12" t="s">
        <v>7</v>
      </c>
      <c r="AM81" s="12" t="s">
        <v>0</v>
      </c>
      <c r="AN81" s="12" t="s">
        <v>1</v>
      </c>
      <c r="AO81" s="12" t="s">
        <v>2</v>
      </c>
      <c r="AP81" s="12" t="s">
        <v>5</v>
      </c>
      <c r="AQ81" s="13" t="s">
        <v>6</v>
      </c>
      <c r="AS81" s="2" t="s">
        <v>144</v>
      </c>
      <c r="AT81" s="111" t="s">
        <v>145</v>
      </c>
      <c r="AU81" s="12" t="s">
        <v>7</v>
      </c>
      <c r="AV81" s="12" t="s">
        <v>0</v>
      </c>
      <c r="AW81" s="12" t="s">
        <v>1</v>
      </c>
      <c r="AX81" s="12" t="s">
        <v>2</v>
      </c>
      <c r="AY81" s="12" t="s">
        <v>5</v>
      </c>
      <c r="AZ81" s="13" t="s">
        <v>6</v>
      </c>
      <c r="BB81" s="2" t="s">
        <v>144</v>
      </c>
      <c r="BC81" s="111" t="s">
        <v>145</v>
      </c>
      <c r="BD81" s="12" t="s">
        <v>7</v>
      </c>
      <c r="BE81" s="12" t="s">
        <v>0</v>
      </c>
      <c r="BF81" s="12" t="s">
        <v>1</v>
      </c>
      <c r="BG81" s="12" t="s">
        <v>2</v>
      </c>
      <c r="BH81" s="12" t="s">
        <v>5</v>
      </c>
      <c r="BI81" s="13" t="s">
        <v>6</v>
      </c>
      <c r="BK81" s="2" t="s">
        <v>144</v>
      </c>
      <c r="BL81" s="111" t="s">
        <v>145</v>
      </c>
      <c r="BM81" s="12" t="s">
        <v>7</v>
      </c>
      <c r="BN81" s="12" t="s">
        <v>0</v>
      </c>
      <c r="BO81" s="12" t="s">
        <v>1</v>
      </c>
      <c r="BP81" s="12" t="s">
        <v>2</v>
      </c>
      <c r="BQ81" s="12" t="s">
        <v>5</v>
      </c>
      <c r="BR81" s="13" t="s">
        <v>6</v>
      </c>
      <c r="BT81" s="2" t="s">
        <v>144</v>
      </c>
      <c r="BU81" s="111" t="s">
        <v>145</v>
      </c>
      <c r="BV81" s="12" t="s">
        <v>7</v>
      </c>
      <c r="BW81" s="12" t="s">
        <v>0</v>
      </c>
      <c r="BX81" s="12" t="s">
        <v>1</v>
      </c>
      <c r="BY81" s="12" t="s">
        <v>2</v>
      </c>
      <c r="BZ81" s="12" t="s">
        <v>5</v>
      </c>
      <c r="CA81" s="13" t="s">
        <v>6</v>
      </c>
    </row>
    <row r="82" spans="36:79" ht="13.5" customHeight="1" x14ac:dyDescent="0.15">
      <c r="AJ82" s="16">
        <f>-AJ85+AJ88</f>
        <v>0.27125628951970937</v>
      </c>
      <c r="AK82" s="17">
        <f>-AJ91</f>
        <v>-0.19402939730735849</v>
      </c>
      <c r="AL82" s="18">
        <f>IF(AND(AP85&lt;0,AQ85&lt;0),AQ82*1.2,IF(AND(AP85&gt;0,AQ85&gt;0),AP82*0.8,10))</f>
        <v>0.36083655436978734</v>
      </c>
      <c r="AM82" s="18">
        <f>AL82^3+AJ82*AL82+AK82</f>
        <v>-4.9168203712448927E-2</v>
      </c>
      <c r="AN82" s="18">
        <f>3*AL82^2+AJ82</f>
        <v>0.66186534642809081</v>
      </c>
      <c r="AO82" s="18">
        <f t="shared" ref="AO82:AO96" si="20">AL82-AM82/AN82</f>
        <v>0.43512387576800904</v>
      </c>
      <c r="AP82" s="18">
        <f>-SQRT(ABS(-4*3*AJ82))/6</f>
        <v>-0.30069712864148945</v>
      </c>
      <c r="AQ82" s="19">
        <f>SQRT(ABS(-4*3*AJ82))/6</f>
        <v>0.30069712864148945</v>
      </c>
      <c r="AS82" s="16">
        <f>-AS85+AS88</f>
        <v>0.19039931963637061</v>
      </c>
      <c r="AT82" s="17">
        <f>-AS91</f>
        <v>-0.17900462524655153</v>
      </c>
      <c r="AU82" s="18">
        <f>IF(AND(AY85&lt;0,AZ85&lt;0),AZ82*1.2,IF(AND(AY85&gt;0,AZ85&gt;0),AY82*0.8,10))</f>
        <v>0.30231055791265027</v>
      </c>
      <c r="AV82" s="18">
        <f>AU82^3+AS82*AU82+AT82</f>
        <v>-9.3816232919270409E-2</v>
      </c>
      <c r="AW82" s="18">
        <f>3*AU82^2+AS82</f>
        <v>0.46457433991274422</v>
      </c>
      <c r="AX82" s="18">
        <f t="shared" ref="AX82:AX96" si="21">AU82-AV82/AW82</f>
        <v>0.5042507531823478</v>
      </c>
      <c r="AY82" s="18">
        <f>-SQRT(ABS(-4*3*AS82))/6</f>
        <v>-0.25192546492720858</v>
      </c>
      <c r="AZ82" s="19">
        <f>SQRT(ABS(-4*3*AS82))/6</f>
        <v>0.25192546492720858</v>
      </c>
      <c r="BB82" s="16" t="e">
        <f>-BB85+BB88</f>
        <v>#VALUE!</v>
      </c>
      <c r="BC82" s="17" t="e">
        <f>-BB91</f>
        <v>#VALUE!</v>
      </c>
      <c r="BD82" s="18" t="e">
        <f>IF(AND(BH85&lt;0,BI85&lt;0),BI82*1.2,IF(AND(BH85&gt;0,BI85&gt;0),BH82*0.8,10))</f>
        <v>#VALUE!</v>
      </c>
      <c r="BE82" s="18" t="e">
        <f>BD82^3+BB82*BD82+BC82</f>
        <v>#VALUE!</v>
      </c>
      <c r="BF82" s="18" t="e">
        <f>3*BD82^2+BB82</f>
        <v>#VALUE!</v>
      </c>
      <c r="BG82" s="18" t="e">
        <f t="shared" ref="BG82:BG96" si="22">BD82-BE82/BF82</f>
        <v>#VALUE!</v>
      </c>
      <c r="BH82" s="18" t="e">
        <f>-SQRT(ABS(-4*3*BB82))/6</f>
        <v>#VALUE!</v>
      </c>
      <c r="BI82" s="19" t="e">
        <f>SQRT(ABS(-4*3*BB82))/6</f>
        <v>#VALUE!</v>
      </c>
      <c r="BK82" s="16" t="e">
        <f>-BK85+BK88</f>
        <v>#VALUE!</v>
      </c>
      <c r="BL82" s="17" t="e">
        <f>-BK91</f>
        <v>#VALUE!</v>
      </c>
      <c r="BM82" s="18" t="e">
        <f>IF(AND(BQ85&lt;0,BR85&lt;0),BR82*1.2,IF(AND(BQ85&gt;0,BR85&gt;0),BQ82*0.8,10))</f>
        <v>#VALUE!</v>
      </c>
      <c r="BN82" s="18" t="e">
        <f>BM82^3+BK82*BM82+BL82</f>
        <v>#VALUE!</v>
      </c>
      <c r="BO82" s="18" t="e">
        <f>3*BM82^2+BK82</f>
        <v>#VALUE!</v>
      </c>
      <c r="BP82" s="18" t="e">
        <f t="shared" ref="BP82:BP96" si="23">BM82-BN82/BO82</f>
        <v>#VALUE!</v>
      </c>
      <c r="BQ82" s="18" t="e">
        <f>-SQRT(ABS(-4*3*BK82))/6</f>
        <v>#VALUE!</v>
      </c>
      <c r="BR82" s="19" t="e">
        <f>SQRT(ABS(-4*3*BK82))/6</f>
        <v>#VALUE!</v>
      </c>
      <c r="BT82" s="16" t="e">
        <f>-BT85+BT88</f>
        <v>#VALUE!</v>
      </c>
      <c r="BU82" s="17" t="e">
        <f>-BT91</f>
        <v>#VALUE!</v>
      </c>
      <c r="BV82" s="18" t="e">
        <f>IF(AND(BZ85&lt;0,CA85&lt;0),CA82*1.2,IF(AND(BZ85&gt;0,CA85&gt;0),BZ82*0.8,10))</f>
        <v>#VALUE!</v>
      </c>
      <c r="BW82" s="18" t="e">
        <f>BV82^3+BT82*BV82+BU82</f>
        <v>#VALUE!</v>
      </c>
      <c r="BX82" s="18" t="e">
        <f>3*BV82^2+BT82</f>
        <v>#VALUE!</v>
      </c>
      <c r="BY82" s="18" t="e">
        <f t="shared" ref="BY82:BY96" si="24">BV82-BW82/BX82</f>
        <v>#VALUE!</v>
      </c>
      <c r="BZ82" s="18" t="e">
        <f>-SQRT(ABS(-4*3*BT82))/6</f>
        <v>#VALUE!</v>
      </c>
      <c r="CA82" s="19" t="e">
        <f>SQRT(ABS(-4*3*BT82))/6</f>
        <v>#VALUE!</v>
      </c>
    </row>
    <row r="83" spans="36:79" ht="13.5" customHeight="1" x14ac:dyDescent="0.15">
      <c r="AJ83" s="267"/>
      <c r="AK83" s="268"/>
      <c r="AL83" s="18">
        <f t="shared" ref="AL83:AL95" si="25">AO82</f>
        <v>0.43512387576800904</v>
      </c>
      <c r="AM83" s="18">
        <f>AL83^3+AJ82*AL83+AK82</f>
        <v>6.3839069189057518E-3</v>
      </c>
      <c r="AN83" s="18">
        <f>3*AL83^2+AJ82</f>
        <v>0.83925465130983068</v>
      </c>
      <c r="AO83" s="18">
        <f t="shared" si="20"/>
        <v>0.42751723705716921</v>
      </c>
      <c r="AP83" s="6"/>
      <c r="AQ83" s="7"/>
      <c r="AS83" s="267"/>
      <c r="AT83" s="268"/>
      <c r="AU83" s="18">
        <f t="shared" ref="AU83:AU95" si="26">AX82</f>
        <v>0.5042507531823478</v>
      </c>
      <c r="AV83" s="18">
        <f>AU83^3+AS82*AU83+AT82</f>
        <v>4.5219620132626925E-2</v>
      </c>
      <c r="AW83" s="18">
        <f>3*AU83^2+AS82</f>
        <v>0.9532057858912657</v>
      </c>
      <c r="AX83" s="18">
        <f t="shared" si="21"/>
        <v>0.45681123822981767</v>
      </c>
      <c r="AY83" s="6"/>
      <c r="AZ83" s="7"/>
      <c r="BB83" s="267"/>
      <c r="BC83" s="268"/>
      <c r="BD83" s="18" t="e">
        <f t="shared" ref="BD83:BD95" si="27">BG82</f>
        <v>#VALUE!</v>
      </c>
      <c r="BE83" s="18" t="e">
        <f>BD83^3+BB82*BD83+BC82</f>
        <v>#VALUE!</v>
      </c>
      <c r="BF83" s="18" t="e">
        <f>3*BD83^2+BB82</f>
        <v>#VALUE!</v>
      </c>
      <c r="BG83" s="18" t="e">
        <f t="shared" si="22"/>
        <v>#VALUE!</v>
      </c>
      <c r="BH83" s="6"/>
      <c r="BI83" s="7"/>
      <c r="BK83" s="267"/>
      <c r="BL83" s="268"/>
      <c r="BM83" s="18" t="e">
        <f t="shared" ref="BM83:BM95" si="28">BP82</f>
        <v>#VALUE!</v>
      </c>
      <c r="BN83" s="18" t="e">
        <f>BM83^3+BK82*BM83+BL82</f>
        <v>#VALUE!</v>
      </c>
      <c r="BO83" s="18" t="e">
        <f>3*BM83^2+BK82</f>
        <v>#VALUE!</v>
      </c>
      <c r="BP83" s="18" t="e">
        <f t="shared" si="23"/>
        <v>#VALUE!</v>
      </c>
      <c r="BQ83" s="6"/>
      <c r="BR83" s="7"/>
      <c r="BT83" s="267"/>
      <c r="BU83" s="268"/>
      <c r="BV83" s="18" t="e">
        <f t="shared" ref="BV83:BV95" si="29">BY82</f>
        <v>#VALUE!</v>
      </c>
      <c r="BW83" s="18" t="e">
        <f>BV83^3+BT82*BV83+BU82</f>
        <v>#VALUE!</v>
      </c>
      <c r="BX83" s="18" t="e">
        <f>3*BV83^2+BT82</f>
        <v>#VALUE!</v>
      </c>
      <c r="BY83" s="18" t="e">
        <f t="shared" si="24"/>
        <v>#VALUE!</v>
      </c>
      <c r="BZ83" s="6"/>
      <c r="CA83" s="7"/>
    </row>
    <row r="84" spans="36:79" ht="13.5" customHeight="1" x14ac:dyDescent="0.15">
      <c r="AJ84" s="269" t="s">
        <v>8</v>
      </c>
      <c r="AK84" s="270"/>
      <c r="AL84" s="18">
        <f t="shared" si="25"/>
        <v>0.42751723705716921</v>
      </c>
      <c r="AM84" s="18">
        <f>AL84^3+AJ82*AL84+AK82</f>
        <v>7.5089918331633365E-5</v>
      </c>
      <c r="AN84" s="18">
        <f>3*AL84^2+AJ82</f>
        <v>0.81956925346269682</v>
      </c>
      <c r="AO84" s="18">
        <f t="shared" si="20"/>
        <v>0.42742561585735678</v>
      </c>
      <c r="AP84" s="14" t="s">
        <v>3</v>
      </c>
      <c r="AQ84" s="15" t="s">
        <v>4</v>
      </c>
      <c r="AS84" s="269" t="s">
        <v>8</v>
      </c>
      <c r="AT84" s="270"/>
      <c r="AU84" s="18">
        <f t="shared" si="26"/>
        <v>0.45681123822981767</v>
      </c>
      <c r="AV84" s="18">
        <f>AU84^3+AS82*AU84+AT82</f>
        <v>3.2976974372146417E-3</v>
      </c>
      <c r="AW84" s="18">
        <f>3*AU84^2+AS82</f>
        <v>0.81642884175554831</v>
      </c>
      <c r="AX84" s="18">
        <f t="shared" si="21"/>
        <v>0.45277206510344492</v>
      </c>
      <c r="AY84" s="14" t="s">
        <v>3</v>
      </c>
      <c r="AZ84" s="15" t="s">
        <v>4</v>
      </c>
      <c r="BB84" s="269" t="s">
        <v>8</v>
      </c>
      <c r="BC84" s="270"/>
      <c r="BD84" s="18" t="e">
        <f t="shared" si="27"/>
        <v>#VALUE!</v>
      </c>
      <c r="BE84" s="18" t="e">
        <f>BD84^3+BB82*BD84+BC82</f>
        <v>#VALUE!</v>
      </c>
      <c r="BF84" s="18" t="e">
        <f>3*BD84^2+BB82</f>
        <v>#VALUE!</v>
      </c>
      <c r="BG84" s="18" t="e">
        <f t="shared" si="22"/>
        <v>#VALUE!</v>
      </c>
      <c r="BH84" s="14" t="s">
        <v>3</v>
      </c>
      <c r="BI84" s="15" t="s">
        <v>4</v>
      </c>
      <c r="BK84" s="269" t="s">
        <v>8</v>
      </c>
      <c r="BL84" s="270"/>
      <c r="BM84" s="18" t="e">
        <f t="shared" si="28"/>
        <v>#VALUE!</v>
      </c>
      <c r="BN84" s="18" t="e">
        <f>BM84^3+BK82*BM84+BL82</f>
        <v>#VALUE!</v>
      </c>
      <c r="BO84" s="18" t="e">
        <f>3*BM84^2+BK82</f>
        <v>#VALUE!</v>
      </c>
      <c r="BP84" s="18" t="e">
        <f t="shared" si="23"/>
        <v>#VALUE!</v>
      </c>
      <c r="BQ84" s="14" t="s">
        <v>3</v>
      </c>
      <c r="BR84" s="15" t="s">
        <v>4</v>
      </c>
      <c r="BT84" s="269" t="s">
        <v>8</v>
      </c>
      <c r="BU84" s="270"/>
      <c r="BV84" s="18" t="e">
        <f t="shared" si="29"/>
        <v>#VALUE!</v>
      </c>
      <c r="BW84" s="18" t="e">
        <f>BV84^3+BT82*BV84+BU82</f>
        <v>#VALUE!</v>
      </c>
      <c r="BX84" s="18" t="e">
        <f>3*BV84^2+BT82</f>
        <v>#VALUE!</v>
      </c>
      <c r="BY84" s="18" t="e">
        <f t="shared" si="24"/>
        <v>#VALUE!</v>
      </c>
      <c r="BZ84" s="14" t="s">
        <v>3</v>
      </c>
      <c r="CA84" s="15" t="s">
        <v>4</v>
      </c>
    </row>
    <row r="85" spans="36:79" ht="13.5" customHeight="1" x14ac:dyDescent="0.15">
      <c r="AJ85" s="269">
        <f>(AL98^2)+3*(AM98^2)*AQ98*(AQ93-15)/(8*10^7)</f>
        <v>-5.5999999999999994E-2</v>
      </c>
      <c r="AK85" s="270"/>
      <c r="AL85" s="18">
        <f t="shared" si="25"/>
        <v>0.42742561585735678</v>
      </c>
      <c r="AM85" s="18">
        <f>AL85^3+AJ82*AL85+AK82</f>
        <v>1.0765539737445096E-8</v>
      </c>
      <c r="AN85" s="18">
        <f>3*AL85^2+AJ82</f>
        <v>0.81933426079283145</v>
      </c>
      <c r="AO85" s="18">
        <f t="shared" si="20"/>
        <v>0.42742560271798224</v>
      </c>
      <c r="AP85" s="18">
        <f>AP82^3+AJ82*AP82+AK82</f>
        <v>-0.30278404715338669</v>
      </c>
      <c r="AQ85" s="19">
        <f>AQ82^3+AJ82*AQ82+AK82</f>
        <v>-8.5274747461330291E-2</v>
      </c>
      <c r="AS85" s="269">
        <f>(AU98^2)+3*(AV98^2)*AZ98*(AZ93-15)/(8*10^7)</f>
        <v>4.300000000000001E-2</v>
      </c>
      <c r="AT85" s="270"/>
      <c r="AU85" s="18">
        <f t="shared" si="26"/>
        <v>0.45277206510344492</v>
      </c>
      <c r="AV85" s="18">
        <f>AU85^3+AS82*AU85+AT82</f>
        <v>2.2292617012059646E-5</v>
      </c>
      <c r="AW85" s="18">
        <f>3*AU85^2+AS82</f>
        <v>0.80540694845048499</v>
      </c>
      <c r="AX85" s="18">
        <f t="shared" si="21"/>
        <v>0.45274438640380749</v>
      </c>
      <c r="AY85" s="18">
        <f>AY82^3+AS82*AY82+AT82</f>
        <v>-0.24295987474150732</v>
      </c>
      <c r="AZ85" s="19">
        <f>AZ82^3+AS82*AZ82+AT82</f>
        <v>-0.11504937575159573</v>
      </c>
      <c r="BB85" s="269" t="e">
        <f>(BD98^2)+3*(BE98^2)*BI98*(BI93-15)/(8*10^7)</f>
        <v>#VALUE!</v>
      </c>
      <c r="BC85" s="270"/>
      <c r="BD85" s="18" t="e">
        <f t="shared" si="27"/>
        <v>#VALUE!</v>
      </c>
      <c r="BE85" s="18" t="e">
        <f>BD85^3+BB82*BD85+BC82</f>
        <v>#VALUE!</v>
      </c>
      <c r="BF85" s="18" t="e">
        <f>3*BD85^2+BB82</f>
        <v>#VALUE!</v>
      </c>
      <c r="BG85" s="18" t="e">
        <f t="shared" si="22"/>
        <v>#VALUE!</v>
      </c>
      <c r="BH85" s="18" t="e">
        <f>BH82^3+BB82*BH82+BC82</f>
        <v>#VALUE!</v>
      </c>
      <c r="BI85" s="19" t="e">
        <f>BI82^3+BB82*BI82+BC82</f>
        <v>#VALUE!</v>
      </c>
      <c r="BK85" s="269" t="e">
        <f>(BM98^2)+3*(BN98^2)*BR98*(BR93-15)/(8*10^7)</f>
        <v>#VALUE!</v>
      </c>
      <c r="BL85" s="270"/>
      <c r="BM85" s="18" t="e">
        <f t="shared" si="28"/>
        <v>#VALUE!</v>
      </c>
      <c r="BN85" s="18" t="e">
        <f>BM85^3+BK82*BM85+BL82</f>
        <v>#VALUE!</v>
      </c>
      <c r="BO85" s="18" t="e">
        <f>3*BM85^2+BK82</f>
        <v>#VALUE!</v>
      </c>
      <c r="BP85" s="18" t="e">
        <f t="shared" si="23"/>
        <v>#VALUE!</v>
      </c>
      <c r="BQ85" s="18" t="e">
        <f>BQ82^3+BK82*BQ82+BL82</f>
        <v>#VALUE!</v>
      </c>
      <c r="BR85" s="19" t="e">
        <f>BR82^3+BK82*BR82+BL82</f>
        <v>#VALUE!</v>
      </c>
      <c r="BT85" s="269" t="e">
        <f>(BV98^2)+3*(BW98^2)*CA98*(CA93-15)/(8*10^7)</f>
        <v>#VALUE!</v>
      </c>
      <c r="BU85" s="270"/>
      <c r="BV85" s="18" t="e">
        <f t="shared" si="29"/>
        <v>#VALUE!</v>
      </c>
      <c r="BW85" s="18" t="e">
        <f>BV85^3+BT82*BV85+BU82</f>
        <v>#VALUE!</v>
      </c>
      <c r="BX85" s="18" t="e">
        <f>3*BV85^2+BT82</f>
        <v>#VALUE!</v>
      </c>
      <c r="BY85" s="18" t="e">
        <f t="shared" si="24"/>
        <v>#VALUE!</v>
      </c>
      <c r="BZ85" s="18" t="e">
        <f>BZ82^3+BT82*BZ82+BU82</f>
        <v>#VALUE!</v>
      </c>
      <c r="CA85" s="19" t="e">
        <f>CA82^3+BT82*CA82+BU82</f>
        <v>#VALUE!</v>
      </c>
    </row>
    <row r="86" spans="36:79" ht="13.5" customHeight="1" x14ac:dyDescent="0.15">
      <c r="AJ86" s="267"/>
      <c r="AK86" s="268"/>
      <c r="AL86" s="18">
        <f t="shared" si="25"/>
        <v>0.42742560271798224</v>
      </c>
      <c r="AM86" s="18">
        <f>AL86^3+AJ82*AL86+AK82</f>
        <v>2.4980018054066022E-16</v>
      </c>
      <c r="AN86" s="18">
        <f>3*AL86^2+AJ82</f>
        <v>0.81933422709620052</v>
      </c>
      <c r="AO86" s="18">
        <f t="shared" si="20"/>
        <v>0.42742560271798197</v>
      </c>
      <c r="AP86" s="31"/>
      <c r="AQ86" s="32"/>
      <c r="AS86" s="267"/>
      <c r="AT86" s="268"/>
      <c r="AU86" s="18">
        <f t="shared" si="26"/>
        <v>0.45274438640380749</v>
      </c>
      <c r="AV86" s="18">
        <f>AU86^3+AS82*AU86+AT82</f>
        <v>1.0405989681050443E-9</v>
      </c>
      <c r="AW86" s="18">
        <f>3*AU86^2+AS82</f>
        <v>0.80533175789685096</v>
      </c>
      <c r="AX86" s="18">
        <f t="shared" si="21"/>
        <v>0.45274438511167048</v>
      </c>
      <c r="AY86" s="31"/>
      <c r="AZ86" s="32"/>
      <c r="BB86" s="267"/>
      <c r="BC86" s="268"/>
      <c r="BD86" s="18" t="e">
        <f t="shared" si="27"/>
        <v>#VALUE!</v>
      </c>
      <c r="BE86" s="18" t="e">
        <f>BD86^3+BB82*BD86+BC82</f>
        <v>#VALUE!</v>
      </c>
      <c r="BF86" s="18" t="e">
        <f>3*BD86^2+BB82</f>
        <v>#VALUE!</v>
      </c>
      <c r="BG86" s="18" t="e">
        <f t="shared" si="22"/>
        <v>#VALUE!</v>
      </c>
      <c r="BH86" s="31"/>
      <c r="BI86" s="32"/>
      <c r="BK86" s="267"/>
      <c r="BL86" s="268"/>
      <c r="BM86" s="18" t="e">
        <f t="shared" si="28"/>
        <v>#VALUE!</v>
      </c>
      <c r="BN86" s="18" t="e">
        <f>BM86^3+BK82*BM86+BL82</f>
        <v>#VALUE!</v>
      </c>
      <c r="BO86" s="18" t="e">
        <f>3*BM86^2+BK82</f>
        <v>#VALUE!</v>
      </c>
      <c r="BP86" s="18" t="e">
        <f t="shared" si="23"/>
        <v>#VALUE!</v>
      </c>
      <c r="BQ86" s="31"/>
      <c r="BR86" s="32"/>
      <c r="BT86" s="267"/>
      <c r="BU86" s="268"/>
      <c r="BV86" s="18" t="e">
        <f t="shared" si="29"/>
        <v>#VALUE!</v>
      </c>
      <c r="BW86" s="18" t="e">
        <f>BV86^3+BT82*BV86+BU82</f>
        <v>#VALUE!</v>
      </c>
      <c r="BX86" s="18" t="e">
        <f>3*BV86^2+BT82</f>
        <v>#VALUE!</v>
      </c>
      <c r="BY86" s="18" t="e">
        <f t="shared" si="24"/>
        <v>#VALUE!</v>
      </c>
      <c r="BZ86" s="31"/>
      <c r="CA86" s="32"/>
    </row>
    <row r="87" spans="36:79" ht="13.5" customHeight="1" x14ac:dyDescent="0.15">
      <c r="AJ87" s="269" t="s">
        <v>9</v>
      </c>
      <c r="AK87" s="270"/>
      <c r="AL87" s="18">
        <f t="shared" si="25"/>
        <v>0.42742560271798197</v>
      </c>
      <c r="AM87" s="18">
        <f>AL87^3+AJ82*AL87+AK82</f>
        <v>0</v>
      </c>
      <c r="AN87" s="18">
        <f>3*AL87^2+AJ82</f>
        <v>0.81933422709619985</v>
      </c>
      <c r="AO87" s="18">
        <f t="shared" si="20"/>
        <v>0.42742560271798197</v>
      </c>
      <c r="AP87" s="31"/>
      <c r="AQ87" s="32"/>
      <c r="AS87" s="269" t="s">
        <v>9</v>
      </c>
      <c r="AT87" s="270"/>
      <c r="AU87" s="18">
        <f t="shared" si="26"/>
        <v>0.45274438511167048</v>
      </c>
      <c r="AV87" s="18">
        <f>AU87^3+AS82*AU87+AT82</f>
        <v>0</v>
      </c>
      <c r="AW87" s="18">
        <f>3*AU87^2+AS82</f>
        <v>0.80533175438680438</v>
      </c>
      <c r="AX87" s="18">
        <f t="shared" si="21"/>
        <v>0.45274438511167048</v>
      </c>
      <c r="AY87" s="31"/>
      <c r="AZ87" s="32"/>
      <c r="BB87" s="269" t="s">
        <v>9</v>
      </c>
      <c r="BC87" s="270"/>
      <c r="BD87" s="18" t="e">
        <f t="shared" si="27"/>
        <v>#VALUE!</v>
      </c>
      <c r="BE87" s="18" t="e">
        <f>BD87^3+BB82*BD87+BC82</f>
        <v>#VALUE!</v>
      </c>
      <c r="BF87" s="18" t="e">
        <f>3*BD87^2+BB82</f>
        <v>#VALUE!</v>
      </c>
      <c r="BG87" s="18" t="e">
        <f t="shared" si="22"/>
        <v>#VALUE!</v>
      </c>
      <c r="BH87" s="31"/>
      <c r="BI87" s="32"/>
      <c r="BK87" s="269" t="s">
        <v>9</v>
      </c>
      <c r="BL87" s="270"/>
      <c r="BM87" s="18" t="e">
        <f t="shared" si="28"/>
        <v>#VALUE!</v>
      </c>
      <c r="BN87" s="18" t="e">
        <f>BM87^3+BK82*BM87+BL82</f>
        <v>#VALUE!</v>
      </c>
      <c r="BO87" s="18" t="e">
        <f>3*BM87^2+BK82</f>
        <v>#VALUE!</v>
      </c>
      <c r="BP87" s="18" t="e">
        <f t="shared" si="23"/>
        <v>#VALUE!</v>
      </c>
      <c r="BQ87" s="31"/>
      <c r="BR87" s="32"/>
      <c r="BT87" s="269" t="s">
        <v>9</v>
      </c>
      <c r="BU87" s="270"/>
      <c r="BV87" s="18" t="e">
        <f t="shared" si="29"/>
        <v>#VALUE!</v>
      </c>
      <c r="BW87" s="18" t="e">
        <f>BV87^3+BT82*BV87+BU82</f>
        <v>#VALUE!</v>
      </c>
      <c r="BX87" s="18" t="e">
        <f>3*BV87^2+BT82</f>
        <v>#VALUE!</v>
      </c>
      <c r="BY87" s="18" t="e">
        <f t="shared" si="24"/>
        <v>#VALUE!</v>
      </c>
      <c r="BZ87" s="31"/>
      <c r="CA87" s="32"/>
    </row>
    <row r="88" spans="36:79" ht="13.5" customHeight="1" x14ac:dyDescent="0.15">
      <c r="AJ88" s="277">
        <f>3*(AM98^2)*AN98/(8*AO98*AP98)</f>
        <v>0.2152562895197094</v>
      </c>
      <c r="AK88" s="278"/>
      <c r="AL88" s="118">
        <f t="shared" si="25"/>
        <v>0.42742560271798197</v>
      </c>
      <c r="AM88" s="118">
        <f>AL88^3+AJ82*AL88+AK82</f>
        <v>0</v>
      </c>
      <c r="AN88" s="118">
        <f>3*AL88^2+AJ82</f>
        <v>0.81933422709619985</v>
      </c>
      <c r="AO88" s="118">
        <f t="shared" si="20"/>
        <v>0.42742560271798197</v>
      </c>
      <c r="AP88" s="116"/>
      <c r="AQ88" s="117"/>
      <c r="AS88" s="277">
        <f>3*(AV98^2)*AW98/(8*AX98*AY98)</f>
        <v>0.23339931963637062</v>
      </c>
      <c r="AT88" s="278"/>
      <c r="AU88" s="118">
        <f t="shared" si="26"/>
        <v>0.45274438511167048</v>
      </c>
      <c r="AV88" s="118">
        <f>AU88^3+AS82*AU88+AT82</f>
        <v>0</v>
      </c>
      <c r="AW88" s="118">
        <f>3*AU88^2+AS82</f>
        <v>0.80533175438680438</v>
      </c>
      <c r="AX88" s="118">
        <f t="shared" si="21"/>
        <v>0.45274438511167048</v>
      </c>
      <c r="AY88" s="116"/>
      <c r="AZ88" s="117"/>
      <c r="BB88" s="277" t="e">
        <f>3*(BE98^2)*BF98/(8*BG98*BH98)</f>
        <v>#VALUE!</v>
      </c>
      <c r="BC88" s="278"/>
      <c r="BD88" s="118" t="e">
        <f t="shared" si="27"/>
        <v>#VALUE!</v>
      </c>
      <c r="BE88" s="118" t="e">
        <f>BD88^3+BB82*BD88+BC82</f>
        <v>#VALUE!</v>
      </c>
      <c r="BF88" s="118" t="e">
        <f>3*BD88^2+BB82</f>
        <v>#VALUE!</v>
      </c>
      <c r="BG88" s="118" t="e">
        <f t="shared" si="22"/>
        <v>#VALUE!</v>
      </c>
      <c r="BH88" s="116"/>
      <c r="BI88" s="117"/>
      <c r="BK88" s="277" t="e">
        <f>3*(BN98^2)*BO98/(8*BP98*BQ98)</f>
        <v>#VALUE!</v>
      </c>
      <c r="BL88" s="278"/>
      <c r="BM88" s="118" t="e">
        <f t="shared" si="28"/>
        <v>#VALUE!</v>
      </c>
      <c r="BN88" s="118" t="e">
        <f>BM88^3+BK82*BM88+BL82</f>
        <v>#VALUE!</v>
      </c>
      <c r="BO88" s="118" t="e">
        <f>3*BM88^2+BK82</f>
        <v>#VALUE!</v>
      </c>
      <c r="BP88" s="118" t="e">
        <f t="shared" si="23"/>
        <v>#VALUE!</v>
      </c>
      <c r="BQ88" s="116"/>
      <c r="BR88" s="117"/>
      <c r="BT88" s="277" t="e">
        <f>3*(BW98^2)*BX98/(8*BY98*BZ98)</f>
        <v>#VALUE!</v>
      </c>
      <c r="BU88" s="278"/>
      <c r="BV88" s="118" t="e">
        <f t="shared" si="29"/>
        <v>#VALUE!</v>
      </c>
      <c r="BW88" s="118" t="e">
        <f>BV88^3+BT82*BV88+BU82</f>
        <v>#VALUE!</v>
      </c>
      <c r="BX88" s="118" t="e">
        <f>3*BV88^2+BT82</f>
        <v>#VALUE!</v>
      </c>
      <c r="BY88" s="118" t="e">
        <f t="shared" si="24"/>
        <v>#VALUE!</v>
      </c>
      <c r="BZ88" s="116"/>
      <c r="CA88" s="117"/>
    </row>
    <row r="89" spans="36:79" ht="13.5" customHeight="1" x14ac:dyDescent="0.15">
      <c r="AJ89" s="121"/>
      <c r="AK89" s="122"/>
      <c r="AL89" s="118">
        <f t="shared" si="25"/>
        <v>0.42742560271798197</v>
      </c>
      <c r="AM89" s="118">
        <f>AL89^3+AJ82*AL89+AK82</f>
        <v>0</v>
      </c>
      <c r="AN89" s="118">
        <f>3*AL89^2+AJ82</f>
        <v>0.81933422709619985</v>
      </c>
      <c r="AO89" s="118">
        <f t="shared" si="20"/>
        <v>0.42742560271798197</v>
      </c>
      <c r="AP89" s="119"/>
      <c r="AQ89" s="120"/>
      <c r="AS89" s="121"/>
      <c r="AT89" s="122"/>
      <c r="AU89" s="118">
        <f t="shared" si="26"/>
        <v>0.45274438511167048</v>
      </c>
      <c r="AV89" s="118">
        <f>AU89^3+AS82*AU89+AT82</f>
        <v>0</v>
      </c>
      <c r="AW89" s="118">
        <f>3*AU89^2+AS82</f>
        <v>0.80533175438680438</v>
      </c>
      <c r="AX89" s="118">
        <f t="shared" si="21"/>
        <v>0.45274438511167048</v>
      </c>
      <c r="AY89" s="119"/>
      <c r="AZ89" s="120"/>
      <c r="BB89" s="121"/>
      <c r="BC89" s="122"/>
      <c r="BD89" s="118" t="e">
        <f t="shared" si="27"/>
        <v>#VALUE!</v>
      </c>
      <c r="BE89" s="118" t="e">
        <f>BD89^3+BB82*BD89+BC82</f>
        <v>#VALUE!</v>
      </c>
      <c r="BF89" s="118" t="e">
        <f>3*BD89^2+BB82</f>
        <v>#VALUE!</v>
      </c>
      <c r="BG89" s="118" t="e">
        <f t="shared" si="22"/>
        <v>#VALUE!</v>
      </c>
      <c r="BH89" s="119"/>
      <c r="BI89" s="120"/>
      <c r="BK89" s="121"/>
      <c r="BL89" s="122"/>
      <c r="BM89" s="118" t="e">
        <f t="shared" si="28"/>
        <v>#VALUE!</v>
      </c>
      <c r="BN89" s="118" t="e">
        <f>BM89^3+BK82*BM89+BL82</f>
        <v>#VALUE!</v>
      </c>
      <c r="BO89" s="118" t="e">
        <f>3*BM89^2+BK82</f>
        <v>#VALUE!</v>
      </c>
      <c r="BP89" s="118" t="e">
        <f t="shared" si="23"/>
        <v>#VALUE!</v>
      </c>
      <c r="BQ89" s="119"/>
      <c r="BR89" s="120"/>
      <c r="BT89" s="121"/>
      <c r="BU89" s="122"/>
      <c r="BV89" s="118" t="e">
        <f t="shared" si="29"/>
        <v>#VALUE!</v>
      </c>
      <c r="BW89" s="118" t="e">
        <f>BV89^3+BT82*BV89+BU82</f>
        <v>#VALUE!</v>
      </c>
      <c r="BX89" s="118" t="e">
        <f>3*BV89^2+BT82</f>
        <v>#VALUE!</v>
      </c>
      <c r="BY89" s="118" t="e">
        <f t="shared" si="24"/>
        <v>#VALUE!</v>
      </c>
      <c r="BZ89" s="119"/>
      <c r="CA89" s="120"/>
    </row>
    <row r="90" spans="36:79" ht="13.5" customHeight="1" x14ac:dyDescent="0.15">
      <c r="AJ90" s="269" t="s">
        <v>10</v>
      </c>
      <c r="AK90" s="270"/>
      <c r="AL90" s="118">
        <f t="shared" si="25"/>
        <v>0.42742560271798197</v>
      </c>
      <c r="AM90" s="118">
        <f>AL90^3+AJ82*AL90+AK82</f>
        <v>0</v>
      </c>
      <c r="AN90" s="118">
        <f>3*AL90^2+AJ82</f>
        <v>0.81933422709619985</v>
      </c>
      <c r="AO90" s="118">
        <f t="shared" si="20"/>
        <v>0.42742560271798197</v>
      </c>
      <c r="AP90" s="14" t="s">
        <v>148</v>
      </c>
      <c r="AQ90" s="123">
        <f>AO96</f>
        <v>0.42742560271798197</v>
      </c>
      <c r="AS90" s="269" t="s">
        <v>10</v>
      </c>
      <c r="AT90" s="270"/>
      <c r="AU90" s="118">
        <f t="shared" si="26"/>
        <v>0.45274438511167048</v>
      </c>
      <c r="AV90" s="118">
        <f>AU90^3+AS82*AU90+AT82</f>
        <v>0</v>
      </c>
      <c r="AW90" s="118">
        <f>3*AU90^2+AS82</f>
        <v>0.80533175438680438</v>
      </c>
      <c r="AX90" s="118">
        <f t="shared" si="21"/>
        <v>0.45274438511167048</v>
      </c>
      <c r="AY90" s="14" t="s">
        <v>148</v>
      </c>
      <c r="AZ90" s="123">
        <f>AX96</f>
        <v>0.45274438511167048</v>
      </c>
      <c r="BB90" s="269" t="s">
        <v>10</v>
      </c>
      <c r="BC90" s="270"/>
      <c r="BD90" s="118" t="e">
        <f t="shared" si="27"/>
        <v>#VALUE!</v>
      </c>
      <c r="BE90" s="118" t="e">
        <f>BD90^3+BB82*BD90+BC82</f>
        <v>#VALUE!</v>
      </c>
      <c r="BF90" s="118" t="e">
        <f>3*BD90^2+BB82</f>
        <v>#VALUE!</v>
      </c>
      <c r="BG90" s="118" t="e">
        <f t="shared" si="22"/>
        <v>#VALUE!</v>
      </c>
      <c r="BH90" s="14" t="s">
        <v>148</v>
      </c>
      <c r="BI90" s="123" t="e">
        <f>BG96</f>
        <v>#VALUE!</v>
      </c>
      <c r="BK90" s="269" t="s">
        <v>10</v>
      </c>
      <c r="BL90" s="270"/>
      <c r="BM90" s="118" t="e">
        <f t="shared" si="28"/>
        <v>#VALUE!</v>
      </c>
      <c r="BN90" s="118" t="e">
        <f>BM90^3+BK82*BM90+BL82</f>
        <v>#VALUE!</v>
      </c>
      <c r="BO90" s="118" t="e">
        <f>3*BM90^2+BK82</f>
        <v>#VALUE!</v>
      </c>
      <c r="BP90" s="118" t="e">
        <f t="shared" si="23"/>
        <v>#VALUE!</v>
      </c>
      <c r="BQ90" s="14" t="s">
        <v>148</v>
      </c>
      <c r="BR90" s="123" t="e">
        <f>BP96</f>
        <v>#VALUE!</v>
      </c>
      <c r="BT90" s="269" t="s">
        <v>10</v>
      </c>
      <c r="BU90" s="270"/>
      <c r="BV90" s="118" t="e">
        <f t="shared" si="29"/>
        <v>#VALUE!</v>
      </c>
      <c r="BW90" s="118" t="e">
        <f>BV90^3+BT82*BV90+BU82</f>
        <v>#VALUE!</v>
      </c>
      <c r="BX90" s="118" t="e">
        <f>3*BV90^2+BT82</f>
        <v>#VALUE!</v>
      </c>
      <c r="BY90" s="118" t="e">
        <f t="shared" si="24"/>
        <v>#VALUE!</v>
      </c>
      <c r="BZ90" s="14" t="s">
        <v>148</v>
      </c>
      <c r="CA90" s="123" t="e">
        <f>BY96</f>
        <v>#VALUE!</v>
      </c>
    </row>
    <row r="91" spans="36:79" ht="13.5" customHeight="1" x14ac:dyDescent="0.15">
      <c r="AJ91" s="271">
        <f>AJ88*AL98*AJ98/AK98</f>
        <v>0.19402939730735849</v>
      </c>
      <c r="AK91" s="272"/>
      <c r="AL91" s="118">
        <f t="shared" si="25"/>
        <v>0.42742560271798197</v>
      </c>
      <c r="AM91" s="118">
        <f>AL91^3+AJ82*AL91+AK82</f>
        <v>0</v>
      </c>
      <c r="AN91" s="118">
        <f>3*AL91^2+AJ82</f>
        <v>0.81933422709619985</v>
      </c>
      <c r="AO91" s="118">
        <f t="shared" si="20"/>
        <v>0.42742560271798197</v>
      </c>
      <c r="AP91" s="14" t="s">
        <v>149</v>
      </c>
      <c r="AQ91" s="124">
        <f>AJ98*AM98^2/(8*AO96)</f>
        <v>337.42024366686843</v>
      </c>
      <c r="AS91" s="271">
        <f>AS88*AU98*AS98/AT98</f>
        <v>0.17900462524655153</v>
      </c>
      <c r="AT91" s="272"/>
      <c r="AU91" s="118">
        <f t="shared" si="26"/>
        <v>0.45274438511167048</v>
      </c>
      <c r="AV91" s="118">
        <f>AU91^3+AS82*AU91+AT82</f>
        <v>0</v>
      </c>
      <c r="AW91" s="118">
        <f>3*AU91^2+AS82</f>
        <v>0.80533175438680438</v>
      </c>
      <c r="AX91" s="118">
        <f t="shared" si="21"/>
        <v>0.45274438511167048</v>
      </c>
      <c r="AY91" s="14" t="s">
        <v>149</v>
      </c>
      <c r="AZ91" s="124">
        <f>AS98*AV98^2/(8*AX96)</f>
        <v>514.29625427083181</v>
      </c>
      <c r="BB91" s="271" t="e">
        <f>BB88*BD98*BB98/BC98</f>
        <v>#VALUE!</v>
      </c>
      <c r="BC91" s="272"/>
      <c r="BD91" s="118" t="e">
        <f t="shared" si="27"/>
        <v>#VALUE!</v>
      </c>
      <c r="BE91" s="118" t="e">
        <f>BD91^3+BB82*BD91+BC82</f>
        <v>#VALUE!</v>
      </c>
      <c r="BF91" s="118" t="e">
        <f>3*BD91^2+BB82</f>
        <v>#VALUE!</v>
      </c>
      <c r="BG91" s="118" t="e">
        <f t="shared" si="22"/>
        <v>#VALUE!</v>
      </c>
      <c r="BH91" s="14" t="s">
        <v>149</v>
      </c>
      <c r="BI91" s="124" t="e">
        <f>BB98*BE98^2/(8*BG96)</f>
        <v>#VALUE!</v>
      </c>
      <c r="BK91" s="271" t="e">
        <f>BK88*BM98*BK98/BL98</f>
        <v>#VALUE!</v>
      </c>
      <c r="BL91" s="272"/>
      <c r="BM91" s="118" t="e">
        <f t="shared" si="28"/>
        <v>#VALUE!</v>
      </c>
      <c r="BN91" s="118" t="e">
        <f>BM91^3+BK82*BM91+BL82</f>
        <v>#VALUE!</v>
      </c>
      <c r="BO91" s="118" t="e">
        <f>3*BM91^2+BK82</f>
        <v>#VALUE!</v>
      </c>
      <c r="BP91" s="118" t="e">
        <f t="shared" si="23"/>
        <v>#VALUE!</v>
      </c>
      <c r="BQ91" s="14" t="s">
        <v>149</v>
      </c>
      <c r="BR91" s="124" t="e">
        <f>BK98*BN98^2/(8*BP96)</f>
        <v>#VALUE!</v>
      </c>
      <c r="BT91" s="271" t="e">
        <f>BT88*BV98*BT98/BU98</f>
        <v>#VALUE!</v>
      </c>
      <c r="BU91" s="272"/>
      <c r="BV91" s="118" t="e">
        <f t="shared" si="29"/>
        <v>#VALUE!</v>
      </c>
      <c r="BW91" s="118" t="e">
        <f>BV91^3+BT82*BV91+BU82</f>
        <v>#VALUE!</v>
      </c>
      <c r="BX91" s="118" t="e">
        <f>3*BV91^2+BT82</f>
        <v>#VALUE!</v>
      </c>
      <c r="BY91" s="118" t="e">
        <f t="shared" si="24"/>
        <v>#VALUE!</v>
      </c>
      <c r="BZ91" s="14" t="s">
        <v>149</v>
      </c>
      <c r="CA91" s="124" t="e">
        <f>BT98*BW98^2/(8*BY96)</f>
        <v>#VALUE!</v>
      </c>
    </row>
    <row r="92" spans="36:79" ht="13.5" customHeight="1" x14ac:dyDescent="0.15">
      <c r="AJ92" s="125"/>
      <c r="AK92" s="126"/>
      <c r="AL92" s="118">
        <f t="shared" si="25"/>
        <v>0.42742560271798197</v>
      </c>
      <c r="AM92" s="118">
        <f>AL92^3+AJ82*AL92+AK82</f>
        <v>0</v>
      </c>
      <c r="AN92" s="118">
        <f>3*AL92^2+AJ82</f>
        <v>0.81933422709619985</v>
      </c>
      <c r="AO92" s="118">
        <f t="shared" si="20"/>
        <v>0.42742560271798197</v>
      </c>
      <c r="AP92" s="116"/>
      <c r="AQ92" s="117"/>
      <c r="AS92" s="125"/>
      <c r="AT92" s="126"/>
      <c r="AU92" s="118">
        <f t="shared" si="26"/>
        <v>0.45274438511167048</v>
      </c>
      <c r="AV92" s="118">
        <f>AU92^3+AS82*AU92+AT82</f>
        <v>0</v>
      </c>
      <c r="AW92" s="118">
        <f>3*AU92^2+AS82</f>
        <v>0.80533175438680438</v>
      </c>
      <c r="AX92" s="118">
        <f t="shared" si="21"/>
        <v>0.45274438511167048</v>
      </c>
      <c r="AY92" s="116"/>
      <c r="AZ92" s="117"/>
      <c r="BB92" s="125"/>
      <c r="BC92" s="126"/>
      <c r="BD92" s="118" t="e">
        <f t="shared" si="27"/>
        <v>#VALUE!</v>
      </c>
      <c r="BE92" s="118" t="e">
        <f>BD92^3+BB82*BD92+BC82</f>
        <v>#VALUE!</v>
      </c>
      <c r="BF92" s="118" t="e">
        <f>3*BD92^2+BB82</f>
        <v>#VALUE!</v>
      </c>
      <c r="BG92" s="118" t="e">
        <f t="shared" si="22"/>
        <v>#VALUE!</v>
      </c>
      <c r="BH92" s="116"/>
      <c r="BI92" s="117"/>
      <c r="BK92" s="125"/>
      <c r="BL92" s="126"/>
      <c r="BM92" s="118" t="e">
        <f t="shared" si="28"/>
        <v>#VALUE!</v>
      </c>
      <c r="BN92" s="118" t="e">
        <f>BM92^3+BK82*BM92+BL82</f>
        <v>#VALUE!</v>
      </c>
      <c r="BO92" s="118" t="e">
        <f>3*BM92^2+BK82</f>
        <v>#VALUE!</v>
      </c>
      <c r="BP92" s="118" t="e">
        <f t="shared" si="23"/>
        <v>#VALUE!</v>
      </c>
      <c r="BQ92" s="116"/>
      <c r="BR92" s="117"/>
      <c r="BT92" s="125"/>
      <c r="BU92" s="126"/>
      <c r="BV92" s="118" t="e">
        <f t="shared" si="29"/>
        <v>#VALUE!</v>
      </c>
      <c r="BW92" s="118" t="e">
        <f>BV92^3+BT82*BV92+BU82</f>
        <v>#VALUE!</v>
      </c>
      <c r="BX92" s="118" t="e">
        <f>3*BV92^2+BT82</f>
        <v>#VALUE!</v>
      </c>
      <c r="BY92" s="118" t="e">
        <f t="shared" si="24"/>
        <v>#VALUE!</v>
      </c>
      <c r="BZ92" s="116"/>
      <c r="CA92" s="117"/>
    </row>
    <row r="93" spans="36:79" ht="13.5" customHeight="1" x14ac:dyDescent="0.15">
      <c r="AJ93" s="125"/>
      <c r="AK93" s="126"/>
      <c r="AL93" s="118">
        <f t="shared" si="25"/>
        <v>0.42742560271798197</v>
      </c>
      <c r="AM93" s="118">
        <f>AL93^3+AJ82*AL93+AK82</f>
        <v>0</v>
      </c>
      <c r="AN93" s="118">
        <f>3*AL93^2+AJ82</f>
        <v>0.81933422709619985</v>
      </c>
      <c r="AO93" s="118">
        <f t="shared" si="20"/>
        <v>0.42742560271798197</v>
      </c>
      <c r="AP93" s="112" t="s">
        <v>147</v>
      </c>
      <c r="AQ93" s="113">
        <v>-15</v>
      </c>
      <c r="AS93" s="125"/>
      <c r="AT93" s="126"/>
      <c r="AU93" s="118">
        <f t="shared" si="26"/>
        <v>0.45274438511167048</v>
      </c>
      <c r="AV93" s="118">
        <f>AU93^3+AS82*AU93+AT82</f>
        <v>0</v>
      </c>
      <c r="AW93" s="118">
        <f>3*AU93^2+AS82</f>
        <v>0.80533175438680438</v>
      </c>
      <c r="AX93" s="118">
        <f t="shared" si="21"/>
        <v>0.45274438511167048</v>
      </c>
      <c r="AY93" s="112" t="s">
        <v>147</v>
      </c>
      <c r="AZ93" s="113">
        <v>-15</v>
      </c>
      <c r="BB93" s="125"/>
      <c r="BC93" s="126"/>
      <c r="BD93" s="118" t="e">
        <f t="shared" si="27"/>
        <v>#VALUE!</v>
      </c>
      <c r="BE93" s="118" t="e">
        <f>BD93^3+BB82*BD93+BC82</f>
        <v>#VALUE!</v>
      </c>
      <c r="BF93" s="118" t="e">
        <f>3*BD93^2+BB82</f>
        <v>#VALUE!</v>
      </c>
      <c r="BG93" s="118" t="e">
        <f t="shared" si="22"/>
        <v>#VALUE!</v>
      </c>
      <c r="BH93" s="112" t="s">
        <v>147</v>
      </c>
      <c r="BI93" s="113">
        <v>-15</v>
      </c>
      <c r="BK93" s="125"/>
      <c r="BL93" s="126"/>
      <c r="BM93" s="118" t="e">
        <f t="shared" si="28"/>
        <v>#VALUE!</v>
      </c>
      <c r="BN93" s="118" t="e">
        <f>BM93^3+BK82*BM93+BL82</f>
        <v>#VALUE!</v>
      </c>
      <c r="BO93" s="118" t="e">
        <f>3*BM93^2+BK82</f>
        <v>#VALUE!</v>
      </c>
      <c r="BP93" s="118" t="e">
        <f t="shared" si="23"/>
        <v>#VALUE!</v>
      </c>
      <c r="BQ93" s="112" t="s">
        <v>147</v>
      </c>
      <c r="BR93" s="113">
        <v>-15</v>
      </c>
      <c r="BT93" s="125"/>
      <c r="BU93" s="126"/>
      <c r="BV93" s="118" t="e">
        <f t="shared" si="29"/>
        <v>#VALUE!</v>
      </c>
      <c r="BW93" s="118" t="e">
        <f>BV93^3+BT82*BV93+BU82</f>
        <v>#VALUE!</v>
      </c>
      <c r="BX93" s="118" t="e">
        <f>3*BV93^2+BT82</f>
        <v>#VALUE!</v>
      </c>
      <c r="BY93" s="118" t="e">
        <f t="shared" si="24"/>
        <v>#VALUE!</v>
      </c>
      <c r="BZ93" s="112" t="s">
        <v>147</v>
      </c>
      <c r="CA93" s="113">
        <v>-15</v>
      </c>
    </row>
    <row r="94" spans="36:79" ht="13.5" customHeight="1" x14ac:dyDescent="0.15">
      <c r="AJ94" s="125"/>
      <c r="AK94" s="126"/>
      <c r="AL94" s="118">
        <f t="shared" si="25"/>
        <v>0.42742560271798197</v>
      </c>
      <c r="AM94" s="118">
        <f>AL94^3+AJ82*AL94+AK82</f>
        <v>0</v>
      </c>
      <c r="AN94" s="118">
        <f>3*AL94^2+AJ82</f>
        <v>0.81933422709619985</v>
      </c>
      <c r="AO94" s="118">
        <f t="shared" si="20"/>
        <v>0.42742560271798197</v>
      </c>
      <c r="AP94" s="128" t="s">
        <v>155</v>
      </c>
      <c r="AQ94" s="32"/>
      <c r="AS94" s="125"/>
      <c r="AT94" s="126"/>
      <c r="AU94" s="118">
        <f t="shared" si="26"/>
        <v>0.45274438511167048</v>
      </c>
      <c r="AV94" s="118">
        <f>AU94^3+AS82*AU94+AT82</f>
        <v>0</v>
      </c>
      <c r="AW94" s="118">
        <f>3*AU94^2+AS82</f>
        <v>0.80533175438680438</v>
      </c>
      <c r="AX94" s="118">
        <f t="shared" si="21"/>
        <v>0.45274438511167048</v>
      </c>
      <c r="AY94" s="128" t="s">
        <v>154</v>
      </c>
      <c r="AZ94" s="32"/>
      <c r="BB94" s="125"/>
      <c r="BC94" s="126"/>
      <c r="BD94" s="118" t="e">
        <f t="shared" si="27"/>
        <v>#VALUE!</v>
      </c>
      <c r="BE94" s="118" t="e">
        <f>BD94^3+BB82*BD94+BC82</f>
        <v>#VALUE!</v>
      </c>
      <c r="BF94" s="118" t="e">
        <f>3*BD94^2+BB82</f>
        <v>#VALUE!</v>
      </c>
      <c r="BG94" s="118" t="e">
        <f t="shared" si="22"/>
        <v>#VALUE!</v>
      </c>
      <c r="BH94" s="128" t="s">
        <v>153</v>
      </c>
      <c r="BI94" s="32"/>
      <c r="BK94" s="125"/>
      <c r="BL94" s="126"/>
      <c r="BM94" s="118" t="e">
        <f t="shared" si="28"/>
        <v>#VALUE!</v>
      </c>
      <c r="BN94" s="118" t="e">
        <f>BM94^3+BK82*BM94+BL82</f>
        <v>#VALUE!</v>
      </c>
      <c r="BO94" s="118" t="e">
        <f>3*BM94^2+BK82</f>
        <v>#VALUE!</v>
      </c>
      <c r="BP94" s="118" t="e">
        <f t="shared" si="23"/>
        <v>#VALUE!</v>
      </c>
      <c r="BQ94" s="128" t="s">
        <v>152</v>
      </c>
      <c r="BR94" s="32"/>
      <c r="BT94" s="125"/>
      <c r="BU94" s="126"/>
      <c r="BV94" s="118" t="e">
        <f t="shared" si="29"/>
        <v>#VALUE!</v>
      </c>
      <c r="BW94" s="118" t="e">
        <f>BV94^3+BT82*BV94+BU82</f>
        <v>#VALUE!</v>
      </c>
      <c r="BX94" s="118" t="e">
        <f>3*BV94^2+BT82</f>
        <v>#VALUE!</v>
      </c>
      <c r="BY94" s="118" t="e">
        <f t="shared" si="24"/>
        <v>#VALUE!</v>
      </c>
      <c r="BZ94" s="128" t="s">
        <v>151</v>
      </c>
      <c r="CA94" s="32"/>
    </row>
    <row r="95" spans="36:79" ht="13.5" customHeight="1" x14ac:dyDescent="0.15">
      <c r="AJ95" s="125"/>
      <c r="AK95" s="126"/>
      <c r="AL95" s="18">
        <f t="shared" si="25"/>
        <v>0.42742560271798197</v>
      </c>
      <c r="AM95" s="18">
        <f>AL95^3+AJ82*AL95+AK82</f>
        <v>0</v>
      </c>
      <c r="AN95" s="18">
        <f>3*AL95^2+AJ82</f>
        <v>0.81933422709619985</v>
      </c>
      <c r="AO95" s="18">
        <f t="shared" si="20"/>
        <v>0.42742560271798197</v>
      </c>
      <c r="AP95" s="283" t="str">
        <f>M50</f>
        <v>無 着 氷 雪 時
-15[℃],50[Kg/ｍ2]</v>
      </c>
      <c r="AQ95" s="284"/>
      <c r="AS95" s="125"/>
      <c r="AT95" s="126"/>
      <c r="AU95" s="18">
        <f t="shared" si="26"/>
        <v>0.45274438511167048</v>
      </c>
      <c r="AV95" s="18">
        <f>AU95^3+AS82*AU95+AT82</f>
        <v>0</v>
      </c>
      <c r="AW95" s="18">
        <f>3*AU95^2+AS82</f>
        <v>0.80533175438680438</v>
      </c>
      <c r="AX95" s="18">
        <f t="shared" si="21"/>
        <v>0.45274438511167048</v>
      </c>
      <c r="AY95" s="283" t="str">
        <f>M50</f>
        <v>無 着 氷 雪 時
-15[℃],50[Kg/ｍ2]</v>
      </c>
      <c r="AZ95" s="284"/>
      <c r="BB95" s="125"/>
      <c r="BC95" s="126"/>
      <c r="BD95" s="18" t="e">
        <f t="shared" si="27"/>
        <v>#VALUE!</v>
      </c>
      <c r="BE95" s="18" t="e">
        <f>BD95^3+BB82*BD95+BC82</f>
        <v>#VALUE!</v>
      </c>
      <c r="BF95" s="18" t="e">
        <f>3*BD95^2+BB82</f>
        <v>#VALUE!</v>
      </c>
      <c r="BG95" s="18" t="e">
        <f t="shared" si="22"/>
        <v>#VALUE!</v>
      </c>
      <c r="BH95" s="283" t="str">
        <f>M50</f>
        <v>無 着 氷 雪 時
-15[℃],50[Kg/ｍ2]</v>
      </c>
      <c r="BI95" s="284"/>
      <c r="BK95" s="125"/>
      <c r="BL95" s="126"/>
      <c r="BM95" s="18" t="e">
        <f t="shared" si="28"/>
        <v>#VALUE!</v>
      </c>
      <c r="BN95" s="18" t="e">
        <f>BM95^3+BK82*BM95+BL82</f>
        <v>#VALUE!</v>
      </c>
      <c r="BO95" s="18" t="e">
        <f>3*BM95^2+BK82</f>
        <v>#VALUE!</v>
      </c>
      <c r="BP95" s="18" t="e">
        <f t="shared" si="23"/>
        <v>#VALUE!</v>
      </c>
      <c r="BQ95" s="283" t="str">
        <f>M50</f>
        <v>無 着 氷 雪 時
-15[℃],50[Kg/ｍ2]</v>
      </c>
      <c r="BR95" s="284"/>
      <c r="BT95" s="125"/>
      <c r="BU95" s="126"/>
      <c r="BV95" s="18" t="e">
        <f t="shared" si="29"/>
        <v>#VALUE!</v>
      </c>
      <c r="BW95" s="18" t="e">
        <f>BV95^3+BT82*BV95+BU82</f>
        <v>#VALUE!</v>
      </c>
      <c r="BX95" s="18" t="e">
        <f>3*BV95^2+BT82</f>
        <v>#VALUE!</v>
      </c>
      <c r="BY95" s="18" t="e">
        <f t="shared" si="24"/>
        <v>#VALUE!</v>
      </c>
      <c r="BZ95" s="283" t="str">
        <f>M50</f>
        <v>無 着 氷 雪 時
-15[℃],50[Kg/ｍ2]</v>
      </c>
      <c r="CA95" s="284"/>
    </row>
    <row r="96" spans="36:79" ht="13.5" customHeight="1" thickBot="1" x14ac:dyDescent="0.2">
      <c r="AJ96" s="125"/>
      <c r="AK96" s="126"/>
      <c r="AL96" s="114">
        <f>AO95</f>
        <v>0.42742560271798197</v>
      </c>
      <c r="AM96" s="115">
        <f>AL96^3+AJ82*AL96+AK82</f>
        <v>0</v>
      </c>
      <c r="AN96" s="115">
        <f>3*AL96^2+AJ82</f>
        <v>0.81933422709619985</v>
      </c>
      <c r="AO96" s="115">
        <f t="shared" si="20"/>
        <v>0.42742560271798197</v>
      </c>
      <c r="AP96" s="285"/>
      <c r="AQ96" s="286"/>
      <c r="AS96" s="125"/>
      <c r="AT96" s="126"/>
      <c r="AU96" s="114">
        <f>AX95</f>
        <v>0.45274438511167048</v>
      </c>
      <c r="AV96" s="115">
        <f>AU96^3+AS82*AU96+AT82</f>
        <v>0</v>
      </c>
      <c r="AW96" s="115">
        <f>3*AU96^2+AS82</f>
        <v>0.80533175438680438</v>
      </c>
      <c r="AX96" s="115">
        <f t="shared" si="21"/>
        <v>0.45274438511167048</v>
      </c>
      <c r="AY96" s="285"/>
      <c r="AZ96" s="286"/>
      <c r="BB96" s="125"/>
      <c r="BC96" s="126"/>
      <c r="BD96" s="114" t="e">
        <f>BG95</f>
        <v>#VALUE!</v>
      </c>
      <c r="BE96" s="115" t="e">
        <f>BD96^3+BB82*BD96+BC82</f>
        <v>#VALUE!</v>
      </c>
      <c r="BF96" s="115" t="e">
        <f>3*BD96^2+BB82</f>
        <v>#VALUE!</v>
      </c>
      <c r="BG96" s="115" t="e">
        <f t="shared" si="22"/>
        <v>#VALUE!</v>
      </c>
      <c r="BH96" s="285"/>
      <c r="BI96" s="286"/>
      <c r="BK96" s="125"/>
      <c r="BL96" s="126"/>
      <c r="BM96" s="114" t="e">
        <f>BP95</f>
        <v>#VALUE!</v>
      </c>
      <c r="BN96" s="115" t="e">
        <f>BM96^3+BK82*BM96+BL82</f>
        <v>#VALUE!</v>
      </c>
      <c r="BO96" s="115" t="e">
        <f>3*BM96^2+BK82</f>
        <v>#VALUE!</v>
      </c>
      <c r="BP96" s="115" t="e">
        <f t="shared" si="23"/>
        <v>#VALUE!</v>
      </c>
      <c r="BQ96" s="285"/>
      <c r="BR96" s="286"/>
      <c r="BT96" s="125"/>
      <c r="BU96" s="126"/>
      <c r="BV96" s="114" t="e">
        <f>BY95</f>
        <v>#VALUE!</v>
      </c>
      <c r="BW96" s="115" t="e">
        <f>BV96^3+BT82*BV96+BU82</f>
        <v>#VALUE!</v>
      </c>
      <c r="BX96" s="115" t="e">
        <f>3*BV96^2+BT82</f>
        <v>#VALUE!</v>
      </c>
      <c r="BY96" s="115" t="e">
        <f t="shared" si="24"/>
        <v>#VALUE!</v>
      </c>
      <c r="BZ96" s="285"/>
      <c r="CA96" s="286"/>
    </row>
    <row r="97" spans="36:79" ht="13.5" customHeight="1" x14ac:dyDescent="0.15">
      <c r="AJ97" s="62" t="s">
        <v>52</v>
      </c>
      <c r="AK97" s="12" t="s">
        <v>53</v>
      </c>
      <c r="AL97" s="12" t="s">
        <v>54</v>
      </c>
      <c r="AM97" s="12" t="s">
        <v>55</v>
      </c>
      <c r="AN97" s="12" t="s">
        <v>56</v>
      </c>
      <c r="AO97" s="63" t="s">
        <v>57</v>
      </c>
      <c r="AP97" s="12" t="s">
        <v>58</v>
      </c>
      <c r="AQ97" s="13" t="s">
        <v>59</v>
      </c>
      <c r="AS97" s="62" t="s">
        <v>52</v>
      </c>
      <c r="AT97" s="12" t="s">
        <v>53</v>
      </c>
      <c r="AU97" s="12" t="s">
        <v>54</v>
      </c>
      <c r="AV97" s="12" t="s">
        <v>55</v>
      </c>
      <c r="AW97" s="12" t="s">
        <v>56</v>
      </c>
      <c r="AX97" s="63" t="s">
        <v>57</v>
      </c>
      <c r="AY97" s="12" t="s">
        <v>58</v>
      </c>
      <c r="AZ97" s="13" t="s">
        <v>59</v>
      </c>
      <c r="BB97" s="62" t="s">
        <v>52</v>
      </c>
      <c r="BC97" s="12" t="s">
        <v>53</v>
      </c>
      <c r="BD97" s="12" t="s">
        <v>54</v>
      </c>
      <c r="BE97" s="12" t="s">
        <v>55</v>
      </c>
      <c r="BF97" s="12" t="s">
        <v>56</v>
      </c>
      <c r="BG97" s="63" t="s">
        <v>57</v>
      </c>
      <c r="BH97" s="12" t="s">
        <v>58</v>
      </c>
      <c r="BI97" s="13" t="s">
        <v>59</v>
      </c>
      <c r="BK97" s="62" t="s">
        <v>52</v>
      </c>
      <c r="BL97" s="12" t="s">
        <v>53</v>
      </c>
      <c r="BM97" s="12" t="s">
        <v>54</v>
      </c>
      <c r="BN97" s="12" t="s">
        <v>55</v>
      </c>
      <c r="BO97" s="12" t="s">
        <v>56</v>
      </c>
      <c r="BP97" s="63" t="s">
        <v>57</v>
      </c>
      <c r="BQ97" s="12" t="s">
        <v>58</v>
      </c>
      <c r="BR97" s="13" t="s">
        <v>59</v>
      </c>
      <c r="BT97" s="62" t="s">
        <v>52</v>
      </c>
      <c r="BU97" s="12" t="s">
        <v>53</v>
      </c>
      <c r="BV97" s="12" t="s">
        <v>54</v>
      </c>
      <c r="BW97" s="12" t="s">
        <v>55</v>
      </c>
      <c r="BX97" s="12" t="s">
        <v>56</v>
      </c>
      <c r="BY97" s="63" t="s">
        <v>57</v>
      </c>
      <c r="BZ97" s="12" t="s">
        <v>58</v>
      </c>
      <c r="CA97" s="13" t="s">
        <v>59</v>
      </c>
    </row>
    <row r="98" spans="36:79" ht="13.5" customHeight="1" thickBot="1" x14ac:dyDescent="0.2">
      <c r="AJ98" s="107">
        <f>Q23</f>
        <v>0.72111025509279791</v>
      </c>
      <c r="AK98" s="108">
        <f>M23+U23</f>
        <v>0.4</v>
      </c>
      <c r="AL98" s="108">
        <f>IF(C33="",L19*(F19/40)^2,C33)</f>
        <v>0.5</v>
      </c>
      <c r="AM98" s="108">
        <f>F19</f>
        <v>40</v>
      </c>
      <c r="AN98" s="108">
        <f>AK78*1600/(8*L19)</f>
        <v>160</v>
      </c>
      <c r="AO98" s="109">
        <f>V23</f>
        <v>12000</v>
      </c>
      <c r="AP98" s="108">
        <f>L23</f>
        <v>37.164999999999999</v>
      </c>
      <c r="AQ98" s="110">
        <f>W23</f>
        <v>170</v>
      </c>
      <c r="AS98" s="107">
        <f>IF(B24="使用電線-2",Q24,IF(B25="使用電線-2",Q25,IF(B26="使用電線-2",Q26,IF(B27="使用電線-2",Q27,IF(B28="使用電線-2",Q28,IF(B29="使用電線-2",Q29,""))))))</f>
        <v>1.1642237070254153</v>
      </c>
      <c r="AT9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98" s="108">
        <f>IF(I33="",L19*(F19/40)^2,I33)</f>
        <v>0.5</v>
      </c>
      <c r="AV98" s="108">
        <f>F19</f>
        <v>40</v>
      </c>
      <c r="AW98" s="108">
        <f>AT98*1600/(8*L19)</f>
        <v>303.60000000000002</v>
      </c>
      <c r="AX98" s="109">
        <f>IF(B24="使用電線-2",V24,IF(B25="使用電線-2",V25,IF(B26="使用電線-2",V26,IF(B27="使用電線-2",V27,IF(B28="使用電線-2",V28,IF(B29="使用電線-2",V29,""))))))</f>
        <v>21000</v>
      </c>
      <c r="AY98" s="108">
        <f>IF(B24="使用電線-2",L24,IF(B25="使用電線-2",L25,IF(B26="使用電線-2",L26,IF(B27="使用電線-2",L27,IF(B28="使用電線-2",L28,IF(B29="使用電線-2",L29,""))))))</f>
        <v>37.164999999999999</v>
      </c>
      <c r="AZ98" s="110">
        <f>IF(B24="使用電線-2",W24,IF(B25="使用電線-2",W25,IF(B26="使用電線-2",W26,IF(B27="使用電線-2",W27,IF(B28="使用電線-2",W28,IF(B29="使用電線-2",W29,""))))))</f>
        <v>115</v>
      </c>
      <c r="BB98" s="107" t="str">
        <f>IF(B25="使用電線-3",Q25,IF(B26="使用電線-3",Q26,IF(B27="使用電線-3",Q27,IF(B28="使用電線-3",Q28,IF(B29="使用電線-3",Q29,"")))))</f>
        <v/>
      </c>
      <c r="BC98" s="108" t="str">
        <f>IF(B25="使用電線-3",M25+U25,IF(B26="使用電線-3",M26+U26,IF(B27="使用電線-3",M27+U27,IF(B28="使用電線-3",M28+U28,IF(B29="使用電線-3",M29+U29,"")))))</f>
        <v/>
      </c>
      <c r="BD98" s="108">
        <f>IF(N33="",L19*(F19/40)^2,N33)</f>
        <v>0.5</v>
      </c>
      <c r="BE98" s="108">
        <f>F19</f>
        <v>40</v>
      </c>
      <c r="BF98" s="108" t="e">
        <f>BC98*1600/(8*L19)</f>
        <v>#VALUE!</v>
      </c>
      <c r="BG98" s="109" t="str">
        <f>IF(B25="使用電線-3",V25,IF(B26="使用電線-3",V26,IF(B27="使用電線-3",V27,IF(B28="使用電線-3",V28,IF(B29="使用電線-3",V29,"")))))</f>
        <v/>
      </c>
      <c r="BH98" s="108" t="str">
        <f>IF(B25="使用電線-3",L25,IF(B26="使用電線-3",L26,IF(B27="使用電線-3",L27,IF(B28="使用電線-3",L28,IF(B29="使用電線-3",L29,"")))))</f>
        <v/>
      </c>
      <c r="BI98" s="110" t="str">
        <f>IF(B25="使用電線-3",W25,IF(B26="使用電線-3",W26,IF(B27="使用電線-3",W27,IF(B28="使用電線-3",W28,IF(B29="使用電線-3",W29,"")))))</f>
        <v/>
      </c>
      <c r="BK98" s="107" t="str">
        <f>IF(B26="使用電線-4",Q26,IF(B27="使用電線-4",Q27,IF(B28="使用電線-4",Q28,IF(B29="使用電線-4",Q29,""))))</f>
        <v/>
      </c>
      <c r="BL98" s="108" t="str">
        <f>IF(B26="使用電線-4",M26+U26,IF(B27="使用電線-4",M27+U27,IF(B28="使用電線-4",M28+U28,IF(B29="使用電線-4",M29+U29,""))))</f>
        <v/>
      </c>
      <c r="BM98" s="108">
        <f>IF(C47="",L19*(F19/40)^2,C47)</f>
        <v>0.5</v>
      </c>
      <c r="BN98" s="108">
        <f>F19</f>
        <v>40</v>
      </c>
      <c r="BO98" s="127" t="e">
        <f>BL98*1600/(8*L19)</f>
        <v>#VALUE!</v>
      </c>
      <c r="BP98" s="109" t="str">
        <f>IF(B26="使用電線-4",V26,IF(B27="使用電線-4",V27,IF(B28="使用電線-4",V28,IF(B29="使用電線-4",V29,""))))</f>
        <v/>
      </c>
      <c r="BQ98" s="108" t="str">
        <f>IF(B26="使用電線-4",L26,IF(B27="使用電線-4",L27,IF(B28="使用電線-4",L28,IF(B29="使用電線-4",L29,""))))</f>
        <v/>
      </c>
      <c r="BR98" s="110" t="str">
        <f>IF(B26="使用電線-4",W26,IF(B27="使用電線-4",W27,IF(B28="使用電線-4",W28,IF(B29="使用電線-4",W29,""))))</f>
        <v/>
      </c>
      <c r="BT98" s="107" t="str">
        <f>IF(B27="使用電線-5",Q27,IF(B28="使用電線-5",Q28,IF(B29="使用電線-5",Q29,"")))</f>
        <v/>
      </c>
      <c r="BU98" s="108" t="str">
        <f>IF(B27="使用電線-5",M27+U27,IF(B28="使用電線-5",M28+U28,IF(B29="使用電線-5",M29+U29,"")))</f>
        <v/>
      </c>
      <c r="BV98" s="108">
        <f>IF(I47="",L19*(F19/40)^2,I47)</f>
        <v>0.5</v>
      </c>
      <c r="BW98" s="108">
        <f>F19</f>
        <v>40</v>
      </c>
      <c r="BX98" s="127" t="e">
        <f>BU98*1600/(8*L19)</f>
        <v>#VALUE!</v>
      </c>
      <c r="BY98" s="109" t="str">
        <f>IF(B27="使用電線-5",V27,IF(B28="使用電線-5",V28,IF(B29="使用電線-5",V29,"")))</f>
        <v/>
      </c>
      <c r="BZ98" s="108" t="str">
        <f>IF(B27="使用電線-5",L27,IF(B28="使用電線-5",L28,IF(B29="使用電線-5",L29,"")))</f>
        <v/>
      </c>
      <c r="CA98" s="110" t="str">
        <f>IF(B27="使用電線-5",W27,IF(B28="使用電線-5",W28,IF(B29="使用電線-5",W29,"")))</f>
        <v/>
      </c>
    </row>
    <row r="99" spans="36:79" ht="13.5" customHeight="1" x14ac:dyDescent="0.15"/>
    <row r="100" spans="36:79" ht="13.5" customHeight="1" thickBot="1" x14ac:dyDescent="0.2"/>
    <row r="101" spans="36:79" ht="13.5" customHeight="1" x14ac:dyDescent="0.15">
      <c r="AJ101" s="2" t="s">
        <v>144</v>
      </c>
      <c r="AK101" s="111" t="s">
        <v>145</v>
      </c>
      <c r="AL101" s="12" t="s">
        <v>7</v>
      </c>
      <c r="AM101" s="12" t="s">
        <v>0</v>
      </c>
      <c r="AN101" s="12" t="s">
        <v>1</v>
      </c>
      <c r="AO101" s="12" t="s">
        <v>2</v>
      </c>
      <c r="AP101" s="12" t="s">
        <v>5</v>
      </c>
      <c r="AQ101" s="13" t="s">
        <v>6</v>
      </c>
      <c r="AS101" s="2" t="s">
        <v>144</v>
      </c>
      <c r="AT101" s="111" t="s">
        <v>145</v>
      </c>
      <c r="AU101" s="12" t="s">
        <v>7</v>
      </c>
      <c r="AV101" s="12" t="s">
        <v>0</v>
      </c>
      <c r="AW101" s="12" t="s">
        <v>1</v>
      </c>
      <c r="AX101" s="12" t="s">
        <v>2</v>
      </c>
      <c r="AY101" s="12" t="s">
        <v>5</v>
      </c>
      <c r="AZ101" s="13" t="s">
        <v>6</v>
      </c>
      <c r="BB101" s="2" t="s">
        <v>144</v>
      </c>
      <c r="BC101" s="111" t="s">
        <v>145</v>
      </c>
      <c r="BD101" s="12" t="s">
        <v>7</v>
      </c>
      <c r="BE101" s="12" t="s">
        <v>0</v>
      </c>
      <c r="BF101" s="12" t="s">
        <v>1</v>
      </c>
      <c r="BG101" s="12" t="s">
        <v>2</v>
      </c>
      <c r="BH101" s="12" t="s">
        <v>5</v>
      </c>
      <c r="BI101" s="13" t="s">
        <v>6</v>
      </c>
      <c r="BK101" s="2" t="s">
        <v>144</v>
      </c>
      <c r="BL101" s="111" t="s">
        <v>145</v>
      </c>
      <c r="BM101" s="12" t="s">
        <v>7</v>
      </c>
      <c r="BN101" s="12" t="s">
        <v>0</v>
      </c>
      <c r="BO101" s="12" t="s">
        <v>1</v>
      </c>
      <c r="BP101" s="12" t="s">
        <v>2</v>
      </c>
      <c r="BQ101" s="12" t="s">
        <v>5</v>
      </c>
      <c r="BR101" s="13" t="s">
        <v>6</v>
      </c>
      <c r="BT101" s="2" t="s">
        <v>144</v>
      </c>
      <c r="BU101" s="111" t="s">
        <v>145</v>
      </c>
      <c r="BV101" s="12" t="s">
        <v>7</v>
      </c>
      <c r="BW101" s="12" t="s">
        <v>0</v>
      </c>
      <c r="BX101" s="12" t="s">
        <v>1</v>
      </c>
      <c r="BY101" s="12" t="s">
        <v>2</v>
      </c>
      <c r="BZ101" s="12" t="s">
        <v>5</v>
      </c>
      <c r="CA101" s="13" t="s">
        <v>6</v>
      </c>
    </row>
    <row r="102" spans="36:79" ht="13.5" customHeight="1" x14ac:dyDescent="0.15">
      <c r="AJ102" s="16">
        <f>-AJ105+AJ108</f>
        <v>0.27125628951970937</v>
      </c>
      <c r="AK102" s="17">
        <f>-AJ111</f>
        <v>-0.3745336381958787</v>
      </c>
      <c r="AL102" s="18">
        <f>IF(AND(AP105&lt;0,AQ105&lt;0),AQ102*1.2,IF(AND(AP105&gt;0,AQ105&gt;0),AP102*0.8,10))</f>
        <v>0.36083655436978734</v>
      </c>
      <c r="AM102" s="18">
        <f>AL102^3+AJ102*AL102+AK102</f>
        <v>-0.22967244460096914</v>
      </c>
      <c r="AN102" s="18">
        <f>3*AL102^2+AJ102</f>
        <v>0.66186534642809081</v>
      </c>
      <c r="AO102" s="18">
        <f t="shared" ref="AO102:AO116" si="30">AL102-AM102/AN102</f>
        <v>0.70784436470530276</v>
      </c>
      <c r="AP102" s="18">
        <f>-SQRT(ABS(-4*3*AJ102))/6</f>
        <v>-0.30069712864148945</v>
      </c>
      <c r="AQ102" s="19">
        <f>SQRT(ABS(-4*3*AJ102))/6</f>
        <v>0.30069712864148945</v>
      </c>
      <c r="AS102" s="16">
        <f>-AS105+AS108</f>
        <v>0.19039931963637061</v>
      </c>
      <c r="AT102" s="17">
        <f>-AS111</f>
        <v>-0.42026402558627385</v>
      </c>
      <c r="AU102" s="18">
        <f>IF(AND(AY105&lt;0,AZ105&lt;0),AZ102*1.2,IF(AND(AY105&gt;0,AZ105&gt;0),AY102*0.8,10))</f>
        <v>0.30231055791265027</v>
      </c>
      <c r="AV102" s="18">
        <f>AU102^3+AS102*AU102+AT102</f>
        <v>-0.3350756332589927</v>
      </c>
      <c r="AW102" s="18">
        <f>3*AU102^2+AS102</f>
        <v>0.46457433991274422</v>
      </c>
      <c r="AX102" s="18">
        <f t="shared" ref="AX102:AX116" si="31">AU102-AV102/AW102</f>
        <v>1.0235635511837082</v>
      </c>
      <c r="AY102" s="18">
        <f>-SQRT(ABS(-4*3*AS102))/6</f>
        <v>-0.25192546492720858</v>
      </c>
      <c r="AZ102" s="19">
        <f>SQRT(ABS(-4*3*AS102))/6</f>
        <v>0.25192546492720858</v>
      </c>
      <c r="BB102" s="16" t="e">
        <f>-BB105+BB108</f>
        <v>#VALUE!</v>
      </c>
      <c r="BC102" s="17" t="e">
        <f>-BB111</f>
        <v>#VALUE!</v>
      </c>
      <c r="BD102" s="18" t="e">
        <f>IF(AND(BH105&lt;0,BI105&lt;0),BI102*1.2,IF(AND(BH105&gt;0,BI105&gt;0),BH102*0.8,10))</f>
        <v>#VALUE!</v>
      </c>
      <c r="BE102" s="18" t="e">
        <f>BD102^3+BB102*BD102+BC102</f>
        <v>#VALUE!</v>
      </c>
      <c r="BF102" s="18" t="e">
        <f>3*BD102^2+BB102</f>
        <v>#VALUE!</v>
      </c>
      <c r="BG102" s="18" t="e">
        <f t="shared" ref="BG102:BG116" si="32">BD102-BE102/BF102</f>
        <v>#VALUE!</v>
      </c>
      <c r="BH102" s="18" t="e">
        <f>-SQRT(ABS(-4*3*BB102))/6</f>
        <v>#VALUE!</v>
      </c>
      <c r="BI102" s="19" t="e">
        <f>SQRT(ABS(-4*3*BB102))/6</f>
        <v>#VALUE!</v>
      </c>
      <c r="BK102" s="16" t="e">
        <f>-BK105+BK108</f>
        <v>#VALUE!</v>
      </c>
      <c r="BL102" s="17" t="e">
        <f>-BK111</f>
        <v>#VALUE!</v>
      </c>
      <c r="BM102" s="18" t="e">
        <f>IF(AND(BQ105&lt;0,BR105&lt;0),BR102*1.2,IF(AND(BQ105&gt;0,BR105&gt;0),BQ102*0.8,10))</f>
        <v>#VALUE!</v>
      </c>
      <c r="BN102" s="18" t="e">
        <f>BM102^3+BK102*BM102+BL102</f>
        <v>#VALUE!</v>
      </c>
      <c r="BO102" s="18" t="e">
        <f>3*BM102^2+BK102</f>
        <v>#VALUE!</v>
      </c>
      <c r="BP102" s="18" t="e">
        <f t="shared" ref="BP102:BP116" si="33">BM102-BN102/BO102</f>
        <v>#VALUE!</v>
      </c>
      <c r="BQ102" s="18" t="e">
        <f>-SQRT(ABS(-4*3*BK102))/6</f>
        <v>#VALUE!</v>
      </c>
      <c r="BR102" s="19" t="e">
        <f>SQRT(ABS(-4*3*BK102))/6</f>
        <v>#VALUE!</v>
      </c>
      <c r="BT102" s="16" t="e">
        <f>-BT105+BT108</f>
        <v>#VALUE!</v>
      </c>
      <c r="BU102" s="17" t="e">
        <f>-BT111</f>
        <v>#VALUE!</v>
      </c>
      <c r="BV102" s="18" t="e">
        <f>IF(AND(BZ105&lt;0,CA105&lt;0),CA102*1.2,IF(AND(BZ105&gt;0,CA105&gt;0),BZ102*0.8,10))</f>
        <v>#VALUE!</v>
      </c>
      <c r="BW102" s="18" t="e">
        <f>BV102^3+BT102*BV102+BU102</f>
        <v>#VALUE!</v>
      </c>
      <c r="BX102" s="18" t="e">
        <f>3*BV102^2+BT102</f>
        <v>#VALUE!</v>
      </c>
      <c r="BY102" s="18" t="e">
        <f t="shared" ref="BY102:BY116" si="34">BV102-BW102/BX102</f>
        <v>#VALUE!</v>
      </c>
      <c r="BZ102" s="18" t="e">
        <f>-SQRT(ABS(-4*3*BT102))/6</f>
        <v>#VALUE!</v>
      </c>
      <c r="CA102" s="19" t="e">
        <f>SQRT(ABS(-4*3*BT102))/6</f>
        <v>#VALUE!</v>
      </c>
    </row>
    <row r="103" spans="36:79" ht="13.5" customHeight="1" x14ac:dyDescent="0.15">
      <c r="AJ103" s="267"/>
      <c r="AK103" s="268"/>
      <c r="AL103" s="18">
        <f t="shared" ref="AL103:AL115" si="35">AO102</f>
        <v>0.70784436470530276</v>
      </c>
      <c r="AM103" s="18">
        <f>AL103^3+AJ102*AL103+AK102</f>
        <v>0.17213451806492519</v>
      </c>
      <c r="AN103" s="18">
        <f>3*AL103^2+AJ102</f>
        <v>1.7743872234548705</v>
      </c>
      <c r="AO103" s="18">
        <f t="shared" si="30"/>
        <v>0.61083368079733036</v>
      </c>
      <c r="AP103" s="6"/>
      <c r="AQ103" s="7"/>
      <c r="AS103" s="267"/>
      <c r="AT103" s="268"/>
      <c r="AU103" s="18">
        <f t="shared" ref="AU103:AU115" si="36">AX102</f>
        <v>1.0235635511837082</v>
      </c>
      <c r="AV103" s="18">
        <f>AU103^3+AS102*AU103+AT102</f>
        <v>0.84699123799639031</v>
      </c>
      <c r="AW103" s="18">
        <f>3*AU103^2+AS102</f>
        <v>3.3334463495717812</v>
      </c>
      <c r="AX103" s="18">
        <f t="shared" si="31"/>
        <v>0.76947479463144042</v>
      </c>
      <c r="AY103" s="6"/>
      <c r="AZ103" s="7"/>
      <c r="BB103" s="267"/>
      <c r="BC103" s="268"/>
      <c r="BD103" s="18" t="e">
        <f t="shared" ref="BD103:BD115" si="37">BG102</f>
        <v>#VALUE!</v>
      </c>
      <c r="BE103" s="18" t="e">
        <f>BD103^3+BB102*BD103+BC102</f>
        <v>#VALUE!</v>
      </c>
      <c r="BF103" s="18" t="e">
        <f>3*BD103^2+BB102</f>
        <v>#VALUE!</v>
      </c>
      <c r="BG103" s="18" t="e">
        <f t="shared" si="32"/>
        <v>#VALUE!</v>
      </c>
      <c r="BH103" s="6"/>
      <c r="BI103" s="7"/>
      <c r="BK103" s="267"/>
      <c r="BL103" s="268"/>
      <c r="BM103" s="18" t="e">
        <f t="shared" ref="BM103:BM115" si="38">BP102</f>
        <v>#VALUE!</v>
      </c>
      <c r="BN103" s="18" t="e">
        <f>BM103^3+BK102*BM103+BL102</f>
        <v>#VALUE!</v>
      </c>
      <c r="BO103" s="18" t="e">
        <f>3*BM103^2+BK102</f>
        <v>#VALUE!</v>
      </c>
      <c r="BP103" s="18" t="e">
        <f t="shared" si="33"/>
        <v>#VALUE!</v>
      </c>
      <c r="BQ103" s="6"/>
      <c r="BR103" s="7"/>
      <c r="BT103" s="267"/>
      <c r="BU103" s="268"/>
      <c r="BV103" s="18" t="e">
        <f t="shared" ref="BV103:BV115" si="39">BY102</f>
        <v>#VALUE!</v>
      </c>
      <c r="BW103" s="18" t="e">
        <f>BV103^3+BT102*BV103+BU102</f>
        <v>#VALUE!</v>
      </c>
      <c r="BX103" s="18" t="e">
        <f>3*BV103^2+BT102</f>
        <v>#VALUE!</v>
      </c>
      <c r="BY103" s="18" t="e">
        <f t="shared" si="34"/>
        <v>#VALUE!</v>
      </c>
      <c r="BZ103" s="6"/>
      <c r="CA103" s="7"/>
    </row>
    <row r="104" spans="36:79" ht="13.5" customHeight="1" x14ac:dyDescent="0.15">
      <c r="AJ104" s="269" t="s">
        <v>8</v>
      </c>
      <c r="AK104" s="270"/>
      <c r="AL104" s="18">
        <f t="shared" si="35"/>
        <v>0.61083368079733036</v>
      </c>
      <c r="AM104" s="18">
        <f>AL104^3+AJ102*AL104+AK102</f>
        <v>1.9071749917678904E-2</v>
      </c>
      <c r="AN104" s="18">
        <f>3*AL104^2+AJ102</f>
        <v>1.3906096463089539</v>
      </c>
      <c r="AO104" s="18">
        <f t="shared" si="30"/>
        <v>0.59711901258091149</v>
      </c>
      <c r="AP104" s="14" t="s">
        <v>3</v>
      </c>
      <c r="AQ104" s="15" t="s">
        <v>4</v>
      </c>
      <c r="AS104" s="269" t="s">
        <v>8</v>
      </c>
      <c r="AT104" s="270"/>
      <c r="AU104" s="18">
        <f t="shared" si="36"/>
        <v>0.76947479463144042</v>
      </c>
      <c r="AV104" s="18">
        <f>AU104^3+AS102*AU104+AT102</f>
        <v>0.18184290604692732</v>
      </c>
      <c r="AW104" s="18">
        <f>3*AU104^2+AS102</f>
        <v>1.966673698355663</v>
      </c>
      <c r="AX104" s="18">
        <f t="shared" si="31"/>
        <v>0.67701263062377293</v>
      </c>
      <c r="AY104" s="14" t="s">
        <v>3</v>
      </c>
      <c r="AZ104" s="15" t="s">
        <v>4</v>
      </c>
      <c r="BB104" s="269" t="s">
        <v>8</v>
      </c>
      <c r="BC104" s="270"/>
      <c r="BD104" s="18" t="e">
        <f t="shared" si="37"/>
        <v>#VALUE!</v>
      </c>
      <c r="BE104" s="18" t="e">
        <f>BD104^3+BB102*BD104+BC102</f>
        <v>#VALUE!</v>
      </c>
      <c r="BF104" s="18" t="e">
        <f>3*BD104^2+BB102</f>
        <v>#VALUE!</v>
      </c>
      <c r="BG104" s="18" t="e">
        <f t="shared" si="32"/>
        <v>#VALUE!</v>
      </c>
      <c r="BH104" s="14" t="s">
        <v>3</v>
      </c>
      <c r="BI104" s="15" t="s">
        <v>4</v>
      </c>
      <c r="BK104" s="269" t="s">
        <v>8</v>
      </c>
      <c r="BL104" s="270"/>
      <c r="BM104" s="18" t="e">
        <f t="shared" si="38"/>
        <v>#VALUE!</v>
      </c>
      <c r="BN104" s="18" t="e">
        <f>BM104^3+BK102*BM104+BL102</f>
        <v>#VALUE!</v>
      </c>
      <c r="BO104" s="18" t="e">
        <f>3*BM104^2+BK102</f>
        <v>#VALUE!</v>
      </c>
      <c r="BP104" s="18" t="e">
        <f t="shared" si="33"/>
        <v>#VALUE!</v>
      </c>
      <c r="BQ104" s="14" t="s">
        <v>3</v>
      </c>
      <c r="BR104" s="15" t="s">
        <v>4</v>
      </c>
      <c r="BT104" s="269" t="s">
        <v>8</v>
      </c>
      <c r="BU104" s="270"/>
      <c r="BV104" s="18" t="e">
        <f t="shared" si="39"/>
        <v>#VALUE!</v>
      </c>
      <c r="BW104" s="18" t="e">
        <f>BV104^3+BT102*BV104+BU102</f>
        <v>#VALUE!</v>
      </c>
      <c r="BX104" s="18" t="e">
        <f>3*BV104^2+BT102</f>
        <v>#VALUE!</v>
      </c>
      <c r="BY104" s="18" t="e">
        <f t="shared" si="34"/>
        <v>#VALUE!</v>
      </c>
      <c r="BZ104" s="14" t="s">
        <v>3</v>
      </c>
      <c r="CA104" s="15" t="s">
        <v>4</v>
      </c>
    </row>
    <row r="105" spans="36:79" ht="13.5" customHeight="1" x14ac:dyDescent="0.15">
      <c r="AJ105" s="269">
        <f>(AL118^2)+3*(AM118^2)*AQ118*(AQ113-15)/(8*10^7)</f>
        <v>-5.5999999999999994E-2</v>
      </c>
      <c r="AK105" s="270"/>
      <c r="AL105" s="18">
        <f t="shared" si="35"/>
        <v>0.59711901258091149</v>
      </c>
      <c r="AM105" s="18">
        <f>AL105^3+AJ102*AL105+AK102</f>
        <v>3.4209939274193468E-4</v>
      </c>
      <c r="AN105" s="18">
        <f>3*AL105^2+AJ102</f>
        <v>1.3409096350765175</v>
      </c>
      <c r="AO105" s="18">
        <f t="shared" si="30"/>
        <v>0.59686388771358778</v>
      </c>
      <c r="AP105" s="18">
        <f>AP102^3+AJ102*AP102+AK102</f>
        <v>-0.48328828804190693</v>
      </c>
      <c r="AQ105" s="19">
        <f>AQ102^3+AJ102*AQ102+AK102</f>
        <v>-0.26577898834985048</v>
      </c>
      <c r="AS105" s="269">
        <f>(AU118^2)+3*(AV118^2)*AZ118*(AZ113-15)/(8*10^7)</f>
        <v>4.300000000000001E-2</v>
      </c>
      <c r="AT105" s="270"/>
      <c r="AU105" s="18">
        <f t="shared" si="36"/>
        <v>0.67701263062377293</v>
      </c>
      <c r="AV105" s="18">
        <f>AU105^3+AS102*AU105+AT102</f>
        <v>1.8944818937224495E-2</v>
      </c>
      <c r="AW105" s="18">
        <f>3*AU105^2+AS102</f>
        <v>1.5654376257087341</v>
      </c>
      <c r="AX105" s="18">
        <f t="shared" si="31"/>
        <v>0.66491069910884115</v>
      </c>
      <c r="AY105" s="18">
        <f>AY102^3+AS102*AY102+AT102</f>
        <v>-0.48421927508122964</v>
      </c>
      <c r="AZ105" s="19">
        <f>AZ102^3+AS102*AZ102+AT102</f>
        <v>-0.35630877609131806</v>
      </c>
      <c r="BB105" s="269" t="e">
        <f>(BD118^2)+3*(BE118^2)*BI118*(BI113-15)/(8*10^7)</f>
        <v>#VALUE!</v>
      </c>
      <c r="BC105" s="270"/>
      <c r="BD105" s="18" t="e">
        <f t="shared" si="37"/>
        <v>#VALUE!</v>
      </c>
      <c r="BE105" s="18" t="e">
        <f>BD105^3+BB102*BD105+BC102</f>
        <v>#VALUE!</v>
      </c>
      <c r="BF105" s="18" t="e">
        <f>3*BD105^2+BB102</f>
        <v>#VALUE!</v>
      </c>
      <c r="BG105" s="18" t="e">
        <f t="shared" si="32"/>
        <v>#VALUE!</v>
      </c>
      <c r="BH105" s="18" t="e">
        <f>BH102^3+BB102*BH102+BC102</f>
        <v>#VALUE!</v>
      </c>
      <c r="BI105" s="19" t="e">
        <f>BI102^3+BB102*BI102+BC102</f>
        <v>#VALUE!</v>
      </c>
      <c r="BK105" s="269" t="e">
        <f>(BM118^2)+3*(BN118^2)*BR118*(BR113-15)/(8*10^7)</f>
        <v>#VALUE!</v>
      </c>
      <c r="BL105" s="270"/>
      <c r="BM105" s="18" t="e">
        <f t="shared" si="38"/>
        <v>#VALUE!</v>
      </c>
      <c r="BN105" s="18" t="e">
        <f>BM105^3+BK102*BM105+BL102</f>
        <v>#VALUE!</v>
      </c>
      <c r="BO105" s="18" t="e">
        <f>3*BM105^2+BK102</f>
        <v>#VALUE!</v>
      </c>
      <c r="BP105" s="18" t="e">
        <f t="shared" si="33"/>
        <v>#VALUE!</v>
      </c>
      <c r="BQ105" s="18" t="e">
        <f>BQ102^3+BK102*BQ102+BL102</f>
        <v>#VALUE!</v>
      </c>
      <c r="BR105" s="19" t="e">
        <f>BR102^3+BK102*BR102+BL102</f>
        <v>#VALUE!</v>
      </c>
      <c r="BT105" s="269" t="e">
        <f>(BV118^2)+3*(BW118^2)*CA118*(CA113-15)/(8*10^7)</f>
        <v>#VALUE!</v>
      </c>
      <c r="BU105" s="270"/>
      <c r="BV105" s="18" t="e">
        <f t="shared" si="39"/>
        <v>#VALUE!</v>
      </c>
      <c r="BW105" s="18" t="e">
        <f>BV105^3+BT102*BV105+BU102</f>
        <v>#VALUE!</v>
      </c>
      <c r="BX105" s="18" t="e">
        <f>3*BV105^2+BT102</f>
        <v>#VALUE!</v>
      </c>
      <c r="BY105" s="18" t="e">
        <f t="shared" si="34"/>
        <v>#VALUE!</v>
      </c>
      <c r="BZ105" s="18" t="e">
        <f>BZ102^3+BT102*BZ102+BU102</f>
        <v>#VALUE!</v>
      </c>
      <c r="CA105" s="19" t="e">
        <f>CA102^3+BT102*CA102+BU102</f>
        <v>#VALUE!</v>
      </c>
    </row>
    <row r="106" spans="36:79" ht="13.5" customHeight="1" x14ac:dyDescent="0.15">
      <c r="AJ106" s="267"/>
      <c r="AK106" s="268"/>
      <c r="AL106" s="18">
        <f t="shared" si="35"/>
        <v>0.59686388771358778</v>
      </c>
      <c r="AM106" s="18">
        <f>AL106^3+AJ102*AL106+AK102</f>
        <v>1.1658049131613168E-7</v>
      </c>
      <c r="AN106" s="18">
        <f>3*AL106^2+AJ102</f>
        <v>1.3399957908894442</v>
      </c>
      <c r="AO106" s="18">
        <f t="shared" si="30"/>
        <v>0.59686380071294787</v>
      </c>
      <c r="AP106" s="31"/>
      <c r="AQ106" s="32"/>
      <c r="AS106" s="267"/>
      <c r="AT106" s="268"/>
      <c r="AU106" s="18">
        <f t="shared" si="36"/>
        <v>0.66491069910884115</v>
      </c>
      <c r="AV106" s="18">
        <f>AU106^3+AS102*AU106+AT102</f>
        <v>2.9568679192781833E-4</v>
      </c>
      <c r="AW106" s="18">
        <f>3*AU106^2+AS102</f>
        <v>1.5167180330045944</v>
      </c>
      <c r="AX106" s="18">
        <f t="shared" si="31"/>
        <v>0.66471574738710149</v>
      </c>
      <c r="AY106" s="31"/>
      <c r="AZ106" s="32"/>
      <c r="BB106" s="267"/>
      <c r="BC106" s="268"/>
      <c r="BD106" s="18" t="e">
        <f t="shared" si="37"/>
        <v>#VALUE!</v>
      </c>
      <c r="BE106" s="18" t="e">
        <f>BD106^3+BB102*BD106+BC102</f>
        <v>#VALUE!</v>
      </c>
      <c r="BF106" s="18" t="e">
        <f>3*BD106^2+BB102</f>
        <v>#VALUE!</v>
      </c>
      <c r="BG106" s="18" t="e">
        <f t="shared" si="32"/>
        <v>#VALUE!</v>
      </c>
      <c r="BH106" s="31"/>
      <c r="BI106" s="32"/>
      <c r="BK106" s="267"/>
      <c r="BL106" s="268"/>
      <c r="BM106" s="18" t="e">
        <f t="shared" si="38"/>
        <v>#VALUE!</v>
      </c>
      <c r="BN106" s="18" t="e">
        <f>BM106^3+BK102*BM106+BL102</f>
        <v>#VALUE!</v>
      </c>
      <c r="BO106" s="18" t="e">
        <f>3*BM106^2+BK102</f>
        <v>#VALUE!</v>
      </c>
      <c r="BP106" s="18" t="e">
        <f t="shared" si="33"/>
        <v>#VALUE!</v>
      </c>
      <c r="BQ106" s="31"/>
      <c r="BR106" s="32"/>
      <c r="BT106" s="267"/>
      <c r="BU106" s="268"/>
      <c r="BV106" s="18" t="e">
        <f t="shared" si="39"/>
        <v>#VALUE!</v>
      </c>
      <c r="BW106" s="18" t="e">
        <f>BV106^3+BT102*BV106+BU102</f>
        <v>#VALUE!</v>
      </c>
      <c r="BX106" s="18" t="e">
        <f>3*BV106^2+BT102</f>
        <v>#VALUE!</v>
      </c>
      <c r="BY106" s="18" t="e">
        <f t="shared" si="34"/>
        <v>#VALUE!</v>
      </c>
      <c r="BZ106" s="31"/>
      <c r="CA106" s="32"/>
    </row>
    <row r="107" spans="36:79" ht="13.5" customHeight="1" x14ac:dyDescent="0.15">
      <c r="AJ107" s="269" t="s">
        <v>9</v>
      </c>
      <c r="AK107" s="270"/>
      <c r="AL107" s="18">
        <f t="shared" si="35"/>
        <v>0.59686380071294787</v>
      </c>
      <c r="AM107" s="18">
        <f>AL107^3+AJ102*AL107+AK102</f>
        <v>1.354472090042691E-14</v>
      </c>
      <c r="AN107" s="18">
        <f>3*AL107^2+AJ102</f>
        <v>1.3399954793242261</v>
      </c>
      <c r="AO107" s="18">
        <f t="shared" si="30"/>
        <v>0.59686380071293776</v>
      </c>
      <c r="AP107" s="31"/>
      <c r="AQ107" s="32"/>
      <c r="AS107" s="269" t="s">
        <v>9</v>
      </c>
      <c r="AT107" s="270"/>
      <c r="AU107" s="18">
        <f t="shared" si="36"/>
        <v>0.66471574738710149</v>
      </c>
      <c r="AV107" s="18">
        <f>AU107^3+AS102*AU107+AT102</f>
        <v>7.5804725385708593E-8</v>
      </c>
      <c r="AW107" s="18">
        <f>3*AU107^2+AS102</f>
        <v>1.5159403941095495</v>
      </c>
      <c r="AX107" s="18">
        <f t="shared" si="31"/>
        <v>0.66471569738201841</v>
      </c>
      <c r="AY107" s="31"/>
      <c r="AZ107" s="32"/>
      <c r="BB107" s="269" t="s">
        <v>9</v>
      </c>
      <c r="BC107" s="270"/>
      <c r="BD107" s="18" t="e">
        <f t="shared" si="37"/>
        <v>#VALUE!</v>
      </c>
      <c r="BE107" s="18" t="e">
        <f>BD107^3+BB102*BD107+BC102</f>
        <v>#VALUE!</v>
      </c>
      <c r="BF107" s="18" t="e">
        <f>3*BD107^2+BB102</f>
        <v>#VALUE!</v>
      </c>
      <c r="BG107" s="18" t="e">
        <f t="shared" si="32"/>
        <v>#VALUE!</v>
      </c>
      <c r="BH107" s="31"/>
      <c r="BI107" s="32"/>
      <c r="BK107" s="269" t="s">
        <v>9</v>
      </c>
      <c r="BL107" s="270"/>
      <c r="BM107" s="18" t="e">
        <f t="shared" si="38"/>
        <v>#VALUE!</v>
      </c>
      <c r="BN107" s="18" t="e">
        <f>BM107^3+BK102*BM107+BL102</f>
        <v>#VALUE!</v>
      </c>
      <c r="BO107" s="18" t="e">
        <f>3*BM107^2+BK102</f>
        <v>#VALUE!</v>
      </c>
      <c r="BP107" s="18" t="e">
        <f t="shared" si="33"/>
        <v>#VALUE!</v>
      </c>
      <c r="BQ107" s="31"/>
      <c r="BR107" s="32"/>
      <c r="BT107" s="269" t="s">
        <v>9</v>
      </c>
      <c r="BU107" s="270"/>
      <c r="BV107" s="18" t="e">
        <f t="shared" si="39"/>
        <v>#VALUE!</v>
      </c>
      <c r="BW107" s="18" t="e">
        <f>BV107^3+BT102*BV107+BU102</f>
        <v>#VALUE!</v>
      </c>
      <c r="BX107" s="18" t="e">
        <f>3*BV107^2+BT102</f>
        <v>#VALUE!</v>
      </c>
      <c r="BY107" s="18" t="e">
        <f t="shared" si="34"/>
        <v>#VALUE!</v>
      </c>
      <c r="BZ107" s="31"/>
      <c r="CA107" s="32"/>
    </row>
    <row r="108" spans="36:79" ht="13.5" customHeight="1" x14ac:dyDescent="0.15">
      <c r="AJ108" s="277">
        <f>3*(AM118^2)*AN118/(8*AO118*AP118)</f>
        <v>0.2152562895197094</v>
      </c>
      <c r="AK108" s="278"/>
      <c r="AL108" s="118">
        <f t="shared" si="35"/>
        <v>0.59686380071293776</v>
      </c>
      <c r="AM108" s="118">
        <f>AL108^3+AJ102*AL108+AK102</f>
        <v>0</v>
      </c>
      <c r="AN108" s="118">
        <f>3*AL108^2+AJ102</f>
        <v>1.3399954793241897</v>
      </c>
      <c r="AO108" s="118">
        <f t="shared" si="30"/>
        <v>0.59686380071293776</v>
      </c>
      <c r="AP108" s="116"/>
      <c r="AQ108" s="117"/>
      <c r="AS108" s="277">
        <f>3*(AV118^2)*AW118/(8*AX118*AY118)</f>
        <v>0.23339931963637062</v>
      </c>
      <c r="AT108" s="278"/>
      <c r="AU108" s="118">
        <f t="shared" si="36"/>
        <v>0.66471569738201841</v>
      </c>
      <c r="AV108" s="118">
        <f>AU108^3+AS102*AU108+AT102</f>
        <v>4.9960036108132044E-15</v>
      </c>
      <c r="AW108" s="118">
        <f>3*AU108^2+AS102</f>
        <v>1.5159401946745599</v>
      </c>
      <c r="AX108" s="118">
        <f t="shared" si="31"/>
        <v>0.66471569738201508</v>
      </c>
      <c r="AY108" s="116"/>
      <c r="AZ108" s="117"/>
      <c r="BB108" s="277" t="e">
        <f>3*(BE118^2)*BF118/(8*BG118*BH118)</f>
        <v>#VALUE!</v>
      </c>
      <c r="BC108" s="278"/>
      <c r="BD108" s="118" t="e">
        <f t="shared" si="37"/>
        <v>#VALUE!</v>
      </c>
      <c r="BE108" s="118" t="e">
        <f>BD108^3+BB102*BD108+BC102</f>
        <v>#VALUE!</v>
      </c>
      <c r="BF108" s="118" t="e">
        <f>3*BD108^2+BB102</f>
        <v>#VALUE!</v>
      </c>
      <c r="BG108" s="118" t="e">
        <f t="shared" si="32"/>
        <v>#VALUE!</v>
      </c>
      <c r="BH108" s="116"/>
      <c r="BI108" s="117"/>
      <c r="BK108" s="277" t="e">
        <f>3*(BN118^2)*BO118/(8*BP118*BQ118)</f>
        <v>#VALUE!</v>
      </c>
      <c r="BL108" s="278"/>
      <c r="BM108" s="118" t="e">
        <f t="shared" si="38"/>
        <v>#VALUE!</v>
      </c>
      <c r="BN108" s="118" t="e">
        <f>BM108^3+BK102*BM108+BL102</f>
        <v>#VALUE!</v>
      </c>
      <c r="BO108" s="118" t="e">
        <f>3*BM108^2+BK102</f>
        <v>#VALUE!</v>
      </c>
      <c r="BP108" s="118" t="e">
        <f t="shared" si="33"/>
        <v>#VALUE!</v>
      </c>
      <c r="BQ108" s="116"/>
      <c r="BR108" s="117"/>
      <c r="BT108" s="277" t="e">
        <f>3*(BW118^2)*BX118/(8*BY118*BZ118)</f>
        <v>#VALUE!</v>
      </c>
      <c r="BU108" s="278"/>
      <c r="BV108" s="118" t="e">
        <f t="shared" si="39"/>
        <v>#VALUE!</v>
      </c>
      <c r="BW108" s="118" t="e">
        <f>BV108^3+BT102*BV108+BU102</f>
        <v>#VALUE!</v>
      </c>
      <c r="BX108" s="118" t="e">
        <f>3*BV108^2+BT102</f>
        <v>#VALUE!</v>
      </c>
      <c r="BY108" s="118" t="e">
        <f t="shared" si="34"/>
        <v>#VALUE!</v>
      </c>
      <c r="BZ108" s="116"/>
      <c r="CA108" s="117"/>
    </row>
    <row r="109" spans="36:79" ht="13.5" customHeight="1" x14ac:dyDescent="0.15">
      <c r="AJ109" s="121"/>
      <c r="AK109" s="122"/>
      <c r="AL109" s="118">
        <f t="shared" si="35"/>
        <v>0.59686380071293776</v>
      </c>
      <c r="AM109" s="118">
        <f>AL109^3+AJ102*AL109+AK102</f>
        <v>0</v>
      </c>
      <c r="AN109" s="118">
        <f>3*AL109^2+AJ102</f>
        <v>1.3399954793241897</v>
      </c>
      <c r="AO109" s="118">
        <f t="shared" si="30"/>
        <v>0.59686380071293776</v>
      </c>
      <c r="AP109" s="119"/>
      <c r="AQ109" s="120"/>
      <c r="AS109" s="121"/>
      <c r="AT109" s="122"/>
      <c r="AU109" s="118">
        <f t="shared" si="36"/>
        <v>0.66471569738201508</v>
      </c>
      <c r="AV109" s="118">
        <f>AU109^3+AS102*AU109+AT102</f>
        <v>0</v>
      </c>
      <c r="AW109" s="118">
        <f>3*AU109^2+AS102</f>
        <v>1.5159401946745465</v>
      </c>
      <c r="AX109" s="118">
        <f t="shared" si="31"/>
        <v>0.66471569738201508</v>
      </c>
      <c r="AY109" s="119"/>
      <c r="AZ109" s="120"/>
      <c r="BB109" s="121"/>
      <c r="BC109" s="122"/>
      <c r="BD109" s="118" t="e">
        <f t="shared" si="37"/>
        <v>#VALUE!</v>
      </c>
      <c r="BE109" s="118" t="e">
        <f>BD109^3+BB102*BD109+BC102</f>
        <v>#VALUE!</v>
      </c>
      <c r="BF109" s="118" t="e">
        <f>3*BD109^2+BB102</f>
        <v>#VALUE!</v>
      </c>
      <c r="BG109" s="118" t="e">
        <f t="shared" si="32"/>
        <v>#VALUE!</v>
      </c>
      <c r="BH109" s="119"/>
      <c r="BI109" s="120"/>
      <c r="BK109" s="121"/>
      <c r="BL109" s="122"/>
      <c r="BM109" s="118" t="e">
        <f t="shared" si="38"/>
        <v>#VALUE!</v>
      </c>
      <c r="BN109" s="118" t="e">
        <f>BM109^3+BK102*BM109+BL102</f>
        <v>#VALUE!</v>
      </c>
      <c r="BO109" s="118" t="e">
        <f>3*BM109^2+BK102</f>
        <v>#VALUE!</v>
      </c>
      <c r="BP109" s="118" t="e">
        <f t="shared" si="33"/>
        <v>#VALUE!</v>
      </c>
      <c r="BQ109" s="119"/>
      <c r="BR109" s="120"/>
      <c r="BT109" s="121"/>
      <c r="BU109" s="122"/>
      <c r="BV109" s="118" t="e">
        <f t="shared" si="39"/>
        <v>#VALUE!</v>
      </c>
      <c r="BW109" s="118" t="e">
        <f>BV109^3+BT102*BV109+BU102</f>
        <v>#VALUE!</v>
      </c>
      <c r="BX109" s="118" t="e">
        <f>3*BV109^2+BT102</f>
        <v>#VALUE!</v>
      </c>
      <c r="BY109" s="118" t="e">
        <f t="shared" si="34"/>
        <v>#VALUE!</v>
      </c>
      <c r="BZ109" s="119"/>
      <c r="CA109" s="120"/>
    </row>
    <row r="110" spans="36:79" ht="13.5" customHeight="1" x14ac:dyDescent="0.15">
      <c r="AJ110" s="269" t="s">
        <v>10</v>
      </c>
      <c r="AK110" s="270"/>
      <c r="AL110" s="118">
        <f t="shared" si="35"/>
        <v>0.59686380071293776</v>
      </c>
      <c r="AM110" s="118">
        <f>AL110^3+AJ102*AL110+AK102</f>
        <v>0</v>
      </c>
      <c r="AN110" s="118">
        <f>3*AL110^2+AJ102</f>
        <v>1.3399954793241897</v>
      </c>
      <c r="AO110" s="118">
        <f t="shared" si="30"/>
        <v>0.59686380071293776</v>
      </c>
      <c r="AP110" s="14" t="s">
        <v>148</v>
      </c>
      <c r="AQ110" s="123">
        <f>AO116</f>
        <v>0.59686380071293776</v>
      </c>
      <c r="AS110" s="269" t="s">
        <v>10</v>
      </c>
      <c r="AT110" s="270"/>
      <c r="AU110" s="118">
        <f t="shared" si="36"/>
        <v>0.66471569738201508</v>
      </c>
      <c r="AV110" s="118">
        <f>AU110^3+AS102*AU110+AT102</f>
        <v>0</v>
      </c>
      <c r="AW110" s="118">
        <f>3*AU110^2+AS102</f>
        <v>1.5159401946745465</v>
      </c>
      <c r="AX110" s="118">
        <f t="shared" si="31"/>
        <v>0.66471569738201508</v>
      </c>
      <c r="AY110" s="14" t="s">
        <v>148</v>
      </c>
      <c r="AZ110" s="123">
        <f>AX116</f>
        <v>0.66471569738201508</v>
      </c>
      <c r="BB110" s="269" t="s">
        <v>10</v>
      </c>
      <c r="BC110" s="270"/>
      <c r="BD110" s="118" t="e">
        <f t="shared" si="37"/>
        <v>#VALUE!</v>
      </c>
      <c r="BE110" s="118" t="e">
        <f>BD110^3+BB102*BD110+BC102</f>
        <v>#VALUE!</v>
      </c>
      <c r="BF110" s="118" t="e">
        <f>3*BD110^2+BB102</f>
        <v>#VALUE!</v>
      </c>
      <c r="BG110" s="118" t="e">
        <f t="shared" si="32"/>
        <v>#VALUE!</v>
      </c>
      <c r="BH110" s="14" t="s">
        <v>148</v>
      </c>
      <c r="BI110" s="123" t="e">
        <f>BG116</f>
        <v>#VALUE!</v>
      </c>
      <c r="BK110" s="269" t="s">
        <v>10</v>
      </c>
      <c r="BL110" s="270"/>
      <c r="BM110" s="118" t="e">
        <f t="shared" si="38"/>
        <v>#VALUE!</v>
      </c>
      <c r="BN110" s="118" t="e">
        <f>BM110^3+BK102*BM110+BL102</f>
        <v>#VALUE!</v>
      </c>
      <c r="BO110" s="118" t="e">
        <f>3*BM110^2+BK102</f>
        <v>#VALUE!</v>
      </c>
      <c r="BP110" s="118" t="e">
        <f t="shared" si="33"/>
        <v>#VALUE!</v>
      </c>
      <c r="BQ110" s="14" t="s">
        <v>148</v>
      </c>
      <c r="BR110" s="123" t="e">
        <f>BP116</f>
        <v>#VALUE!</v>
      </c>
      <c r="BT110" s="269" t="s">
        <v>10</v>
      </c>
      <c r="BU110" s="270"/>
      <c r="BV110" s="118" t="e">
        <f t="shared" si="39"/>
        <v>#VALUE!</v>
      </c>
      <c r="BW110" s="118" t="e">
        <f>BV110^3+BT102*BV110+BU102</f>
        <v>#VALUE!</v>
      </c>
      <c r="BX110" s="118" t="e">
        <f>3*BV110^2+BT102</f>
        <v>#VALUE!</v>
      </c>
      <c r="BY110" s="118" t="e">
        <f t="shared" si="34"/>
        <v>#VALUE!</v>
      </c>
      <c r="BZ110" s="14" t="s">
        <v>148</v>
      </c>
      <c r="CA110" s="123" t="e">
        <f>BY116</f>
        <v>#VALUE!</v>
      </c>
    </row>
    <row r="111" spans="36:79" ht="13.5" customHeight="1" x14ac:dyDescent="0.15">
      <c r="AJ111" s="271">
        <f>AJ108*AL118*AJ118/AK118</f>
        <v>0.3745336381958787</v>
      </c>
      <c r="AK111" s="272"/>
      <c r="AL111" s="118">
        <f t="shared" si="35"/>
        <v>0.59686380071293776</v>
      </c>
      <c r="AM111" s="118">
        <f>AL111^3+AJ102*AL111+AK102</f>
        <v>0</v>
      </c>
      <c r="AN111" s="118">
        <f>3*AL111^2+AJ102</f>
        <v>1.3399954793241897</v>
      </c>
      <c r="AO111" s="118">
        <f t="shared" si="30"/>
        <v>0.59686380071293776</v>
      </c>
      <c r="AP111" s="14" t="s">
        <v>149</v>
      </c>
      <c r="AQ111" s="124">
        <f>AJ118*AM118^2/(8*AO116)</f>
        <v>466.42274659389005</v>
      </c>
      <c r="AS111" s="271">
        <f>AS108*AU118*AS118/AT118</f>
        <v>0.42026402558627385</v>
      </c>
      <c r="AT111" s="272"/>
      <c r="AU111" s="118">
        <f t="shared" si="36"/>
        <v>0.66471569738201508</v>
      </c>
      <c r="AV111" s="118">
        <f>AU111^3+AS102*AU111+AT102</f>
        <v>0</v>
      </c>
      <c r="AW111" s="118">
        <f>3*AU111^2+AS102</f>
        <v>1.5159401946745465</v>
      </c>
      <c r="AX111" s="118">
        <f t="shared" si="31"/>
        <v>0.66471569738201508</v>
      </c>
      <c r="AY111" s="14" t="s">
        <v>149</v>
      </c>
      <c r="AZ111" s="124">
        <f>AS118*AV118^2/(8*AX116)</f>
        <v>822.41015224259456</v>
      </c>
      <c r="BB111" s="271" t="e">
        <f>BB108*BD118*BB118/BC118</f>
        <v>#VALUE!</v>
      </c>
      <c r="BC111" s="272"/>
      <c r="BD111" s="118" t="e">
        <f t="shared" si="37"/>
        <v>#VALUE!</v>
      </c>
      <c r="BE111" s="118" t="e">
        <f>BD111^3+BB102*BD111+BC102</f>
        <v>#VALUE!</v>
      </c>
      <c r="BF111" s="118" t="e">
        <f>3*BD111^2+BB102</f>
        <v>#VALUE!</v>
      </c>
      <c r="BG111" s="118" t="e">
        <f t="shared" si="32"/>
        <v>#VALUE!</v>
      </c>
      <c r="BH111" s="14" t="s">
        <v>149</v>
      </c>
      <c r="BI111" s="124" t="e">
        <f>BB118*BE118^2/(8*BG116)</f>
        <v>#VALUE!</v>
      </c>
      <c r="BK111" s="271" t="e">
        <f>BK108*BM118*BK118/BL118</f>
        <v>#VALUE!</v>
      </c>
      <c r="BL111" s="272"/>
      <c r="BM111" s="118" t="e">
        <f t="shared" si="38"/>
        <v>#VALUE!</v>
      </c>
      <c r="BN111" s="118" t="e">
        <f>BM111^3+BK102*BM111+BL102</f>
        <v>#VALUE!</v>
      </c>
      <c r="BO111" s="118" t="e">
        <f>3*BM111^2+BK102</f>
        <v>#VALUE!</v>
      </c>
      <c r="BP111" s="118" t="e">
        <f t="shared" si="33"/>
        <v>#VALUE!</v>
      </c>
      <c r="BQ111" s="14" t="s">
        <v>149</v>
      </c>
      <c r="BR111" s="124" t="e">
        <f>BK118*BN118^2/(8*BP116)</f>
        <v>#VALUE!</v>
      </c>
      <c r="BT111" s="271" t="e">
        <f>BT108*BV118*BT118/BU118</f>
        <v>#VALUE!</v>
      </c>
      <c r="BU111" s="272"/>
      <c r="BV111" s="118" t="e">
        <f t="shared" si="39"/>
        <v>#VALUE!</v>
      </c>
      <c r="BW111" s="118" t="e">
        <f>BV111^3+BT102*BV111+BU102</f>
        <v>#VALUE!</v>
      </c>
      <c r="BX111" s="118" t="e">
        <f>3*BV111^2+BT102</f>
        <v>#VALUE!</v>
      </c>
      <c r="BY111" s="118" t="e">
        <f t="shared" si="34"/>
        <v>#VALUE!</v>
      </c>
      <c r="BZ111" s="14" t="s">
        <v>149</v>
      </c>
      <c r="CA111" s="124" t="e">
        <f>BT118*BW118^2/(8*BY116)</f>
        <v>#VALUE!</v>
      </c>
    </row>
    <row r="112" spans="36:79" ht="13.5" customHeight="1" x14ac:dyDescent="0.15">
      <c r="AJ112" s="125"/>
      <c r="AK112" s="126"/>
      <c r="AL112" s="118">
        <f t="shared" si="35"/>
        <v>0.59686380071293776</v>
      </c>
      <c r="AM112" s="118">
        <f>AL112^3+AJ102*AL112+AK102</f>
        <v>0</v>
      </c>
      <c r="AN112" s="118">
        <f>3*AL112^2+AJ102</f>
        <v>1.3399954793241897</v>
      </c>
      <c r="AO112" s="118">
        <f t="shared" si="30"/>
        <v>0.59686380071293776</v>
      </c>
      <c r="AP112" s="116"/>
      <c r="AQ112" s="117"/>
      <c r="AS112" s="125"/>
      <c r="AT112" s="126"/>
      <c r="AU112" s="118">
        <f t="shared" si="36"/>
        <v>0.66471569738201508</v>
      </c>
      <c r="AV112" s="118">
        <f>AU112^3+AS102*AU112+AT102</f>
        <v>0</v>
      </c>
      <c r="AW112" s="118">
        <f>3*AU112^2+AS102</f>
        <v>1.5159401946745465</v>
      </c>
      <c r="AX112" s="118">
        <f t="shared" si="31"/>
        <v>0.66471569738201508</v>
      </c>
      <c r="AY112" s="116"/>
      <c r="AZ112" s="117"/>
      <c r="BB112" s="125"/>
      <c r="BC112" s="126"/>
      <c r="BD112" s="118" t="e">
        <f t="shared" si="37"/>
        <v>#VALUE!</v>
      </c>
      <c r="BE112" s="118" t="e">
        <f>BD112^3+BB102*BD112+BC102</f>
        <v>#VALUE!</v>
      </c>
      <c r="BF112" s="118" t="e">
        <f>3*BD112^2+BB102</f>
        <v>#VALUE!</v>
      </c>
      <c r="BG112" s="118" t="e">
        <f t="shared" si="32"/>
        <v>#VALUE!</v>
      </c>
      <c r="BH112" s="116"/>
      <c r="BI112" s="117"/>
      <c r="BK112" s="125"/>
      <c r="BL112" s="126"/>
      <c r="BM112" s="118" t="e">
        <f t="shared" si="38"/>
        <v>#VALUE!</v>
      </c>
      <c r="BN112" s="118" t="e">
        <f>BM112^3+BK102*BM112+BL102</f>
        <v>#VALUE!</v>
      </c>
      <c r="BO112" s="118" t="e">
        <f>3*BM112^2+BK102</f>
        <v>#VALUE!</v>
      </c>
      <c r="BP112" s="118" t="e">
        <f t="shared" si="33"/>
        <v>#VALUE!</v>
      </c>
      <c r="BQ112" s="116"/>
      <c r="BR112" s="117"/>
      <c r="BT112" s="125"/>
      <c r="BU112" s="126"/>
      <c r="BV112" s="118" t="e">
        <f t="shared" si="39"/>
        <v>#VALUE!</v>
      </c>
      <c r="BW112" s="118" t="e">
        <f>BV112^3+BT102*BV112+BU102</f>
        <v>#VALUE!</v>
      </c>
      <c r="BX112" s="118" t="e">
        <f>3*BV112^2+BT102</f>
        <v>#VALUE!</v>
      </c>
      <c r="BY112" s="118" t="e">
        <f t="shared" si="34"/>
        <v>#VALUE!</v>
      </c>
      <c r="BZ112" s="116"/>
      <c r="CA112" s="117"/>
    </row>
    <row r="113" spans="36:79" ht="13.5" customHeight="1" x14ac:dyDescent="0.15">
      <c r="AJ113" s="125"/>
      <c r="AK113" s="126"/>
      <c r="AL113" s="118">
        <f t="shared" si="35"/>
        <v>0.59686380071293776</v>
      </c>
      <c r="AM113" s="118">
        <f>AL113^3+AJ102*AL113+AK102</f>
        <v>0</v>
      </c>
      <c r="AN113" s="118">
        <f>3*AL113^2+AJ102</f>
        <v>1.3399954793241897</v>
      </c>
      <c r="AO113" s="118">
        <f t="shared" si="30"/>
        <v>0.59686380071293776</v>
      </c>
      <c r="AP113" s="112" t="s">
        <v>147</v>
      </c>
      <c r="AQ113" s="113">
        <v>-15</v>
      </c>
      <c r="AS113" s="125"/>
      <c r="AT113" s="126"/>
      <c r="AU113" s="118">
        <f t="shared" si="36"/>
        <v>0.66471569738201508</v>
      </c>
      <c r="AV113" s="118">
        <f>AU113^3+AS102*AU113+AT102</f>
        <v>0</v>
      </c>
      <c r="AW113" s="118">
        <f>3*AU113^2+AS102</f>
        <v>1.5159401946745465</v>
      </c>
      <c r="AX113" s="118">
        <f t="shared" si="31"/>
        <v>0.66471569738201508</v>
      </c>
      <c r="AY113" s="112" t="s">
        <v>147</v>
      </c>
      <c r="AZ113" s="113">
        <v>-15</v>
      </c>
      <c r="BB113" s="125"/>
      <c r="BC113" s="126"/>
      <c r="BD113" s="118" t="e">
        <f t="shared" si="37"/>
        <v>#VALUE!</v>
      </c>
      <c r="BE113" s="118" t="e">
        <f>BD113^3+BB102*BD113+BC102</f>
        <v>#VALUE!</v>
      </c>
      <c r="BF113" s="118" t="e">
        <f>3*BD113^2+BB102</f>
        <v>#VALUE!</v>
      </c>
      <c r="BG113" s="118" t="e">
        <f t="shared" si="32"/>
        <v>#VALUE!</v>
      </c>
      <c r="BH113" s="112" t="s">
        <v>147</v>
      </c>
      <c r="BI113" s="113">
        <v>-15</v>
      </c>
      <c r="BK113" s="125"/>
      <c r="BL113" s="126"/>
      <c r="BM113" s="118" t="e">
        <f t="shared" si="38"/>
        <v>#VALUE!</v>
      </c>
      <c r="BN113" s="118" t="e">
        <f>BM113^3+BK102*BM113+BL102</f>
        <v>#VALUE!</v>
      </c>
      <c r="BO113" s="118" t="e">
        <f>3*BM113^2+BK102</f>
        <v>#VALUE!</v>
      </c>
      <c r="BP113" s="118" t="e">
        <f t="shared" si="33"/>
        <v>#VALUE!</v>
      </c>
      <c r="BQ113" s="112" t="s">
        <v>147</v>
      </c>
      <c r="BR113" s="113">
        <v>-15</v>
      </c>
      <c r="BT113" s="125"/>
      <c r="BU113" s="126"/>
      <c r="BV113" s="118" t="e">
        <f t="shared" si="39"/>
        <v>#VALUE!</v>
      </c>
      <c r="BW113" s="118" t="e">
        <f>BV113^3+BT102*BV113+BU102</f>
        <v>#VALUE!</v>
      </c>
      <c r="BX113" s="118" t="e">
        <f>3*BV113^2+BT102</f>
        <v>#VALUE!</v>
      </c>
      <c r="BY113" s="118" t="e">
        <f t="shared" si="34"/>
        <v>#VALUE!</v>
      </c>
      <c r="BZ113" s="112" t="s">
        <v>147</v>
      </c>
      <c r="CA113" s="113">
        <v>-15</v>
      </c>
    </row>
    <row r="114" spans="36:79" ht="13.5" customHeight="1" x14ac:dyDescent="0.15">
      <c r="AJ114" s="125"/>
      <c r="AK114" s="126"/>
      <c r="AL114" s="118">
        <f t="shared" si="35"/>
        <v>0.59686380071293776</v>
      </c>
      <c r="AM114" s="118">
        <f>AL114^3+AJ102*AL114+AK102</f>
        <v>0</v>
      </c>
      <c r="AN114" s="118">
        <f>3*AL114^2+AJ102</f>
        <v>1.3399954793241897</v>
      </c>
      <c r="AO114" s="118">
        <f t="shared" si="30"/>
        <v>0.59686380071293776</v>
      </c>
      <c r="AP114" s="128" t="s">
        <v>155</v>
      </c>
      <c r="AQ114" s="32"/>
      <c r="AS114" s="125"/>
      <c r="AT114" s="126"/>
      <c r="AU114" s="118">
        <f t="shared" si="36"/>
        <v>0.66471569738201508</v>
      </c>
      <c r="AV114" s="118">
        <f>AU114^3+AS102*AU114+AT102</f>
        <v>0</v>
      </c>
      <c r="AW114" s="118">
        <f>3*AU114^2+AS102</f>
        <v>1.5159401946745465</v>
      </c>
      <c r="AX114" s="118">
        <f t="shared" si="31"/>
        <v>0.66471569738201508</v>
      </c>
      <c r="AY114" s="128" t="s">
        <v>154</v>
      </c>
      <c r="AZ114" s="32"/>
      <c r="BB114" s="125"/>
      <c r="BC114" s="126"/>
      <c r="BD114" s="118" t="e">
        <f t="shared" si="37"/>
        <v>#VALUE!</v>
      </c>
      <c r="BE114" s="118" t="e">
        <f>BD114^3+BB102*BD114+BC102</f>
        <v>#VALUE!</v>
      </c>
      <c r="BF114" s="118" t="e">
        <f>3*BD114^2+BB102</f>
        <v>#VALUE!</v>
      </c>
      <c r="BG114" s="118" t="e">
        <f t="shared" si="32"/>
        <v>#VALUE!</v>
      </c>
      <c r="BH114" s="128" t="s">
        <v>153</v>
      </c>
      <c r="BI114" s="32"/>
      <c r="BK114" s="125"/>
      <c r="BL114" s="126"/>
      <c r="BM114" s="118" t="e">
        <f t="shared" si="38"/>
        <v>#VALUE!</v>
      </c>
      <c r="BN114" s="118" t="e">
        <f>BM114^3+BK102*BM114+BL102</f>
        <v>#VALUE!</v>
      </c>
      <c r="BO114" s="118" t="e">
        <f>3*BM114^2+BK102</f>
        <v>#VALUE!</v>
      </c>
      <c r="BP114" s="118" t="e">
        <f t="shared" si="33"/>
        <v>#VALUE!</v>
      </c>
      <c r="BQ114" s="128" t="s">
        <v>152</v>
      </c>
      <c r="BR114" s="32"/>
      <c r="BT114" s="125"/>
      <c r="BU114" s="126"/>
      <c r="BV114" s="118" t="e">
        <f t="shared" si="39"/>
        <v>#VALUE!</v>
      </c>
      <c r="BW114" s="118" t="e">
        <f>BV114^3+BT102*BV114+BU102</f>
        <v>#VALUE!</v>
      </c>
      <c r="BX114" s="118" t="e">
        <f>3*BV114^2+BT102</f>
        <v>#VALUE!</v>
      </c>
      <c r="BY114" s="118" t="e">
        <f t="shared" si="34"/>
        <v>#VALUE!</v>
      </c>
      <c r="BZ114" s="128" t="s">
        <v>151</v>
      </c>
      <c r="CA114" s="32"/>
    </row>
    <row r="115" spans="36:79" ht="13.5" customHeight="1" x14ac:dyDescent="0.15">
      <c r="AJ115" s="125"/>
      <c r="AK115" s="126"/>
      <c r="AL115" s="18">
        <f t="shared" si="35"/>
        <v>0.59686380071293776</v>
      </c>
      <c r="AM115" s="18">
        <f>AL115^3+AJ102*AL115+AK102</f>
        <v>0</v>
      </c>
      <c r="AN115" s="18">
        <f>3*AL115^2+AJ102</f>
        <v>1.3399954793241897</v>
      </c>
      <c r="AO115" s="18">
        <f t="shared" si="30"/>
        <v>0.59686380071293776</v>
      </c>
      <c r="AP115" s="279" t="s">
        <v>150</v>
      </c>
      <c r="AQ115" s="280"/>
      <c r="AS115" s="125"/>
      <c r="AT115" s="126"/>
      <c r="AU115" s="18">
        <f t="shared" si="36"/>
        <v>0.66471569738201508</v>
      </c>
      <c r="AV115" s="18">
        <f>AU115^3+AS102*AU115+AT102</f>
        <v>0</v>
      </c>
      <c r="AW115" s="18">
        <f>3*AU115^2+AS102</f>
        <v>1.5159401946745465</v>
      </c>
      <c r="AX115" s="18">
        <f t="shared" si="31"/>
        <v>0.66471569738201508</v>
      </c>
      <c r="AY115" s="279" t="s">
        <v>150</v>
      </c>
      <c r="AZ115" s="280"/>
      <c r="BB115" s="125"/>
      <c r="BC115" s="126"/>
      <c r="BD115" s="18" t="e">
        <f t="shared" si="37"/>
        <v>#VALUE!</v>
      </c>
      <c r="BE115" s="18" t="e">
        <f>BD115^3+BB102*BD115+BC102</f>
        <v>#VALUE!</v>
      </c>
      <c r="BF115" s="18" t="e">
        <f>3*BD115^2+BB102</f>
        <v>#VALUE!</v>
      </c>
      <c r="BG115" s="18" t="e">
        <f t="shared" si="32"/>
        <v>#VALUE!</v>
      </c>
      <c r="BH115" s="279" t="s">
        <v>150</v>
      </c>
      <c r="BI115" s="280"/>
      <c r="BK115" s="125"/>
      <c r="BL115" s="126"/>
      <c r="BM115" s="18" t="e">
        <f t="shared" si="38"/>
        <v>#VALUE!</v>
      </c>
      <c r="BN115" s="18" t="e">
        <f>BM115^3+BK102*BM115+BL102</f>
        <v>#VALUE!</v>
      </c>
      <c r="BO115" s="18" t="e">
        <f>3*BM115^2+BK102</f>
        <v>#VALUE!</v>
      </c>
      <c r="BP115" s="18" t="e">
        <f t="shared" si="33"/>
        <v>#VALUE!</v>
      </c>
      <c r="BQ115" s="279" t="s">
        <v>150</v>
      </c>
      <c r="BR115" s="280"/>
      <c r="BT115" s="125"/>
      <c r="BU115" s="126"/>
      <c r="BV115" s="18" t="e">
        <f t="shared" si="39"/>
        <v>#VALUE!</v>
      </c>
      <c r="BW115" s="18" t="e">
        <f>BV115^3+BT102*BV115+BU102</f>
        <v>#VALUE!</v>
      </c>
      <c r="BX115" s="18" t="e">
        <f>3*BV115^2+BT102</f>
        <v>#VALUE!</v>
      </c>
      <c r="BY115" s="18" t="e">
        <f t="shared" si="34"/>
        <v>#VALUE!</v>
      </c>
      <c r="BZ115" s="279" t="s">
        <v>150</v>
      </c>
      <c r="CA115" s="280"/>
    </row>
    <row r="116" spans="36:79" ht="13.5" customHeight="1" thickBot="1" x14ac:dyDescent="0.2">
      <c r="AJ116" s="125"/>
      <c r="AK116" s="126"/>
      <c r="AL116" s="114">
        <f>AO115</f>
        <v>0.59686380071293776</v>
      </c>
      <c r="AM116" s="115">
        <f>AL116^3+AJ102*AL116+AK102</f>
        <v>0</v>
      </c>
      <c r="AN116" s="115">
        <f>3*AL116^2+AJ102</f>
        <v>1.3399954793241897</v>
      </c>
      <c r="AO116" s="115">
        <f t="shared" si="30"/>
        <v>0.59686380071293776</v>
      </c>
      <c r="AP116" s="281"/>
      <c r="AQ116" s="282"/>
      <c r="AS116" s="125"/>
      <c r="AT116" s="126"/>
      <c r="AU116" s="114">
        <f>AX115</f>
        <v>0.66471569738201508</v>
      </c>
      <c r="AV116" s="115">
        <f>AU116^3+AS102*AU116+AT102</f>
        <v>0</v>
      </c>
      <c r="AW116" s="115">
        <f>3*AU116^2+AS102</f>
        <v>1.5159401946745465</v>
      </c>
      <c r="AX116" s="115">
        <f t="shared" si="31"/>
        <v>0.66471569738201508</v>
      </c>
      <c r="AY116" s="281"/>
      <c r="AZ116" s="282"/>
      <c r="BB116" s="125"/>
      <c r="BC116" s="126"/>
      <c r="BD116" s="114" t="e">
        <f>BG115</f>
        <v>#VALUE!</v>
      </c>
      <c r="BE116" s="115" t="e">
        <f>BD116^3+BB102*BD116+BC102</f>
        <v>#VALUE!</v>
      </c>
      <c r="BF116" s="115" t="e">
        <f>3*BD116^2+BB102</f>
        <v>#VALUE!</v>
      </c>
      <c r="BG116" s="115" t="e">
        <f t="shared" si="32"/>
        <v>#VALUE!</v>
      </c>
      <c r="BH116" s="281"/>
      <c r="BI116" s="282"/>
      <c r="BK116" s="125"/>
      <c r="BL116" s="126"/>
      <c r="BM116" s="114" t="e">
        <f>BP115</f>
        <v>#VALUE!</v>
      </c>
      <c r="BN116" s="115" t="e">
        <f>BM116^3+BK102*BM116+BL102</f>
        <v>#VALUE!</v>
      </c>
      <c r="BO116" s="115" t="e">
        <f>3*BM116^2+BK102</f>
        <v>#VALUE!</v>
      </c>
      <c r="BP116" s="115" t="e">
        <f t="shared" si="33"/>
        <v>#VALUE!</v>
      </c>
      <c r="BQ116" s="281"/>
      <c r="BR116" s="282"/>
      <c r="BT116" s="125"/>
      <c r="BU116" s="126"/>
      <c r="BV116" s="114" t="e">
        <f>BY115</f>
        <v>#VALUE!</v>
      </c>
      <c r="BW116" s="115" t="e">
        <f>BV116^3+BT102*BV116+BU102</f>
        <v>#VALUE!</v>
      </c>
      <c r="BX116" s="115" t="e">
        <f>3*BV116^2+BT102</f>
        <v>#VALUE!</v>
      </c>
      <c r="BY116" s="115" t="e">
        <f t="shared" si="34"/>
        <v>#VALUE!</v>
      </c>
      <c r="BZ116" s="281"/>
      <c r="CA116" s="282"/>
    </row>
    <row r="117" spans="36:79" ht="13.5" customHeight="1" x14ac:dyDescent="0.15">
      <c r="AJ117" s="62" t="s">
        <v>52</v>
      </c>
      <c r="AK117" s="12" t="s">
        <v>53</v>
      </c>
      <c r="AL117" s="12" t="s">
        <v>54</v>
      </c>
      <c r="AM117" s="12" t="s">
        <v>55</v>
      </c>
      <c r="AN117" s="12" t="s">
        <v>56</v>
      </c>
      <c r="AO117" s="63" t="s">
        <v>57</v>
      </c>
      <c r="AP117" s="12" t="s">
        <v>58</v>
      </c>
      <c r="AQ117" s="13" t="s">
        <v>59</v>
      </c>
      <c r="AS117" s="62" t="s">
        <v>52</v>
      </c>
      <c r="AT117" s="12" t="s">
        <v>53</v>
      </c>
      <c r="AU117" s="12" t="s">
        <v>54</v>
      </c>
      <c r="AV117" s="12" t="s">
        <v>55</v>
      </c>
      <c r="AW117" s="12" t="s">
        <v>56</v>
      </c>
      <c r="AX117" s="63" t="s">
        <v>57</v>
      </c>
      <c r="AY117" s="12" t="s">
        <v>58</v>
      </c>
      <c r="AZ117" s="13" t="s">
        <v>59</v>
      </c>
      <c r="BB117" s="62" t="s">
        <v>52</v>
      </c>
      <c r="BC117" s="12" t="s">
        <v>53</v>
      </c>
      <c r="BD117" s="12" t="s">
        <v>54</v>
      </c>
      <c r="BE117" s="12" t="s">
        <v>55</v>
      </c>
      <c r="BF117" s="12" t="s">
        <v>56</v>
      </c>
      <c r="BG117" s="63" t="s">
        <v>57</v>
      </c>
      <c r="BH117" s="12" t="s">
        <v>58</v>
      </c>
      <c r="BI117" s="13" t="s">
        <v>59</v>
      </c>
      <c r="BK117" s="62" t="s">
        <v>52</v>
      </c>
      <c r="BL117" s="12" t="s">
        <v>53</v>
      </c>
      <c r="BM117" s="12" t="s">
        <v>54</v>
      </c>
      <c r="BN117" s="12" t="s">
        <v>55</v>
      </c>
      <c r="BO117" s="12" t="s">
        <v>56</v>
      </c>
      <c r="BP117" s="63" t="s">
        <v>57</v>
      </c>
      <c r="BQ117" s="12" t="s">
        <v>58</v>
      </c>
      <c r="BR117" s="13" t="s">
        <v>59</v>
      </c>
      <c r="BT117" s="62" t="s">
        <v>52</v>
      </c>
      <c r="BU117" s="12" t="s">
        <v>53</v>
      </c>
      <c r="BV117" s="12" t="s">
        <v>54</v>
      </c>
      <c r="BW117" s="12" t="s">
        <v>55</v>
      </c>
      <c r="BX117" s="12" t="s">
        <v>56</v>
      </c>
      <c r="BY117" s="63" t="s">
        <v>57</v>
      </c>
      <c r="BZ117" s="12" t="s">
        <v>58</v>
      </c>
      <c r="CA117" s="13" t="s">
        <v>59</v>
      </c>
    </row>
    <row r="118" spans="36:79" ht="13.5" customHeight="1" thickBot="1" x14ac:dyDescent="0.2">
      <c r="AJ118" s="107">
        <f>P23</f>
        <v>1.3919542663549833</v>
      </c>
      <c r="AK118" s="108">
        <f>M23+U23</f>
        <v>0.4</v>
      </c>
      <c r="AL118" s="108">
        <f>IF(C33="",L19*(F19/40)^2,C33)</f>
        <v>0.5</v>
      </c>
      <c r="AM118" s="108">
        <f>F19</f>
        <v>40</v>
      </c>
      <c r="AN118" s="108">
        <f>AK78*1600/(8*L19)</f>
        <v>160</v>
      </c>
      <c r="AO118" s="109">
        <f>V23</f>
        <v>12000</v>
      </c>
      <c r="AP118" s="108">
        <f>L23</f>
        <v>37.164999999999999</v>
      </c>
      <c r="AQ118" s="110">
        <f>W23</f>
        <v>170</v>
      </c>
      <c r="AS118" s="107">
        <f>IF(B24="使用電線-2",P24,IF(B25="使用電線-2",P25,IF(B26="使用電線-2",P26,IF(B27="使用電線-2",P27,IF(B28="使用電線-2",P28,IF(B29="使用電線-2",P29,""))))))</f>
        <v>2.7333446894099271</v>
      </c>
      <c r="AT11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118" s="108">
        <f>IF(I33="",L19*(F19/40)^2,I33)</f>
        <v>0.5</v>
      </c>
      <c r="AV118" s="108">
        <f>F19</f>
        <v>40</v>
      </c>
      <c r="AW118" s="108">
        <f>AT118*1600/(8*L19)</f>
        <v>303.60000000000002</v>
      </c>
      <c r="AX118" s="109">
        <f>IF(B24="使用電線-2",V24,IF(B25="使用電線-2",V25,IF(B26="使用電線-2",V26,IF(B27="使用電線-2",V27,IF(B28="使用電線-2",V28,IF(B29="使用電線-2",V29,""))))))</f>
        <v>21000</v>
      </c>
      <c r="AY118" s="108">
        <f>IF(B24="使用電線-2",L24,IF(B25="使用電線-2",L25,IF(B26="使用電線-2",L26,IF(B27="使用電線-2",L27,IF(B28="使用電線-2",L28,IF(B29="使用電線-2",L29,""))))))</f>
        <v>37.164999999999999</v>
      </c>
      <c r="AZ118" s="110">
        <f>IF(B24="使用電線-2",W24,IF(B25="使用電線-2",W25,IF(B26="使用電線-2",W26,IF(B27="使用電線-2",W27,IF(B28="使用電線-2",W28,IF(B29="使用電線-2",W29,""))))))</f>
        <v>115</v>
      </c>
      <c r="BB118" s="107" t="str">
        <f>IF(B25="使用電線-3",P25,IF(B26="使用電線-3",P26,IF(B27="使用電線-3",P27,IF(B28="使用電線-3",P28,IF(B29="使用電線-3",P29,"")))))</f>
        <v/>
      </c>
      <c r="BC118" s="108" t="str">
        <f>IF(B25="使用電線-3",M25+U25,IF(B26="使用電線-3",M26+U26,IF(B27="使用電線-3",M27+U27,IF(B28="使用電線-3",M28+U28,IF(B29="使用電線-3",M29+U29,"")))))</f>
        <v/>
      </c>
      <c r="BD118" s="108">
        <f>IF(N33="",L19*(F19/40)^2,N33)</f>
        <v>0.5</v>
      </c>
      <c r="BE118" s="108">
        <f>F19</f>
        <v>40</v>
      </c>
      <c r="BF118" s="108" t="e">
        <f>BC118*1600/(8*L19)</f>
        <v>#VALUE!</v>
      </c>
      <c r="BG118" s="109" t="str">
        <f>IF(B25="使用電線-3",V25,IF(B26="使用電線-3",V26,IF(B27="使用電線-3",V27,IF(B28="使用電線-3",V28,IF(B29="使用電線-3",V29,"")))))</f>
        <v/>
      </c>
      <c r="BH118" s="108" t="str">
        <f>IF(B25="使用電線-3",L25,IF(B26="使用電線-3",L26,IF(B27="使用電線-3",L27,IF(B28="使用電線-3",L28,IF(B29="使用電線-3",L29,"")))))</f>
        <v/>
      </c>
      <c r="BI118" s="110" t="str">
        <f>IF(B25="使用電線-3",W25,IF(B26="使用電線-3",W26,IF(B27="使用電線-3",W27,IF(B28="使用電線-3",W28,IF(B29="使用電線-3",W29,"")))))</f>
        <v/>
      </c>
      <c r="BK118" s="107" t="str">
        <f>IF(B26="使用電線-4",P26,IF(B27="使用電線-4",P27,IF(B28="使用電線-4",P28,IF(B29="使用電線-4",P29,""))))</f>
        <v/>
      </c>
      <c r="BL118" s="108" t="str">
        <f>IF(B26="使用電線-4",M26+U26,IF(B27="使用電線-4",M27+U27,IF(B28="使用電線-4",M28+U28,IF(B29="使用電線-4",M29+U29,""))))</f>
        <v/>
      </c>
      <c r="BM118" s="108">
        <f>IF(C47="",L19*(F19/40)^2,C47)</f>
        <v>0.5</v>
      </c>
      <c r="BN118" s="108">
        <f>F19</f>
        <v>40</v>
      </c>
      <c r="BO118" s="127" t="e">
        <f>BL118*1600/(8*L19)</f>
        <v>#VALUE!</v>
      </c>
      <c r="BP118" s="109" t="str">
        <f>IF(B26="使用電線-4",V26,IF(B27="使用電線-4",V27,IF(B28="使用電線-4",V28,IF(B29="使用電線-4",V29,""))))</f>
        <v/>
      </c>
      <c r="BQ118" s="108" t="str">
        <f>IF(B26="使用電線-4",L26,IF(B27="使用電線-4",L27,IF(B28="使用電線-4",L28,IF(B29="使用電線-4",L29,""))))</f>
        <v/>
      </c>
      <c r="BR118" s="110" t="str">
        <f>IF(B26="使用電線-4",W26,IF(B27="使用電線-4",W27,IF(B28="使用電線-4",W28,IF(B29="使用電線-4",W29,""))))</f>
        <v/>
      </c>
      <c r="BT118" s="107" t="str">
        <f>IF(B27="使用電線-5",P27,IF(B28="使用電線-5",P28,IF(B29="使用電線-5",P29,"")))</f>
        <v/>
      </c>
      <c r="BU118" s="108" t="str">
        <f>IF(B27="使用電線-5",M27+U27,IF(B28="使用電線-5",M28+U28,IF(B29="使用電線-5",M29+U29,"")))</f>
        <v/>
      </c>
      <c r="BV118" s="108">
        <f>IF(I47="",L19*(F19/40)^2,I47)</f>
        <v>0.5</v>
      </c>
      <c r="BW118" s="108">
        <f>F19</f>
        <v>40</v>
      </c>
      <c r="BX118" s="127" t="e">
        <f>BU118*1600/(8*L19)</f>
        <v>#VALUE!</v>
      </c>
      <c r="BY118" s="109" t="str">
        <f>IF(B27="使用電線-5",V27,IF(B28="使用電線-5",V28,IF(B29="使用電線-5",V29,"")))</f>
        <v/>
      </c>
      <c r="BZ118" s="108" t="str">
        <f>IF(B27="使用電線-5",L27,IF(B28="使用電線-5",L28,IF(B29="使用電線-5",L29,"")))</f>
        <v/>
      </c>
      <c r="CA118" s="110" t="str">
        <f>IF(B27="使用電線-5",W27,IF(B28="使用電線-5",W28,IF(B29="使用電線-5",W29,"")))</f>
        <v/>
      </c>
    </row>
    <row r="119" spans="36:79" ht="13.5" customHeight="1" x14ac:dyDescent="0.15"/>
    <row r="120" spans="36:79" ht="13.5" customHeight="1" thickBot="1" x14ac:dyDescent="0.2"/>
    <row r="121" spans="36:79" ht="13.5" customHeight="1" x14ac:dyDescent="0.15">
      <c r="AJ121" s="2" t="s">
        <v>144</v>
      </c>
      <c r="AK121" s="111" t="s">
        <v>145</v>
      </c>
      <c r="AL121" s="12" t="s">
        <v>7</v>
      </c>
      <c r="AM121" s="12" t="s">
        <v>0</v>
      </c>
      <c r="AN121" s="12" t="s">
        <v>1</v>
      </c>
      <c r="AO121" s="12" t="s">
        <v>2</v>
      </c>
      <c r="AP121" s="12" t="s">
        <v>5</v>
      </c>
      <c r="AQ121" s="13" t="s">
        <v>6</v>
      </c>
      <c r="AS121" s="2" t="s">
        <v>144</v>
      </c>
      <c r="AT121" s="111" t="s">
        <v>145</v>
      </c>
      <c r="AU121" s="12" t="s">
        <v>7</v>
      </c>
      <c r="AV121" s="12" t="s">
        <v>0</v>
      </c>
      <c r="AW121" s="12" t="s">
        <v>1</v>
      </c>
      <c r="AX121" s="12" t="s">
        <v>2</v>
      </c>
      <c r="AY121" s="12" t="s">
        <v>5</v>
      </c>
      <c r="AZ121" s="13" t="s">
        <v>6</v>
      </c>
      <c r="BB121" s="2" t="s">
        <v>144</v>
      </c>
      <c r="BC121" s="111" t="s">
        <v>145</v>
      </c>
      <c r="BD121" s="12" t="s">
        <v>7</v>
      </c>
      <c r="BE121" s="12" t="s">
        <v>0</v>
      </c>
      <c r="BF121" s="12" t="s">
        <v>1</v>
      </c>
      <c r="BG121" s="12" t="s">
        <v>2</v>
      </c>
      <c r="BH121" s="12" t="s">
        <v>5</v>
      </c>
      <c r="BI121" s="13" t="s">
        <v>6</v>
      </c>
      <c r="BK121" s="2" t="s">
        <v>144</v>
      </c>
      <c r="BL121" s="111" t="s">
        <v>145</v>
      </c>
      <c r="BM121" s="12" t="s">
        <v>7</v>
      </c>
      <c r="BN121" s="12" t="s">
        <v>0</v>
      </c>
      <c r="BO121" s="12" t="s">
        <v>1</v>
      </c>
      <c r="BP121" s="12" t="s">
        <v>2</v>
      </c>
      <c r="BQ121" s="12" t="s">
        <v>5</v>
      </c>
      <c r="BR121" s="13" t="s">
        <v>6</v>
      </c>
      <c r="BT121" s="2" t="s">
        <v>144</v>
      </c>
      <c r="BU121" s="111" t="s">
        <v>145</v>
      </c>
      <c r="BV121" s="12" t="s">
        <v>7</v>
      </c>
      <c r="BW121" s="12" t="s">
        <v>0</v>
      </c>
      <c r="BX121" s="12" t="s">
        <v>1</v>
      </c>
      <c r="BY121" s="12" t="s">
        <v>2</v>
      </c>
      <c r="BZ121" s="12" t="s">
        <v>5</v>
      </c>
      <c r="CA121" s="13" t="s">
        <v>6</v>
      </c>
    </row>
    <row r="122" spans="36:79" ht="13.5" customHeight="1" x14ac:dyDescent="0.15">
      <c r="AJ122" s="16">
        <f>-AJ125+AJ128</f>
        <v>0.1182562895197094</v>
      </c>
      <c r="AK122" s="17">
        <f>-AJ131</f>
        <v>-0.1076281447598547</v>
      </c>
      <c r="AL122" s="18">
        <f>IF(AND(AP125&lt;0,AQ125&lt;0),AQ122*1.2,IF(AND(AP125&gt;0,AQ125&gt;0),AP122*0.8,10))</f>
        <v>0.23824990864523016</v>
      </c>
      <c r="AM122" s="18">
        <f>AL122^3+AJ122*AL122+AK122</f>
        <v>-6.592981050115862E-2</v>
      </c>
      <c r="AN122" s="18">
        <f>3*AL122^2+AJ122</f>
        <v>0.28854534642809093</v>
      </c>
      <c r="AO122" s="18">
        <f t="shared" ref="AO122:AO136" si="40">AL122-AM122/AN122</f>
        <v>0.46674020078580758</v>
      </c>
      <c r="AP122" s="18">
        <f>-SQRT(ABS(-4*3*AJ122))/6</f>
        <v>-0.1985415905376918</v>
      </c>
      <c r="AQ122" s="19">
        <f>SQRT(ABS(-4*3*AJ122))/6</f>
        <v>0.1985415905376918</v>
      </c>
      <c r="AS122" s="16">
        <f>-AS125+AS128</f>
        <v>8.6899319636370598E-2</v>
      </c>
      <c r="AT122" s="17">
        <f>-AS131</f>
        <v>-0.11669965981818531</v>
      </c>
      <c r="AU122" s="18">
        <f>IF(AND(AY125&lt;0,AZ125&lt;0),AZ122*1.2,IF(AND(AY125&gt;0,AZ125&gt;0),AY122*0.8,10))</f>
        <v>0.20423435907177295</v>
      </c>
      <c r="AV122" s="18">
        <f>AU122^3+AS122*AU122+AT122</f>
        <v>-9.0432876080618535E-2</v>
      </c>
      <c r="AW122" s="18">
        <f>3*AU122^2+AS122</f>
        <v>0.21203433991274426</v>
      </c>
      <c r="AX122" s="18">
        <f t="shared" ref="AX122:AX136" si="41">AU122-AV122/AW122</f>
        <v>0.63073544431029238</v>
      </c>
      <c r="AY122" s="18">
        <f>-SQRT(ABS(-4*3*AS122))/6</f>
        <v>-0.17019529922647747</v>
      </c>
      <c r="AZ122" s="19">
        <f>SQRT(ABS(-4*3*AS122))/6</f>
        <v>0.17019529922647747</v>
      </c>
      <c r="BB122" s="16" t="e">
        <f>-BB125+BB128</f>
        <v>#VALUE!</v>
      </c>
      <c r="BC122" s="17" t="e">
        <f>-BB131</f>
        <v>#VALUE!</v>
      </c>
      <c r="BD122" s="18" t="e">
        <f>IF(AND(BH125&lt;0,BI125&lt;0),BI122*1.2,IF(AND(BH125&gt;0,BI125&gt;0),BH122*0.8,10))</f>
        <v>#VALUE!</v>
      </c>
      <c r="BE122" s="18" t="e">
        <f>BD122^3+BB122*BD122+BC122</f>
        <v>#VALUE!</v>
      </c>
      <c r="BF122" s="18" t="e">
        <f>3*BD122^2+BB122</f>
        <v>#VALUE!</v>
      </c>
      <c r="BG122" s="18" t="e">
        <f t="shared" ref="BG122:BG136" si="42">BD122-BE122/BF122</f>
        <v>#VALUE!</v>
      </c>
      <c r="BH122" s="18" t="e">
        <f>-SQRT(ABS(-4*3*BB122))/6</f>
        <v>#VALUE!</v>
      </c>
      <c r="BI122" s="19" t="e">
        <f>SQRT(ABS(-4*3*BB122))/6</f>
        <v>#VALUE!</v>
      </c>
      <c r="BK122" s="16" t="e">
        <f>-BK125+BK128</f>
        <v>#VALUE!</v>
      </c>
      <c r="BL122" s="17" t="e">
        <f>-BK131</f>
        <v>#VALUE!</v>
      </c>
      <c r="BM122" s="18" t="e">
        <f>IF(AND(BQ125&lt;0,BR125&lt;0),BR122*1.2,IF(AND(BQ125&gt;0,BR125&gt;0),BQ122*0.8,10))</f>
        <v>#VALUE!</v>
      </c>
      <c r="BN122" s="18" t="e">
        <f>BM122^3+BK122*BM122+BL122</f>
        <v>#VALUE!</v>
      </c>
      <c r="BO122" s="18" t="e">
        <f>3*BM122^2+BK122</f>
        <v>#VALUE!</v>
      </c>
      <c r="BP122" s="18" t="e">
        <f t="shared" ref="BP122:BP136" si="43">BM122-BN122/BO122</f>
        <v>#VALUE!</v>
      </c>
      <c r="BQ122" s="18" t="e">
        <f>-SQRT(ABS(-4*3*BK122))/6</f>
        <v>#VALUE!</v>
      </c>
      <c r="BR122" s="19" t="e">
        <f>SQRT(ABS(-4*3*BK122))/6</f>
        <v>#VALUE!</v>
      </c>
      <c r="BT122" s="16" t="e">
        <f>-BT125+BT128</f>
        <v>#VALUE!</v>
      </c>
      <c r="BU122" s="17" t="e">
        <f>-BT131</f>
        <v>#VALUE!</v>
      </c>
      <c r="BV122" s="18" t="e">
        <f>IF(AND(BZ125&lt;0,CA125&lt;0),CA122*1.2,IF(AND(BZ125&gt;0,CA125&gt;0),BZ122*0.8,10))</f>
        <v>#VALUE!</v>
      </c>
      <c r="BW122" s="18" t="e">
        <f>BV122^3+BT122*BV122+BU122</f>
        <v>#VALUE!</v>
      </c>
      <c r="BX122" s="18" t="e">
        <f>3*BV122^2+BT122</f>
        <v>#VALUE!</v>
      </c>
      <c r="BY122" s="18" t="e">
        <f t="shared" ref="BY122:BY136" si="44">BV122-BW122/BX122</f>
        <v>#VALUE!</v>
      </c>
      <c r="BZ122" s="18" t="e">
        <f>-SQRT(ABS(-4*3*BT122))/6</f>
        <v>#VALUE!</v>
      </c>
      <c r="CA122" s="19" t="e">
        <f>SQRT(ABS(-4*3*BT122))/6</f>
        <v>#VALUE!</v>
      </c>
    </row>
    <row r="123" spans="36:79" ht="13.5" customHeight="1" x14ac:dyDescent="0.15">
      <c r="AJ123" s="267"/>
      <c r="AK123" s="268"/>
      <c r="AL123" s="18">
        <f t="shared" ref="AL123:AL135" si="45">AO122</f>
        <v>0.46674020078580758</v>
      </c>
      <c r="AM123" s="18">
        <f>AL123^3+AJ122*AL123+AK122</f>
        <v>4.9244499046131721E-2</v>
      </c>
      <c r="AN123" s="18">
        <f>3*AL123^2+AJ122</f>
        <v>0.77179553460843731</v>
      </c>
      <c r="AO123" s="18">
        <f t="shared" si="40"/>
        <v>0.40293509070426842</v>
      </c>
      <c r="AP123" s="6"/>
      <c r="AQ123" s="7"/>
      <c r="AS123" s="267"/>
      <c r="AT123" s="268"/>
      <c r="AU123" s="18">
        <f t="shared" ref="AU123:AU135" si="46">AX122</f>
        <v>0.63073544431029238</v>
      </c>
      <c r="AV123" s="18">
        <f>AU123^3+AS122*AU123+AT122</f>
        <v>0.18903453736102444</v>
      </c>
      <c r="AW123" s="18">
        <f>3*AU123^2+AS122</f>
        <v>1.2803809217642763</v>
      </c>
      <c r="AX123" s="18">
        <f t="shared" si="41"/>
        <v>0.48309614873210782</v>
      </c>
      <c r="AY123" s="6"/>
      <c r="AZ123" s="7"/>
      <c r="BB123" s="267"/>
      <c r="BC123" s="268"/>
      <c r="BD123" s="18" t="e">
        <f t="shared" ref="BD123:BD135" si="47">BG122</f>
        <v>#VALUE!</v>
      </c>
      <c r="BE123" s="18" t="e">
        <f>BD123^3+BB122*BD123+BC122</f>
        <v>#VALUE!</v>
      </c>
      <c r="BF123" s="18" t="e">
        <f>3*BD123^2+BB122</f>
        <v>#VALUE!</v>
      </c>
      <c r="BG123" s="18" t="e">
        <f t="shared" si="42"/>
        <v>#VALUE!</v>
      </c>
      <c r="BH123" s="6"/>
      <c r="BI123" s="7"/>
      <c r="BK123" s="267"/>
      <c r="BL123" s="268"/>
      <c r="BM123" s="18" t="e">
        <f t="shared" ref="BM123:BM135" si="48">BP122</f>
        <v>#VALUE!</v>
      </c>
      <c r="BN123" s="18" t="e">
        <f>BM123^3+BK122*BM123+BL122</f>
        <v>#VALUE!</v>
      </c>
      <c r="BO123" s="18" t="e">
        <f>3*BM123^2+BK122</f>
        <v>#VALUE!</v>
      </c>
      <c r="BP123" s="18" t="e">
        <f t="shared" si="43"/>
        <v>#VALUE!</v>
      </c>
      <c r="BQ123" s="6"/>
      <c r="BR123" s="7"/>
      <c r="BT123" s="267"/>
      <c r="BU123" s="268"/>
      <c r="BV123" s="18" t="e">
        <f t="shared" ref="BV123:BV135" si="49">BY122</f>
        <v>#VALUE!</v>
      </c>
      <c r="BW123" s="18" t="e">
        <f>BV123^3+BT122*BV123+BU122</f>
        <v>#VALUE!</v>
      </c>
      <c r="BX123" s="18" t="e">
        <f>3*BV123^2+BT122</f>
        <v>#VALUE!</v>
      </c>
      <c r="BY123" s="18" t="e">
        <f t="shared" si="44"/>
        <v>#VALUE!</v>
      </c>
      <c r="BZ123" s="6"/>
      <c r="CA123" s="7"/>
    </row>
    <row r="124" spans="36:79" ht="13.5" customHeight="1" x14ac:dyDescent="0.15">
      <c r="AJ124" s="269" t="s">
        <v>8</v>
      </c>
      <c r="AK124" s="270"/>
      <c r="AL124" s="18">
        <f t="shared" si="45"/>
        <v>0.40293509070426842</v>
      </c>
      <c r="AM124" s="18">
        <f>AL124^3+AJ122*AL124+AK122</f>
        <v>5.4406705161936936E-3</v>
      </c>
      <c r="AN124" s="18">
        <f>3*AL124^2+AJ122</f>
        <v>0.60532635148228042</v>
      </c>
      <c r="AO124" s="18">
        <f t="shared" si="40"/>
        <v>0.3939470952157671</v>
      </c>
      <c r="AP124" s="14" t="s">
        <v>3</v>
      </c>
      <c r="AQ124" s="15" t="s">
        <v>4</v>
      </c>
      <c r="AS124" s="269" t="s">
        <v>8</v>
      </c>
      <c r="AT124" s="270"/>
      <c r="AU124" s="18">
        <f t="shared" si="46"/>
        <v>0.48309614873210782</v>
      </c>
      <c r="AV124" s="18">
        <f>AU124^3+AS122*AU124+AT122</f>
        <v>3.8026958546563239E-2</v>
      </c>
      <c r="AW124" s="18">
        <f>3*AU124^2+AS122</f>
        <v>0.78704498639575515</v>
      </c>
      <c r="AX124" s="18">
        <f t="shared" si="41"/>
        <v>0.43478003058909498</v>
      </c>
      <c r="AY124" s="14" t="s">
        <v>3</v>
      </c>
      <c r="AZ124" s="15" t="s">
        <v>4</v>
      </c>
      <c r="BB124" s="269" t="s">
        <v>8</v>
      </c>
      <c r="BC124" s="270"/>
      <c r="BD124" s="18" t="e">
        <f t="shared" si="47"/>
        <v>#VALUE!</v>
      </c>
      <c r="BE124" s="18" t="e">
        <f>BD124^3+BB122*BD124+BC122</f>
        <v>#VALUE!</v>
      </c>
      <c r="BF124" s="18" t="e">
        <f>3*BD124^2+BB122</f>
        <v>#VALUE!</v>
      </c>
      <c r="BG124" s="18" t="e">
        <f t="shared" si="42"/>
        <v>#VALUE!</v>
      </c>
      <c r="BH124" s="14" t="s">
        <v>3</v>
      </c>
      <c r="BI124" s="15" t="s">
        <v>4</v>
      </c>
      <c r="BK124" s="269" t="s">
        <v>8</v>
      </c>
      <c r="BL124" s="270"/>
      <c r="BM124" s="18" t="e">
        <f t="shared" si="48"/>
        <v>#VALUE!</v>
      </c>
      <c r="BN124" s="18" t="e">
        <f>BM124^3+BK122*BM124+BL122</f>
        <v>#VALUE!</v>
      </c>
      <c r="BO124" s="18" t="e">
        <f>3*BM124^2+BK122</f>
        <v>#VALUE!</v>
      </c>
      <c r="BP124" s="18" t="e">
        <f t="shared" si="43"/>
        <v>#VALUE!</v>
      </c>
      <c r="BQ124" s="14" t="s">
        <v>3</v>
      </c>
      <c r="BR124" s="15" t="s">
        <v>4</v>
      </c>
      <c r="BT124" s="269" t="s">
        <v>8</v>
      </c>
      <c r="BU124" s="270"/>
      <c r="BV124" s="18" t="e">
        <f t="shared" si="49"/>
        <v>#VALUE!</v>
      </c>
      <c r="BW124" s="18" t="e">
        <f>BV124^3+BT122*BV124+BU122</f>
        <v>#VALUE!</v>
      </c>
      <c r="BX124" s="18" t="e">
        <f>3*BV124^2+BT122</f>
        <v>#VALUE!</v>
      </c>
      <c r="BY124" s="18" t="e">
        <f t="shared" si="44"/>
        <v>#VALUE!</v>
      </c>
      <c r="BZ124" s="14" t="s">
        <v>3</v>
      </c>
      <c r="CA124" s="15" t="s">
        <v>4</v>
      </c>
    </row>
    <row r="125" spans="36:79" ht="13.5" customHeight="1" x14ac:dyDescent="0.15">
      <c r="AJ125" s="269">
        <f>(AL138^2)+3*(AM138^2)*AQ138*(AQ133-15)/(8*10^7)</f>
        <v>9.7000000000000003E-2</v>
      </c>
      <c r="AK125" s="270"/>
      <c r="AL125" s="18">
        <f t="shared" si="45"/>
        <v>0.3939470952157671</v>
      </c>
      <c r="AM125" s="18">
        <f>AL125^3+AJ122*AL125+AK122</f>
        <v>9.6926114344905723E-5</v>
      </c>
      <c r="AN125" s="18">
        <f>3*AL125^2+AJ122</f>
        <v>0.58383923100653146</v>
      </c>
      <c r="AO125" s="18">
        <f t="shared" si="40"/>
        <v>0.39378108013970275</v>
      </c>
      <c r="AP125" s="18">
        <f>AP122^3+AJ122*AP122+AK122</f>
        <v>-0.13893320050962654</v>
      </c>
      <c r="AQ125" s="19">
        <f>AQ122^3+AJ122*AQ122+AK122</f>
        <v>-7.6323089010082862E-2</v>
      </c>
      <c r="AS125" s="269">
        <f>(AU138^2)+3*(AV138^2)*AZ138*(AZ133-15)/(8*10^7)</f>
        <v>0.14650000000000002</v>
      </c>
      <c r="AT125" s="270"/>
      <c r="AU125" s="18">
        <f t="shared" si="46"/>
        <v>0.43478003058909498</v>
      </c>
      <c r="AV125" s="18">
        <f>AU125^3+AS122*AU125+AT122</f>
        <v>3.2704960299453356E-3</v>
      </c>
      <c r="AW125" s="18">
        <f>3*AU125^2+AS122</f>
        <v>0.65400034463353363</v>
      </c>
      <c r="AX125" s="18">
        <f t="shared" si="41"/>
        <v>0.42977927476873229</v>
      </c>
      <c r="AY125" s="18">
        <f>AY122^3+AS122*AY122+AT122</f>
        <v>-0.13641946742897118</v>
      </c>
      <c r="AZ125" s="19">
        <f>AZ122^3+AS122*AZ122+AT122</f>
        <v>-9.6979852207399436E-2</v>
      </c>
      <c r="BB125" s="269" t="e">
        <f>(BD138^2)+3*(BE138^2)*BI138*(BI133-15)/(8*10^7)</f>
        <v>#VALUE!</v>
      </c>
      <c r="BC125" s="270"/>
      <c r="BD125" s="18" t="e">
        <f t="shared" si="47"/>
        <v>#VALUE!</v>
      </c>
      <c r="BE125" s="18" t="e">
        <f>BD125^3+BB122*BD125+BC122</f>
        <v>#VALUE!</v>
      </c>
      <c r="BF125" s="18" t="e">
        <f>3*BD125^2+BB122</f>
        <v>#VALUE!</v>
      </c>
      <c r="BG125" s="18" t="e">
        <f t="shared" si="42"/>
        <v>#VALUE!</v>
      </c>
      <c r="BH125" s="18" t="e">
        <f>BH122^3+BB122*BH122+BC122</f>
        <v>#VALUE!</v>
      </c>
      <c r="BI125" s="19" t="e">
        <f>BI122^3+BB122*BI122+BC122</f>
        <v>#VALUE!</v>
      </c>
      <c r="BK125" s="269" t="e">
        <f>(BM138^2)+3*(BN138^2)*BR138*(BR133-15)/(8*10^7)</f>
        <v>#VALUE!</v>
      </c>
      <c r="BL125" s="270"/>
      <c r="BM125" s="18" t="e">
        <f t="shared" si="48"/>
        <v>#VALUE!</v>
      </c>
      <c r="BN125" s="18" t="e">
        <f>BM125^3+BK122*BM125+BL122</f>
        <v>#VALUE!</v>
      </c>
      <c r="BO125" s="18" t="e">
        <f>3*BM125^2+BK122</f>
        <v>#VALUE!</v>
      </c>
      <c r="BP125" s="18" t="e">
        <f t="shared" si="43"/>
        <v>#VALUE!</v>
      </c>
      <c r="BQ125" s="18" t="e">
        <f>BQ122^3+BK122*BQ122+BL122</f>
        <v>#VALUE!</v>
      </c>
      <c r="BR125" s="19" t="e">
        <f>BR122^3+BK122*BR122+BL122</f>
        <v>#VALUE!</v>
      </c>
      <c r="BT125" s="269" t="e">
        <f>(BV138^2)+3*(BW138^2)*CA138*(CA133-15)/(8*10^7)</f>
        <v>#VALUE!</v>
      </c>
      <c r="BU125" s="270"/>
      <c r="BV125" s="18" t="e">
        <f t="shared" si="49"/>
        <v>#VALUE!</v>
      </c>
      <c r="BW125" s="18" t="e">
        <f>BV125^3+BT122*BV125+BU122</f>
        <v>#VALUE!</v>
      </c>
      <c r="BX125" s="18" t="e">
        <f>3*BV125^2+BT122</f>
        <v>#VALUE!</v>
      </c>
      <c r="BY125" s="18" t="e">
        <f t="shared" si="44"/>
        <v>#VALUE!</v>
      </c>
      <c r="BZ125" s="18" t="e">
        <f>BZ122^3+BT122*BZ122+BU122</f>
        <v>#VALUE!</v>
      </c>
      <c r="CA125" s="19" t="e">
        <f>CA122^3+BT122*CA122+BU122</f>
        <v>#VALUE!</v>
      </c>
    </row>
    <row r="126" spans="36:79" ht="13.5" customHeight="1" x14ac:dyDescent="0.15">
      <c r="AJ126" s="267"/>
      <c r="AK126" s="268"/>
      <c r="AL126" s="18">
        <f t="shared" si="45"/>
        <v>0.39378108013970275</v>
      </c>
      <c r="AM126" s="18">
        <f>AL126^3+AJ122*AL126+AK122</f>
        <v>3.2568158614409981E-8</v>
      </c>
      <c r="AN126" s="18">
        <f>3*AL126^2+AJ122</f>
        <v>0.5834469067476824</v>
      </c>
      <c r="AO126" s="18">
        <f t="shared" si="40"/>
        <v>0.39378102431944173</v>
      </c>
      <c r="AP126" s="31"/>
      <c r="AQ126" s="32"/>
      <c r="AS126" s="267"/>
      <c r="AT126" s="268"/>
      <c r="AU126" s="18">
        <f t="shared" si="46"/>
        <v>0.42977927476873229</v>
      </c>
      <c r="AV126" s="18">
        <f>AU126^3+AS122*AU126+AT122</f>
        <v>3.249330481219781E-5</v>
      </c>
      <c r="AW126" s="18">
        <f>3*AU126^2+AS122</f>
        <v>0.64102999469858291</v>
      </c>
      <c r="AX126" s="18">
        <f t="shared" si="41"/>
        <v>0.42972858555749266</v>
      </c>
      <c r="AY126" s="31"/>
      <c r="AZ126" s="32"/>
      <c r="BB126" s="267"/>
      <c r="BC126" s="268"/>
      <c r="BD126" s="18" t="e">
        <f t="shared" si="47"/>
        <v>#VALUE!</v>
      </c>
      <c r="BE126" s="18" t="e">
        <f>BD126^3+BB122*BD126+BC122</f>
        <v>#VALUE!</v>
      </c>
      <c r="BF126" s="18" t="e">
        <f>3*BD126^2+BB122</f>
        <v>#VALUE!</v>
      </c>
      <c r="BG126" s="18" t="e">
        <f t="shared" si="42"/>
        <v>#VALUE!</v>
      </c>
      <c r="BH126" s="31"/>
      <c r="BI126" s="32"/>
      <c r="BK126" s="267"/>
      <c r="BL126" s="268"/>
      <c r="BM126" s="18" t="e">
        <f t="shared" si="48"/>
        <v>#VALUE!</v>
      </c>
      <c r="BN126" s="18" t="e">
        <f>BM126^3+BK122*BM126+BL122</f>
        <v>#VALUE!</v>
      </c>
      <c r="BO126" s="18" t="e">
        <f>3*BM126^2+BK122</f>
        <v>#VALUE!</v>
      </c>
      <c r="BP126" s="18" t="e">
        <f t="shared" si="43"/>
        <v>#VALUE!</v>
      </c>
      <c r="BQ126" s="31"/>
      <c r="BR126" s="32"/>
      <c r="BT126" s="267"/>
      <c r="BU126" s="268"/>
      <c r="BV126" s="18" t="e">
        <f t="shared" si="49"/>
        <v>#VALUE!</v>
      </c>
      <c r="BW126" s="18" t="e">
        <f>BV126^3+BT122*BV126+BU122</f>
        <v>#VALUE!</v>
      </c>
      <c r="BX126" s="18" t="e">
        <f>3*BV126^2+BT122</f>
        <v>#VALUE!</v>
      </c>
      <c r="BY126" s="18" t="e">
        <f t="shared" si="44"/>
        <v>#VALUE!</v>
      </c>
      <c r="BZ126" s="31"/>
      <c r="CA126" s="32"/>
    </row>
    <row r="127" spans="36:79" ht="13.5" customHeight="1" x14ac:dyDescent="0.15">
      <c r="AJ127" s="269" t="s">
        <v>9</v>
      </c>
      <c r="AK127" s="270"/>
      <c r="AL127" s="18">
        <f t="shared" si="45"/>
        <v>0.39378102431944173</v>
      </c>
      <c r="AM127" s="18">
        <f>AL127^3+AJ122*AL127+AK122</f>
        <v>3.6637359812630166E-15</v>
      </c>
      <c r="AN127" s="18">
        <f>3*AL127^2+AJ122</f>
        <v>0.58344677486191565</v>
      </c>
      <c r="AO127" s="18">
        <f t="shared" si="40"/>
        <v>0.39378102431943546</v>
      </c>
      <c r="AP127" s="31"/>
      <c r="AQ127" s="32"/>
      <c r="AS127" s="269" t="s">
        <v>9</v>
      </c>
      <c r="AT127" s="270"/>
      <c r="AU127" s="18">
        <f t="shared" si="46"/>
        <v>0.42972858555749266</v>
      </c>
      <c r="AV127" s="18">
        <f>AU127^3+AS122*AU127+AT122</f>
        <v>3.3126893728141482E-9</v>
      </c>
      <c r="AW127" s="18">
        <f>3*AU127^2+AS122</f>
        <v>0.64089929137210033</v>
      </c>
      <c r="AX127" s="18">
        <f t="shared" si="41"/>
        <v>0.42972858038867845</v>
      </c>
      <c r="AY127" s="31"/>
      <c r="AZ127" s="32"/>
      <c r="BB127" s="269" t="s">
        <v>9</v>
      </c>
      <c r="BC127" s="270"/>
      <c r="BD127" s="18" t="e">
        <f t="shared" si="47"/>
        <v>#VALUE!</v>
      </c>
      <c r="BE127" s="18" t="e">
        <f>BD127^3+BB122*BD127+BC122</f>
        <v>#VALUE!</v>
      </c>
      <c r="BF127" s="18" t="e">
        <f>3*BD127^2+BB122</f>
        <v>#VALUE!</v>
      </c>
      <c r="BG127" s="18" t="e">
        <f t="shared" si="42"/>
        <v>#VALUE!</v>
      </c>
      <c r="BH127" s="31"/>
      <c r="BI127" s="32"/>
      <c r="BK127" s="269" t="s">
        <v>9</v>
      </c>
      <c r="BL127" s="270"/>
      <c r="BM127" s="18" t="e">
        <f t="shared" si="48"/>
        <v>#VALUE!</v>
      </c>
      <c r="BN127" s="18" t="e">
        <f>BM127^3+BK122*BM127+BL122</f>
        <v>#VALUE!</v>
      </c>
      <c r="BO127" s="18" t="e">
        <f>3*BM127^2+BK122</f>
        <v>#VALUE!</v>
      </c>
      <c r="BP127" s="18" t="e">
        <f t="shared" si="43"/>
        <v>#VALUE!</v>
      </c>
      <c r="BQ127" s="31"/>
      <c r="BR127" s="32"/>
      <c r="BT127" s="269" t="s">
        <v>9</v>
      </c>
      <c r="BU127" s="270"/>
      <c r="BV127" s="18" t="e">
        <f t="shared" si="49"/>
        <v>#VALUE!</v>
      </c>
      <c r="BW127" s="18" t="e">
        <f>BV127^3+BT122*BV127+BU122</f>
        <v>#VALUE!</v>
      </c>
      <c r="BX127" s="18" t="e">
        <f>3*BV127^2+BT122</f>
        <v>#VALUE!</v>
      </c>
      <c r="BY127" s="18" t="e">
        <f t="shared" si="44"/>
        <v>#VALUE!</v>
      </c>
      <c r="BZ127" s="31"/>
      <c r="CA127" s="32"/>
    </row>
    <row r="128" spans="36:79" ht="13.5" customHeight="1" x14ac:dyDescent="0.15">
      <c r="AJ128" s="277">
        <f>3*(AM138^2)*AN138/(8*AO138*AP138)</f>
        <v>0.2152562895197094</v>
      </c>
      <c r="AK128" s="278"/>
      <c r="AL128" s="118">
        <f t="shared" si="45"/>
        <v>0.39378102431943546</v>
      </c>
      <c r="AM128" s="118">
        <f>AL128^3+AJ122*AL128+AK122</f>
        <v>0</v>
      </c>
      <c r="AN128" s="118">
        <f>3*AL128^2+AJ122</f>
        <v>0.58344677486190077</v>
      </c>
      <c r="AO128" s="118">
        <f t="shared" si="40"/>
        <v>0.39378102431943546</v>
      </c>
      <c r="AP128" s="116"/>
      <c r="AQ128" s="117"/>
      <c r="AS128" s="277">
        <f>3*(AV138^2)*AW138/(8*AX138*AY138)</f>
        <v>0.23339931963637062</v>
      </c>
      <c r="AT128" s="278"/>
      <c r="AU128" s="118">
        <f t="shared" si="46"/>
        <v>0.42972858038867845</v>
      </c>
      <c r="AV128" s="118">
        <f>AU128^3+AS122*AU128+AT122</f>
        <v>0</v>
      </c>
      <c r="AW128" s="118">
        <f>3*AU128^2+AS122</f>
        <v>0.64089927804497715</v>
      </c>
      <c r="AX128" s="118">
        <f t="shared" si="41"/>
        <v>0.42972858038867845</v>
      </c>
      <c r="AY128" s="116"/>
      <c r="AZ128" s="117"/>
      <c r="BB128" s="277" t="e">
        <f>3*(BE138^2)*BF138/(8*BG138*BH138)</f>
        <v>#VALUE!</v>
      </c>
      <c r="BC128" s="278"/>
      <c r="BD128" s="118" t="e">
        <f t="shared" si="47"/>
        <v>#VALUE!</v>
      </c>
      <c r="BE128" s="118" t="e">
        <f>BD128^3+BB122*BD128+BC122</f>
        <v>#VALUE!</v>
      </c>
      <c r="BF128" s="118" t="e">
        <f>3*BD128^2+BB122</f>
        <v>#VALUE!</v>
      </c>
      <c r="BG128" s="118" t="e">
        <f t="shared" si="42"/>
        <v>#VALUE!</v>
      </c>
      <c r="BH128" s="116"/>
      <c r="BI128" s="117"/>
      <c r="BK128" s="277" t="e">
        <f>3*(BN138^2)*BO138/(8*BP138*BQ138)</f>
        <v>#VALUE!</v>
      </c>
      <c r="BL128" s="278"/>
      <c r="BM128" s="118" t="e">
        <f t="shared" si="48"/>
        <v>#VALUE!</v>
      </c>
      <c r="BN128" s="118" t="e">
        <f>BM128^3+BK122*BM128+BL122</f>
        <v>#VALUE!</v>
      </c>
      <c r="BO128" s="118" t="e">
        <f>3*BM128^2+BK122</f>
        <v>#VALUE!</v>
      </c>
      <c r="BP128" s="118" t="e">
        <f t="shared" si="43"/>
        <v>#VALUE!</v>
      </c>
      <c r="BQ128" s="116"/>
      <c r="BR128" s="117"/>
      <c r="BT128" s="277" t="e">
        <f>3*(BW138^2)*BX138/(8*BY138*BZ138)</f>
        <v>#VALUE!</v>
      </c>
      <c r="BU128" s="278"/>
      <c r="BV128" s="118" t="e">
        <f t="shared" si="49"/>
        <v>#VALUE!</v>
      </c>
      <c r="BW128" s="118" t="e">
        <f>BV128^3+BT122*BV128+BU122</f>
        <v>#VALUE!</v>
      </c>
      <c r="BX128" s="118" t="e">
        <f>3*BV128^2+BT122</f>
        <v>#VALUE!</v>
      </c>
      <c r="BY128" s="118" t="e">
        <f t="shared" si="44"/>
        <v>#VALUE!</v>
      </c>
      <c r="BZ128" s="116"/>
      <c r="CA128" s="117"/>
    </row>
    <row r="129" spans="36:79" ht="13.5" customHeight="1" x14ac:dyDescent="0.15">
      <c r="AJ129" s="121"/>
      <c r="AK129" s="122"/>
      <c r="AL129" s="118">
        <f t="shared" si="45"/>
        <v>0.39378102431943546</v>
      </c>
      <c r="AM129" s="118">
        <f>AL129^3+AJ122*AL129+AK122</f>
        <v>0</v>
      </c>
      <c r="AN129" s="118">
        <f>3*AL129^2+AJ122</f>
        <v>0.58344677486190077</v>
      </c>
      <c r="AO129" s="118">
        <f t="shared" si="40"/>
        <v>0.39378102431943546</v>
      </c>
      <c r="AP129" s="119"/>
      <c r="AQ129" s="120"/>
      <c r="AS129" s="121"/>
      <c r="AT129" s="122"/>
      <c r="AU129" s="118">
        <f t="shared" si="46"/>
        <v>0.42972858038867845</v>
      </c>
      <c r="AV129" s="118">
        <f>AU129^3+AS122*AU129+AT122</f>
        <v>0</v>
      </c>
      <c r="AW129" s="118">
        <f>3*AU129^2+AS122</f>
        <v>0.64089927804497715</v>
      </c>
      <c r="AX129" s="118">
        <f t="shared" si="41"/>
        <v>0.42972858038867845</v>
      </c>
      <c r="AY129" s="119"/>
      <c r="AZ129" s="120"/>
      <c r="BB129" s="121"/>
      <c r="BC129" s="122"/>
      <c r="BD129" s="118" t="e">
        <f t="shared" si="47"/>
        <v>#VALUE!</v>
      </c>
      <c r="BE129" s="118" t="e">
        <f>BD129^3+BB122*BD129+BC122</f>
        <v>#VALUE!</v>
      </c>
      <c r="BF129" s="118" t="e">
        <f>3*BD129^2+BB122</f>
        <v>#VALUE!</v>
      </c>
      <c r="BG129" s="118" t="e">
        <f t="shared" si="42"/>
        <v>#VALUE!</v>
      </c>
      <c r="BH129" s="119"/>
      <c r="BI129" s="120"/>
      <c r="BK129" s="121"/>
      <c r="BL129" s="122"/>
      <c r="BM129" s="118" t="e">
        <f t="shared" si="48"/>
        <v>#VALUE!</v>
      </c>
      <c r="BN129" s="118" t="e">
        <f>BM129^3+BK122*BM129+BL122</f>
        <v>#VALUE!</v>
      </c>
      <c r="BO129" s="118" t="e">
        <f>3*BM129^2+BK122</f>
        <v>#VALUE!</v>
      </c>
      <c r="BP129" s="118" t="e">
        <f t="shared" si="43"/>
        <v>#VALUE!</v>
      </c>
      <c r="BQ129" s="119"/>
      <c r="BR129" s="120"/>
      <c r="BT129" s="121"/>
      <c r="BU129" s="122"/>
      <c r="BV129" s="118" t="e">
        <f t="shared" si="49"/>
        <v>#VALUE!</v>
      </c>
      <c r="BW129" s="118" t="e">
        <f>BV129^3+BT122*BV129+BU122</f>
        <v>#VALUE!</v>
      </c>
      <c r="BX129" s="118" t="e">
        <f>3*BV129^2+BT122</f>
        <v>#VALUE!</v>
      </c>
      <c r="BY129" s="118" t="e">
        <f t="shared" si="44"/>
        <v>#VALUE!</v>
      </c>
      <c r="BZ129" s="119"/>
      <c r="CA129" s="120"/>
    </row>
    <row r="130" spans="36:79" ht="13.5" customHeight="1" x14ac:dyDescent="0.15">
      <c r="AJ130" s="269" t="s">
        <v>10</v>
      </c>
      <c r="AK130" s="270"/>
      <c r="AL130" s="118">
        <f t="shared" si="45"/>
        <v>0.39378102431943546</v>
      </c>
      <c r="AM130" s="118">
        <f>AL130^3+AJ122*AL130+AK122</f>
        <v>0</v>
      </c>
      <c r="AN130" s="118">
        <f>3*AL130^2+AJ122</f>
        <v>0.58344677486190077</v>
      </c>
      <c r="AO130" s="118">
        <f t="shared" si="40"/>
        <v>0.39378102431943546</v>
      </c>
      <c r="AP130" s="14" t="s">
        <v>148</v>
      </c>
      <c r="AQ130" s="123">
        <f>AO136</f>
        <v>0.39378102431943546</v>
      </c>
      <c r="AS130" s="269" t="s">
        <v>10</v>
      </c>
      <c r="AT130" s="270"/>
      <c r="AU130" s="118">
        <f t="shared" si="46"/>
        <v>0.42972858038867845</v>
      </c>
      <c r="AV130" s="118">
        <f>AU130^3+AS122*AU130+AT122</f>
        <v>0</v>
      </c>
      <c r="AW130" s="118">
        <f>3*AU130^2+AS122</f>
        <v>0.64089927804497715</v>
      </c>
      <c r="AX130" s="118">
        <f t="shared" si="41"/>
        <v>0.42972858038867845</v>
      </c>
      <c r="AY130" s="14" t="s">
        <v>148</v>
      </c>
      <c r="AZ130" s="123">
        <f>AX136</f>
        <v>0.42972858038867845</v>
      </c>
      <c r="BB130" s="269" t="s">
        <v>10</v>
      </c>
      <c r="BC130" s="270"/>
      <c r="BD130" s="118" t="e">
        <f t="shared" si="47"/>
        <v>#VALUE!</v>
      </c>
      <c r="BE130" s="118" t="e">
        <f>BD130^3+BB122*BD130+BC122</f>
        <v>#VALUE!</v>
      </c>
      <c r="BF130" s="118" t="e">
        <f>3*BD130^2+BB122</f>
        <v>#VALUE!</v>
      </c>
      <c r="BG130" s="118" t="e">
        <f t="shared" si="42"/>
        <v>#VALUE!</v>
      </c>
      <c r="BH130" s="14" t="s">
        <v>148</v>
      </c>
      <c r="BI130" s="123" t="e">
        <f>BG136</f>
        <v>#VALUE!</v>
      </c>
      <c r="BK130" s="269" t="s">
        <v>10</v>
      </c>
      <c r="BL130" s="270"/>
      <c r="BM130" s="118" t="e">
        <f t="shared" si="48"/>
        <v>#VALUE!</v>
      </c>
      <c r="BN130" s="118" t="e">
        <f>BM130^3+BK122*BM130+BL122</f>
        <v>#VALUE!</v>
      </c>
      <c r="BO130" s="118" t="e">
        <f>3*BM130^2+BK122</f>
        <v>#VALUE!</v>
      </c>
      <c r="BP130" s="118" t="e">
        <f t="shared" si="43"/>
        <v>#VALUE!</v>
      </c>
      <c r="BQ130" s="14" t="s">
        <v>148</v>
      </c>
      <c r="BR130" s="123" t="e">
        <f>BP136</f>
        <v>#VALUE!</v>
      </c>
      <c r="BT130" s="269" t="s">
        <v>10</v>
      </c>
      <c r="BU130" s="270"/>
      <c r="BV130" s="118" t="e">
        <f t="shared" si="49"/>
        <v>#VALUE!</v>
      </c>
      <c r="BW130" s="118" t="e">
        <f>BV130^3+BT122*BV130+BU122</f>
        <v>#VALUE!</v>
      </c>
      <c r="BX130" s="118" t="e">
        <f>3*BV130^2+BT122</f>
        <v>#VALUE!</v>
      </c>
      <c r="BY130" s="118" t="e">
        <f t="shared" si="44"/>
        <v>#VALUE!</v>
      </c>
      <c r="BZ130" s="14" t="s">
        <v>148</v>
      </c>
      <c r="CA130" s="123" t="e">
        <f>BY136</f>
        <v>#VALUE!</v>
      </c>
    </row>
    <row r="131" spans="36:79" ht="13.5" customHeight="1" x14ac:dyDescent="0.15">
      <c r="AJ131" s="271">
        <f>AJ128*AL138*AK138/AK138</f>
        <v>0.1076281447598547</v>
      </c>
      <c r="AK131" s="272"/>
      <c r="AL131" s="118">
        <f t="shared" si="45"/>
        <v>0.39378102431943546</v>
      </c>
      <c r="AM131" s="118">
        <f>AL131^3+AJ122*AL131+AK122</f>
        <v>0</v>
      </c>
      <c r="AN131" s="118">
        <f>3*AL131^2+AJ122</f>
        <v>0.58344677486190077</v>
      </c>
      <c r="AO131" s="118">
        <f t="shared" si="40"/>
        <v>0.39378102431943546</v>
      </c>
      <c r="AP131" s="14" t="s">
        <v>149</v>
      </c>
      <c r="AQ131" s="124">
        <f>AK138*AM138^2/(8*AO136)</f>
        <v>203.15859591828362</v>
      </c>
      <c r="AS131" s="271">
        <f>AS128*AU138*AT138/AT138</f>
        <v>0.11669965981818531</v>
      </c>
      <c r="AT131" s="272"/>
      <c r="AU131" s="118">
        <f t="shared" si="46"/>
        <v>0.42972858038867845</v>
      </c>
      <c r="AV131" s="118">
        <f>AU131^3+AS122*AU131+AT122</f>
        <v>0</v>
      </c>
      <c r="AW131" s="118">
        <f>3*AU131^2+AS122</f>
        <v>0.64089927804497715</v>
      </c>
      <c r="AX131" s="118">
        <f t="shared" si="41"/>
        <v>0.42972858038867845</v>
      </c>
      <c r="AY131" s="14" t="s">
        <v>149</v>
      </c>
      <c r="AZ131" s="124">
        <f>AT138*AV138^2/(8*AX136)</f>
        <v>353.24622779965159</v>
      </c>
      <c r="BB131" s="271" t="e">
        <f>BB128*BD138*BC138/BC138</f>
        <v>#VALUE!</v>
      </c>
      <c r="BC131" s="272"/>
      <c r="BD131" s="118" t="e">
        <f t="shared" si="47"/>
        <v>#VALUE!</v>
      </c>
      <c r="BE131" s="118" t="e">
        <f>BD131^3+BB122*BD131+BC122</f>
        <v>#VALUE!</v>
      </c>
      <c r="BF131" s="118" t="e">
        <f>3*BD131^2+BB122</f>
        <v>#VALUE!</v>
      </c>
      <c r="BG131" s="118" t="e">
        <f t="shared" si="42"/>
        <v>#VALUE!</v>
      </c>
      <c r="BH131" s="14" t="s">
        <v>149</v>
      </c>
      <c r="BI131" s="124" t="e">
        <f>BC138*BE138^2/(8*BG136)</f>
        <v>#VALUE!</v>
      </c>
      <c r="BK131" s="271" t="e">
        <f>BK128*BM138*BL138/BL138</f>
        <v>#VALUE!</v>
      </c>
      <c r="BL131" s="272"/>
      <c r="BM131" s="118" t="e">
        <f t="shared" si="48"/>
        <v>#VALUE!</v>
      </c>
      <c r="BN131" s="118" t="e">
        <f>BM131^3+BK122*BM131+BL122</f>
        <v>#VALUE!</v>
      </c>
      <c r="BO131" s="118" t="e">
        <f>3*BM131^2+BK122</f>
        <v>#VALUE!</v>
      </c>
      <c r="BP131" s="118" t="e">
        <f t="shared" si="43"/>
        <v>#VALUE!</v>
      </c>
      <c r="BQ131" s="14" t="s">
        <v>149</v>
      </c>
      <c r="BR131" s="124" t="e">
        <f>BL138*BN138^2/(8*BP136)</f>
        <v>#VALUE!</v>
      </c>
      <c r="BT131" s="271" t="e">
        <f>BT128*BV138*BU138/BU138</f>
        <v>#VALUE!</v>
      </c>
      <c r="BU131" s="272"/>
      <c r="BV131" s="118" t="e">
        <f t="shared" si="49"/>
        <v>#VALUE!</v>
      </c>
      <c r="BW131" s="118" t="e">
        <f>BV131^3+BT122*BV131+BU122</f>
        <v>#VALUE!</v>
      </c>
      <c r="BX131" s="118" t="e">
        <f>3*BV131^2+BT122</f>
        <v>#VALUE!</v>
      </c>
      <c r="BY131" s="118" t="e">
        <f t="shared" si="44"/>
        <v>#VALUE!</v>
      </c>
      <c r="BZ131" s="14" t="s">
        <v>149</v>
      </c>
      <c r="CA131" s="124" t="e">
        <f>BU138*BW138^2/(8*BY136)</f>
        <v>#VALUE!</v>
      </c>
    </row>
    <row r="132" spans="36:79" ht="13.5" customHeight="1" x14ac:dyDescent="0.15">
      <c r="AJ132" s="125"/>
      <c r="AK132" s="126"/>
      <c r="AL132" s="118">
        <f t="shared" si="45"/>
        <v>0.39378102431943546</v>
      </c>
      <c r="AM132" s="118">
        <f>AL132^3+AJ122*AL132+AK122</f>
        <v>0</v>
      </c>
      <c r="AN132" s="118">
        <f>3*AL132^2+AJ122</f>
        <v>0.58344677486190077</v>
      </c>
      <c r="AO132" s="118">
        <f t="shared" si="40"/>
        <v>0.39378102431943546</v>
      </c>
      <c r="AP132" s="116"/>
      <c r="AQ132" s="117"/>
      <c r="AS132" s="125"/>
      <c r="AT132" s="126"/>
      <c r="AU132" s="118">
        <f t="shared" si="46"/>
        <v>0.42972858038867845</v>
      </c>
      <c r="AV132" s="118">
        <f>AU132^3+AS122*AU132+AT122</f>
        <v>0</v>
      </c>
      <c r="AW132" s="118">
        <f>3*AU132^2+AS122</f>
        <v>0.64089927804497715</v>
      </c>
      <c r="AX132" s="118">
        <f t="shared" si="41"/>
        <v>0.42972858038867845</v>
      </c>
      <c r="AY132" s="116"/>
      <c r="AZ132" s="117"/>
      <c r="BB132" s="125"/>
      <c r="BC132" s="126"/>
      <c r="BD132" s="118" t="e">
        <f t="shared" si="47"/>
        <v>#VALUE!</v>
      </c>
      <c r="BE132" s="118" t="e">
        <f>BD132^3+BB122*BD132+BC122</f>
        <v>#VALUE!</v>
      </c>
      <c r="BF132" s="118" t="e">
        <f>3*BD132^2+BB122</f>
        <v>#VALUE!</v>
      </c>
      <c r="BG132" s="118" t="e">
        <f t="shared" si="42"/>
        <v>#VALUE!</v>
      </c>
      <c r="BH132" s="116"/>
      <c r="BI132" s="117"/>
      <c r="BK132" s="125"/>
      <c r="BL132" s="126"/>
      <c r="BM132" s="118" t="e">
        <f t="shared" si="48"/>
        <v>#VALUE!</v>
      </c>
      <c r="BN132" s="118" t="e">
        <f>BM132^3+BK122*BM132+BL122</f>
        <v>#VALUE!</v>
      </c>
      <c r="BO132" s="118" t="e">
        <f>3*BM132^2+BK122</f>
        <v>#VALUE!</v>
      </c>
      <c r="BP132" s="118" t="e">
        <f t="shared" si="43"/>
        <v>#VALUE!</v>
      </c>
      <c r="BQ132" s="116"/>
      <c r="BR132" s="117"/>
      <c r="BT132" s="125"/>
      <c r="BU132" s="126"/>
      <c r="BV132" s="118" t="e">
        <f t="shared" si="49"/>
        <v>#VALUE!</v>
      </c>
      <c r="BW132" s="118" t="e">
        <f>BV132^3+BT122*BV132+BU122</f>
        <v>#VALUE!</v>
      </c>
      <c r="BX132" s="118" t="e">
        <f>3*BV132^2+BT122</f>
        <v>#VALUE!</v>
      </c>
      <c r="BY132" s="118" t="e">
        <f t="shared" si="44"/>
        <v>#VALUE!</v>
      </c>
      <c r="BZ132" s="116"/>
      <c r="CA132" s="117"/>
    </row>
    <row r="133" spans="36:79" ht="13.5" customHeight="1" x14ac:dyDescent="0.15">
      <c r="AJ133" s="125"/>
      <c r="AK133" s="126"/>
      <c r="AL133" s="118">
        <f t="shared" si="45"/>
        <v>0.39378102431943546</v>
      </c>
      <c r="AM133" s="118">
        <f>AL133^3+AJ122*AL133+AK122</f>
        <v>0</v>
      </c>
      <c r="AN133" s="118">
        <f>3*AL133^2+AJ122</f>
        <v>0.58344677486190077</v>
      </c>
      <c r="AO133" s="118">
        <f t="shared" si="40"/>
        <v>0.39378102431943546</v>
      </c>
      <c r="AP133" s="112" t="s">
        <v>147</v>
      </c>
      <c r="AQ133" s="113">
        <v>0</v>
      </c>
      <c r="AS133" s="125"/>
      <c r="AT133" s="126"/>
      <c r="AU133" s="118">
        <f t="shared" si="46"/>
        <v>0.42972858038867845</v>
      </c>
      <c r="AV133" s="118">
        <f>AU133^3+AS122*AU133+AT122</f>
        <v>0</v>
      </c>
      <c r="AW133" s="118">
        <f>3*AU133^2+AS122</f>
        <v>0.64089927804497715</v>
      </c>
      <c r="AX133" s="118">
        <f t="shared" si="41"/>
        <v>0.42972858038867845</v>
      </c>
      <c r="AY133" s="112" t="s">
        <v>147</v>
      </c>
      <c r="AZ133" s="113">
        <v>0</v>
      </c>
      <c r="BB133" s="125"/>
      <c r="BC133" s="126"/>
      <c r="BD133" s="118" t="e">
        <f t="shared" si="47"/>
        <v>#VALUE!</v>
      </c>
      <c r="BE133" s="118" t="e">
        <f>BD133^3+BB122*BD133+BC122</f>
        <v>#VALUE!</v>
      </c>
      <c r="BF133" s="118" t="e">
        <f>3*BD133^2+BB122</f>
        <v>#VALUE!</v>
      </c>
      <c r="BG133" s="118" t="e">
        <f t="shared" si="42"/>
        <v>#VALUE!</v>
      </c>
      <c r="BH133" s="112" t="s">
        <v>147</v>
      </c>
      <c r="BI133" s="113">
        <v>0</v>
      </c>
      <c r="BK133" s="125"/>
      <c r="BL133" s="126"/>
      <c r="BM133" s="118" t="e">
        <f t="shared" si="48"/>
        <v>#VALUE!</v>
      </c>
      <c r="BN133" s="118" t="e">
        <f>BM133^3+BK122*BM133+BL122</f>
        <v>#VALUE!</v>
      </c>
      <c r="BO133" s="118" t="e">
        <f>3*BM133^2+BK122</f>
        <v>#VALUE!</v>
      </c>
      <c r="BP133" s="118" t="e">
        <f t="shared" si="43"/>
        <v>#VALUE!</v>
      </c>
      <c r="BQ133" s="112" t="s">
        <v>147</v>
      </c>
      <c r="BR133" s="113">
        <v>0</v>
      </c>
      <c r="BT133" s="125"/>
      <c r="BU133" s="126"/>
      <c r="BV133" s="118" t="e">
        <f t="shared" si="49"/>
        <v>#VALUE!</v>
      </c>
      <c r="BW133" s="118" t="e">
        <f>BV133^3+BT122*BV133+BU122</f>
        <v>#VALUE!</v>
      </c>
      <c r="BX133" s="118" t="e">
        <f>3*BV133^2+BT122</f>
        <v>#VALUE!</v>
      </c>
      <c r="BY133" s="118" t="e">
        <f t="shared" si="44"/>
        <v>#VALUE!</v>
      </c>
      <c r="BZ133" s="112" t="s">
        <v>147</v>
      </c>
      <c r="CA133" s="113">
        <v>0</v>
      </c>
    </row>
    <row r="134" spans="36:79" ht="13.5" customHeight="1" x14ac:dyDescent="0.15">
      <c r="AJ134" s="125"/>
      <c r="AK134" s="126"/>
      <c r="AL134" s="118">
        <f t="shared" si="45"/>
        <v>0.39378102431943546</v>
      </c>
      <c r="AM134" s="118">
        <f>AL134^3+AJ122*AL134+AK122</f>
        <v>0</v>
      </c>
      <c r="AN134" s="118">
        <f>3*AL134^2+AJ122</f>
        <v>0.58344677486190077</v>
      </c>
      <c r="AO134" s="118">
        <f t="shared" si="40"/>
        <v>0.39378102431943546</v>
      </c>
      <c r="AP134" s="128" t="s">
        <v>155</v>
      </c>
      <c r="AQ134" s="32"/>
      <c r="AS134" s="125"/>
      <c r="AT134" s="126"/>
      <c r="AU134" s="118">
        <f t="shared" si="46"/>
        <v>0.42972858038867845</v>
      </c>
      <c r="AV134" s="118">
        <f>AU134^3+AS122*AU134+AT122</f>
        <v>0</v>
      </c>
      <c r="AW134" s="118">
        <f>3*AU134^2+AS122</f>
        <v>0.64089927804497715</v>
      </c>
      <c r="AX134" s="118">
        <f t="shared" si="41"/>
        <v>0.42972858038867845</v>
      </c>
      <c r="AY134" s="128" t="s">
        <v>154</v>
      </c>
      <c r="AZ134" s="32"/>
      <c r="BB134" s="125"/>
      <c r="BC134" s="126"/>
      <c r="BD134" s="118" t="e">
        <f t="shared" si="47"/>
        <v>#VALUE!</v>
      </c>
      <c r="BE134" s="118" t="e">
        <f>BD134^3+BB122*BD134+BC122</f>
        <v>#VALUE!</v>
      </c>
      <c r="BF134" s="118" t="e">
        <f>3*BD134^2+BB122</f>
        <v>#VALUE!</v>
      </c>
      <c r="BG134" s="118" t="e">
        <f t="shared" si="42"/>
        <v>#VALUE!</v>
      </c>
      <c r="BH134" s="128" t="s">
        <v>153</v>
      </c>
      <c r="BI134" s="32"/>
      <c r="BK134" s="125"/>
      <c r="BL134" s="126"/>
      <c r="BM134" s="118" t="e">
        <f t="shared" si="48"/>
        <v>#VALUE!</v>
      </c>
      <c r="BN134" s="118" t="e">
        <f>BM134^3+BK122*BM134+BL122</f>
        <v>#VALUE!</v>
      </c>
      <c r="BO134" s="118" t="e">
        <f>3*BM134^2+BK122</f>
        <v>#VALUE!</v>
      </c>
      <c r="BP134" s="118" t="e">
        <f t="shared" si="43"/>
        <v>#VALUE!</v>
      </c>
      <c r="BQ134" s="128" t="s">
        <v>152</v>
      </c>
      <c r="BR134" s="32"/>
      <c r="BT134" s="125"/>
      <c r="BU134" s="126"/>
      <c r="BV134" s="118" t="e">
        <f t="shared" si="49"/>
        <v>#VALUE!</v>
      </c>
      <c r="BW134" s="118" t="e">
        <f>BV134^3+BT122*BV134+BU122</f>
        <v>#VALUE!</v>
      </c>
      <c r="BX134" s="118" t="e">
        <f>3*BV134^2+BT122</f>
        <v>#VALUE!</v>
      </c>
      <c r="BY134" s="118" t="e">
        <f t="shared" si="44"/>
        <v>#VALUE!</v>
      </c>
      <c r="BZ134" s="128" t="s">
        <v>151</v>
      </c>
      <c r="CA134" s="32"/>
    </row>
    <row r="135" spans="36:79" ht="13.5" customHeight="1" x14ac:dyDescent="0.15">
      <c r="AJ135" s="125"/>
      <c r="AK135" s="126"/>
      <c r="AL135" s="18">
        <f t="shared" si="45"/>
        <v>0.39378102431943546</v>
      </c>
      <c r="AM135" s="18">
        <f>AL135^3+AJ122*AL135+AK122</f>
        <v>0</v>
      </c>
      <c r="AN135" s="18">
        <f>3*AL135^2+AJ122</f>
        <v>0.58344677486190077</v>
      </c>
      <c r="AO135" s="18">
        <f t="shared" si="40"/>
        <v>0.39378102431943546</v>
      </c>
      <c r="AP135" s="273" t="str">
        <f>M54</f>
        <v>無 風 時　 0[℃]</v>
      </c>
      <c r="AQ135" s="284"/>
      <c r="AS135" s="125"/>
      <c r="AT135" s="126"/>
      <c r="AU135" s="18">
        <f t="shared" si="46"/>
        <v>0.42972858038867845</v>
      </c>
      <c r="AV135" s="18">
        <f>AU135^3+AS122*AU135+AT122</f>
        <v>0</v>
      </c>
      <c r="AW135" s="18">
        <f>3*AU135^2+AS122</f>
        <v>0.64089927804497715</v>
      </c>
      <c r="AX135" s="18">
        <f t="shared" si="41"/>
        <v>0.42972858038867845</v>
      </c>
      <c r="AY135" s="273" t="str">
        <f>M54</f>
        <v>無 風 時　 0[℃]</v>
      </c>
      <c r="AZ135" s="274"/>
      <c r="BB135" s="125"/>
      <c r="BC135" s="126"/>
      <c r="BD135" s="18" t="e">
        <f t="shared" si="47"/>
        <v>#VALUE!</v>
      </c>
      <c r="BE135" s="18" t="e">
        <f>BD135^3+BB122*BD135+BC122</f>
        <v>#VALUE!</v>
      </c>
      <c r="BF135" s="18" t="e">
        <f>3*BD135^2+BB122</f>
        <v>#VALUE!</v>
      </c>
      <c r="BG135" s="18" t="e">
        <f t="shared" si="42"/>
        <v>#VALUE!</v>
      </c>
      <c r="BH135" s="273" t="str">
        <f>M54</f>
        <v>無 風 時　 0[℃]</v>
      </c>
      <c r="BI135" s="274"/>
      <c r="BK135" s="125"/>
      <c r="BL135" s="126"/>
      <c r="BM135" s="18" t="e">
        <f t="shared" si="48"/>
        <v>#VALUE!</v>
      </c>
      <c r="BN135" s="18" t="e">
        <f>BM135^3+BK122*BM135+BL122</f>
        <v>#VALUE!</v>
      </c>
      <c r="BO135" s="18" t="e">
        <f>3*BM135^2+BK122</f>
        <v>#VALUE!</v>
      </c>
      <c r="BP135" s="18" t="e">
        <f t="shared" si="43"/>
        <v>#VALUE!</v>
      </c>
      <c r="BQ135" s="273" t="str">
        <f>M54</f>
        <v>無 風 時　 0[℃]</v>
      </c>
      <c r="BR135" s="274"/>
      <c r="BT135" s="125"/>
      <c r="BU135" s="126"/>
      <c r="BV135" s="18" t="e">
        <f t="shared" si="49"/>
        <v>#VALUE!</v>
      </c>
      <c r="BW135" s="18" t="e">
        <f>BV135^3+BT122*BV135+BU122</f>
        <v>#VALUE!</v>
      </c>
      <c r="BX135" s="18" t="e">
        <f>3*BV135^2+BT122</f>
        <v>#VALUE!</v>
      </c>
      <c r="BY135" s="18" t="e">
        <f t="shared" si="44"/>
        <v>#VALUE!</v>
      </c>
      <c r="BZ135" s="273" t="str">
        <f>M54</f>
        <v>無 風 時　 0[℃]</v>
      </c>
      <c r="CA135" s="274"/>
    </row>
    <row r="136" spans="36:79" ht="13.5" customHeight="1" thickBot="1" x14ac:dyDescent="0.2">
      <c r="AJ136" s="125"/>
      <c r="AK136" s="126"/>
      <c r="AL136" s="114">
        <f>AO135</f>
        <v>0.39378102431943546</v>
      </c>
      <c r="AM136" s="115">
        <f>AL136^3+AJ122*AL136+AK122</f>
        <v>0</v>
      </c>
      <c r="AN136" s="115">
        <f>3*AL136^2+AJ122</f>
        <v>0.58344677486190077</v>
      </c>
      <c r="AO136" s="115">
        <f t="shared" si="40"/>
        <v>0.39378102431943546</v>
      </c>
      <c r="AP136" s="285"/>
      <c r="AQ136" s="286"/>
      <c r="AS136" s="125"/>
      <c r="AT136" s="126"/>
      <c r="AU136" s="114">
        <f>AX135</f>
        <v>0.42972858038867845</v>
      </c>
      <c r="AV136" s="115">
        <f>AU136^3+AS122*AU136+AT122</f>
        <v>0</v>
      </c>
      <c r="AW136" s="115">
        <f>3*AU136^2+AS122</f>
        <v>0.64089927804497715</v>
      </c>
      <c r="AX136" s="115">
        <f t="shared" si="41"/>
        <v>0.42972858038867845</v>
      </c>
      <c r="AY136" s="275"/>
      <c r="AZ136" s="276"/>
      <c r="BB136" s="125"/>
      <c r="BC136" s="126"/>
      <c r="BD136" s="114" t="e">
        <f>BG135</f>
        <v>#VALUE!</v>
      </c>
      <c r="BE136" s="115" t="e">
        <f>BD136^3+BB122*BD136+BC122</f>
        <v>#VALUE!</v>
      </c>
      <c r="BF136" s="115" t="e">
        <f>3*BD136^2+BB122</f>
        <v>#VALUE!</v>
      </c>
      <c r="BG136" s="115" t="e">
        <f t="shared" si="42"/>
        <v>#VALUE!</v>
      </c>
      <c r="BH136" s="275"/>
      <c r="BI136" s="276"/>
      <c r="BK136" s="125"/>
      <c r="BL136" s="126"/>
      <c r="BM136" s="114" t="e">
        <f>BP135</f>
        <v>#VALUE!</v>
      </c>
      <c r="BN136" s="115" t="e">
        <f>BM136^3+BK122*BM136+BL122</f>
        <v>#VALUE!</v>
      </c>
      <c r="BO136" s="115" t="e">
        <f>3*BM136^2+BK122</f>
        <v>#VALUE!</v>
      </c>
      <c r="BP136" s="115" t="e">
        <f t="shared" si="43"/>
        <v>#VALUE!</v>
      </c>
      <c r="BQ136" s="275"/>
      <c r="BR136" s="276"/>
      <c r="BT136" s="125"/>
      <c r="BU136" s="126"/>
      <c r="BV136" s="114" t="e">
        <f>BY135</f>
        <v>#VALUE!</v>
      </c>
      <c r="BW136" s="115" t="e">
        <f>BV136^3+BT122*BV136+BU122</f>
        <v>#VALUE!</v>
      </c>
      <c r="BX136" s="115" t="e">
        <f>3*BV136^2+BT122</f>
        <v>#VALUE!</v>
      </c>
      <c r="BY136" s="115" t="e">
        <f t="shared" si="44"/>
        <v>#VALUE!</v>
      </c>
      <c r="BZ136" s="275"/>
      <c r="CA136" s="276"/>
    </row>
    <row r="137" spans="36:79" ht="13.5" customHeight="1" x14ac:dyDescent="0.15">
      <c r="AJ137" s="62"/>
      <c r="AK137" s="12" t="s">
        <v>53</v>
      </c>
      <c r="AL137" s="12" t="s">
        <v>54</v>
      </c>
      <c r="AM137" s="12" t="s">
        <v>55</v>
      </c>
      <c r="AN137" s="12" t="s">
        <v>56</v>
      </c>
      <c r="AO137" s="63" t="s">
        <v>57</v>
      </c>
      <c r="AP137" s="12" t="s">
        <v>58</v>
      </c>
      <c r="AQ137" s="13" t="s">
        <v>59</v>
      </c>
      <c r="AS137" s="62"/>
      <c r="AT137" s="12" t="s">
        <v>53</v>
      </c>
      <c r="AU137" s="12" t="s">
        <v>54</v>
      </c>
      <c r="AV137" s="12" t="s">
        <v>55</v>
      </c>
      <c r="AW137" s="12" t="s">
        <v>56</v>
      </c>
      <c r="AX137" s="63" t="s">
        <v>57</v>
      </c>
      <c r="AY137" s="12" t="s">
        <v>58</v>
      </c>
      <c r="AZ137" s="13" t="s">
        <v>59</v>
      </c>
      <c r="BB137" s="62"/>
      <c r="BC137" s="12" t="s">
        <v>53</v>
      </c>
      <c r="BD137" s="12" t="s">
        <v>54</v>
      </c>
      <c r="BE137" s="12" t="s">
        <v>55</v>
      </c>
      <c r="BF137" s="12" t="s">
        <v>56</v>
      </c>
      <c r="BG137" s="63" t="s">
        <v>57</v>
      </c>
      <c r="BH137" s="12" t="s">
        <v>58</v>
      </c>
      <c r="BI137" s="13" t="s">
        <v>59</v>
      </c>
      <c r="BK137" s="62"/>
      <c r="BL137" s="12" t="s">
        <v>53</v>
      </c>
      <c r="BM137" s="12" t="s">
        <v>54</v>
      </c>
      <c r="BN137" s="12" t="s">
        <v>55</v>
      </c>
      <c r="BO137" s="12" t="s">
        <v>56</v>
      </c>
      <c r="BP137" s="63" t="s">
        <v>57</v>
      </c>
      <c r="BQ137" s="12" t="s">
        <v>58</v>
      </c>
      <c r="BR137" s="13" t="s">
        <v>59</v>
      </c>
      <c r="BT137" s="62"/>
      <c r="BU137" s="12" t="s">
        <v>53</v>
      </c>
      <c r="BV137" s="12" t="s">
        <v>54</v>
      </c>
      <c r="BW137" s="12" t="s">
        <v>55</v>
      </c>
      <c r="BX137" s="12" t="s">
        <v>56</v>
      </c>
      <c r="BY137" s="63" t="s">
        <v>57</v>
      </c>
      <c r="BZ137" s="12" t="s">
        <v>58</v>
      </c>
      <c r="CA137" s="13" t="s">
        <v>59</v>
      </c>
    </row>
    <row r="138" spans="36:79" ht="13.5" customHeight="1" thickBot="1" x14ac:dyDescent="0.2">
      <c r="AJ138" s="107"/>
      <c r="AK138" s="108">
        <f>M23+U23</f>
        <v>0.4</v>
      </c>
      <c r="AL138" s="108">
        <f>IF(C33="",L19*(F19/40)^2,C33)</f>
        <v>0.5</v>
      </c>
      <c r="AM138" s="108">
        <f>F19</f>
        <v>40</v>
      </c>
      <c r="AN138" s="108">
        <f>AK78*1600/(8*L19)</f>
        <v>160</v>
      </c>
      <c r="AO138" s="109">
        <f>V23</f>
        <v>12000</v>
      </c>
      <c r="AP138" s="108">
        <f>L23</f>
        <v>37.164999999999999</v>
      </c>
      <c r="AQ138" s="110">
        <f>W23</f>
        <v>170</v>
      </c>
      <c r="AS138" s="107"/>
      <c r="AT13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138" s="108">
        <f>IF(I33="",L19*(F19/40)^2,I33)</f>
        <v>0.5</v>
      </c>
      <c r="AV138" s="108">
        <f>F19</f>
        <v>40</v>
      </c>
      <c r="AW138" s="108">
        <f>AT138*1600/(8*L19)</f>
        <v>303.60000000000002</v>
      </c>
      <c r="AX138" s="109">
        <f>IF(B24="使用電線-2",V24,IF(B25="使用電線-2",V25,IF(B26="使用電線-2",V26,IF(B27="使用電線-2",V27,IF(B28="使用電線-2",V28,IF(B29="使用電線-2",V29,""))))))</f>
        <v>21000</v>
      </c>
      <c r="AY138" s="108">
        <f>IF(B24="使用電線-2",L24,IF(B25="使用電線-2",L25,IF(B26="使用電線-2",L26,IF(B27="使用電線-2",L27,IF(B28="使用電線-2",L28,IF(B29="使用電線-2",L29,""))))))</f>
        <v>37.164999999999999</v>
      </c>
      <c r="AZ138" s="110">
        <f>IF(B24="使用電線-2",W24,IF(B25="使用電線-2",W25,IF(B26="使用電線-2",W26,IF(B27="使用電線-2",W27,IF(B28="使用電線-2",W28,IF(B29="使用電線-2",W29,""))))))</f>
        <v>115</v>
      </c>
      <c r="BB138" s="107"/>
      <c r="BC138" s="108" t="str">
        <f>IF(B25="使用電線-3",M25+U25,IF(B26="使用電線-3",M26+U26,IF(B27="使用電線-3",M27+U27,IF(B28="使用電線-3",M28+U28,IF(B29="使用電線-3",M29+U29,"")))))</f>
        <v/>
      </c>
      <c r="BD138" s="108">
        <f>IF(N33="",L19*(F19/40)^2,N33)</f>
        <v>0.5</v>
      </c>
      <c r="BE138" s="108">
        <f>F19</f>
        <v>40</v>
      </c>
      <c r="BF138" s="108" t="e">
        <f>BC138*1600/(8*L19)</f>
        <v>#VALUE!</v>
      </c>
      <c r="BG138" s="109" t="str">
        <f>IF(B25="使用電線-3",V25,IF(B26="使用電線-3",V26,IF(B27="使用電線-3",V27,IF(B28="使用電線-3",V28,IF(B29="使用電線-3",V29,"")))))</f>
        <v/>
      </c>
      <c r="BH138" s="108" t="str">
        <f>IF(B25="使用電線-3",L25,IF(B26="使用電線-3",L26,IF(B27="使用電線-3",L27,IF(B28="使用電線-3",L28,IF(B29="使用電線-3",L29,"")))))</f>
        <v/>
      </c>
      <c r="BI138" s="110" t="str">
        <f>IF(B25="使用電線-3",W25,IF(B26="使用電線-3",W26,IF(B27="使用電線-3",W27,IF(B28="使用電線-3",W28,IF(B29="使用電線-3",W29,"")))))</f>
        <v/>
      </c>
      <c r="BK138" s="107"/>
      <c r="BL138" s="108" t="str">
        <f>IF(B26="使用電線-4",M26+U26,IF(B27="使用電線-4",M27+U27,IF(B28="使用電線-4",M28+U28,IF(B29="使用電線-4",M29+U29,""))))</f>
        <v/>
      </c>
      <c r="BM138" s="108">
        <f>IF(C47="",L19*(F19/40)^2,C47)</f>
        <v>0.5</v>
      </c>
      <c r="BN138" s="108">
        <f>F19</f>
        <v>40</v>
      </c>
      <c r="BO138" s="127" t="e">
        <f>BL138*1600/(8*L19)</f>
        <v>#VALUE!</v>
      </c>
      <c r="BP138" s="109" t="str">
        <f>IF(B26="使用電線-4",V26,IF(B27="使用電線-4",V27,IF(B28="使用電線-4",V28,IF(B29="使用電線-4",V29,""))))</f>
        <v/>
      </c>
      <c r="BQ138" s="108" t="str">
        <f>IF(B26="使用電線-4",L26,IF(B27="使用電線-4",L27,IF(B28="使用電線-4",L28,IF(B29="使用電線-4",L29,""))))</f>
        <v/>
      </c>
      <c r="BR138" s="110" t="str">
        <f>IF(B26="使用電線-4",W26,IF(B27="使用電線-4",W27,IF(B28="使用電線-4",W28,IF(B29="使用電線-4",W29,""))))</f>
        <v/>
      </c>
      <c r="BT138" s="107"/>
      <c r="BU138" s="108" t="str">
        <f>IF(B27="使用電線-5",M27+U27,IF(B28="使用電線-5",M28+U28,IF(B29="使用電線-5",M29+U29,"")))</f>
        <v/>
      </c>
      <c r="BV138" s="108">
        <f>IF(I47="",L19*(F19/40)^2,I47)</f>
        <v>0.5</v>
      </c>
      <c r="BW138" s="108">
        <f>F19</f>
        <v>40</v>
      </c>
      <c r="BX138" s="127" t="e">
        <f>BU138*1600/(8*L19)</f>
        <v>#VALUE!</v>
      </c>
      <c r="BY138" s="109" t="str">
        <f>IF(B27="使用電線-5",V27,IF(B28="使用電線-5",V28,IF(B29="使用電線-5",V29,"")))</f>
        <v/>
      </c>
      <c r="BZ138" s="108" t="str">
        <f>IF(B27="使用電線-5",L27,IF(B28="使用電線-5",L28,IF(B29="使用電線-5",L29,"")))</f>
        <v/>
      </c>
      <c r="CA138" s="110" t="str">
        <f>IF(B27="使用電線-5",W27,IF(B28="使用電線-5",W28,IF(B29="使用電線-5",W29,"")))</f>
        <v/>
      </c>
    </row>
    <row r="139" spans="36:79" ht="13.5" customHeight="1" x14ac:dyDescent="0.15"/>
    <row r="140" spans="36:79" ht="13.5" customHeight="1" thickBot="1" x14ac:dyDescent="0.2"/>
    <row r="141" spans="36:79" ht="13.5" customHeight="1" x14ac:dyDescent="0.15">
      <c r="AJ141" s="2" t="s">
        <v>144</v>
      </c>
      <c r="AK141" s="111" t="s">
        <v>145</v>
      </c>
      <c r="AL141" s="12" t="s">
        <v>7</v>
      </c>
      <c r="AM141" s="12" t="s">
        <v>0</v>
      </c>
      <c r="AN141" s="12" t="s">
        <v>1</v>
      </c>
      <c r="AO141" s="12" t="s">
        <v>2</v>
      </c>
      <c r="AP141" s="12" t="s">
        <v>5</v>
      </c>
      <c r="AQ141" s="13" t="s">
        <v>6</v>
      </c>
      <c r="AS141" s="2" t="s">
        <v>144</v>
      </c>
      <c r="AT141" s="111" t="s">
        <v>145</v>
      </c>
      <c r="AU141" s="12" t="s">
        <v>7</v>
      </c>
      <c r="AV141" s="12" t="s">
        <v>0</v>
      </c>
      <c r="AW141" s="12" t="s">
        <v>1</v>
      </c>
      <c r="AX141" s="12" t="s">
        <v>2</v>
      </c>
      <c r="AY141" s="12" t="s">
        <v>5</v>
      </c>
      <c r="AZ141" s="13" t="s">
        <v>6</v>
      </c>
      <c r="BB141" s="2" t="s">
        <v>144</v>
      </c>
      <c r="BC141" s="111" t="s">
        <v>145</v>
      </c>
      <c r="BD141" s="12" t="s">
        <v>7</v>
      </c>
      <c r="BE141" s="12" t="s">
        <v>0</v>
      </c>
      <c r="BF141" s="12" t="s">
        <v>1</v>
      </c>
      <c r="BG141" s="12" t="s">
        <v>2</v>
      </c>
      <c r="BH141" s="12" t="s">
        <v>5</v>
      </c>
      <c r="BI141" s="13" t="s">
        <v>6</v>
      </c>
      <c r="BK141" s="2" t="s">
        <v>144</v>
      </c>
      <c r="BL141" s="111" t="s">
        <v>145</v>
      </c>
      <c r="BM141" s="12" t="s">
        <v>7</v>
      </c>
      <c r="BN141" s="12" t="s">
        <v>0</v>
      </c>
      <c r="BO141" s="12" t="s">
        <v>1</v>
      </c>
      <c r="BP141" s="12" t="s">
        <v>2</v>
      </c>
      <c r="BQ141" s="12" t="s">
        <v>5</v>
      </c>
      <c r="BR141" s="13" t="s">
        <v>6</v>
      </c>
      <c r="BT141" s="2" t="s">
        <v>144</v>
      </c>
      <c r="BU141" s="111" t="s">
        <v>145</v>
      </c>
      <c r="BV141" s="12" t="s">
        <v>7</v>
      </c>
      <c r="BW141" s="12" t="s">
        <v>0</v>
      </c>
      <c r="BX141" s="12" t="s">
        <v>1</v>
      </c>
      <c r="BY141" s="12" t="s">
        <v>2</v>
      </c>
      <c r="BZ141" s="12" t="s">
        <v>5</v>
      </c>
      <c r="CA141" s="13" t="s">
        <v>6</v>
      </c>
    </row>
    <row r="142" spans="36:79" ht="13.5" customHeight="1" x14ac:dyDescent="0.15">
      <c r="AJ142" s="16">
        <f>-AJ145+AJ148</f>
        <v>-3.4743710480290596E-2</v>
      </c>
      <c r="AK142" s="17">
        <f>-AJ151</f>
        <v>-0.1076281447598547</v>
      </c>
      <c r="AL142" s="18">
        <f>IF(AND(AP145&lt;0,AQ145&lt;0),AQ142*1.2,IF(AND(AP145&gt;0,AQ145&gt;0),AP142*0.8,10))</f>
        <v>0.12913938605452438</v>
      </c>
      <c r="AM142" s="18">
        <f>AL142^3+AJ142*AL142+AK142</f>
        <v>-0.10996127110900876</v>
      </c>
      <c r="AN142" s="18">
        <f>3*AL142^2+AJ142</f>
        <v>1.5287232611327861E-2</v>
      </c>
      <c r="AO142" s="18">
        <f t="shared" ref="AO142:AO156" si="50">AL142-AM142/AN142</f>
        <v>7.3221529225612763</v>
      </c>
      <c r="AP142" s="18">
        <f>-SQRT(ABS(-4*3*AJ142))/6</f>
        <v>-0.10761615504543698</v>
      </c>
      <c r="AQ142" s="19">
        <f>SQRT(ABS(-4*3*AJ142))/6</f>
        <v>0.10761615504543698</v>
      </c>
      <c r="AS142" s="16">
        <f>-AS145+AS148</f>
        <v>-1.6600680363629383E-2</v>
      </c>
      <c r="AT142" s="17">
        <f>-AS151</f>
        <v>-0.11669965981818531</v>
      </c>
      <c r="AU142" s="18">
        <f>IF(AND(AY145&lt;0,AZ145&lt;0),AZ142*1.2,IF(AND(AY145&gt;0,AZ145&gt;0),AY142*0.8,10))</f>
        <v>8.9265483668336795E-2</v>
      </c>
      <c r="AV142" s="18">
        <f>AU142^3+AS142*AU142+AT142</f>
        <v>-0.11747023105436438</v>
      </c>
      <c r="AW142" s="18">
        <f>3*AU142^2+AS142</f>
        <v>7.3042993599969248E-3</v>
      </c>
      <c r="AX142" s="18">
        <f t="shared" ref="AX142:AX156" si="51">AU142-AV142/AW142</f>
        <v>16.171606207230063</v>
      </c>
      <c r="AY142" s="18">
        <f>-SQRT(ABS(-4*3*AS142))/6</f>
        <v>-7.4387903056947327E-2</v>
      </c>
      <c r="AZ142" s="19">
        <f>SQRT(ABS(-4*3*AS142))/6</f>
        <v>7.4387903056947327E-2</v>
      </c>
      <c r="BB142" s="16" t="e">
        <f>-BB145+BB148</f>
        <v>#VALUE!</v>
      </c>
      <c r="BC142" s="17" t="e">
        <f>-BB151</f>
        <v>#VALUE!</v>
      </c>
      <c r="BD142" s="18" t="e">
        <f>IF(AND(BH145&lt;0,BI145&lt;0),BI142*1.2,IF(AND(BH145&gt;0,BI145&gt;0),BH142*0.8,10))</f>
        <v>#VALUE!</v>
      </c>
      <c r="BE142" s="18" t="e">
        <f>BD142^3+BB142*BD142+BC142</f>
        <v>#VALUE!</v>
      </c>
      <c r="BF142" s="18" t="e">
        <f>3*BD142^2+BB142</f>
        <v>#VALUE!</v>
      </c>
      <c r="BG142" s="18" t="e">
        <f t="shared" ref="BG142:BG156" si="52">BD142-BE142/BF142</f>
        <v>#VALUE!</v>
      </c>
      <c r="BH142" s="18" t="e">
        <f>-SQRT(ABS(-4*3*BB142))/6</f>
        <v>#VALUE!</v>
      </c>
      <c r="BI142" s="19" t="e">
        <f>SQRT(ABS(-4*3*BB142))/6</f>
        <v>#VALUE!</v>
      </c>
      <c r="BK142" s="16" t="e">
        <f>-BK145+BK148</f>
        <v>#VALUE!</v>
      </c>
      <c r="BL142" s="17" t="e">
        <f>-BK151</f>
        <v>#VALUE!</v>
      </c>
      <c r="BM142" s="18" t="e">
        <f>IF(AND(BQ145&lt;0,BR145&lt;0),BR142*1.2,IF(AND(BQ145&gt;0,BR145&gt;0),BQ142*0.8,10))</f>
        <v>#VALUE!</v>
      </c>
      <c r="BN142" s="18" t="e">
        <f>BM142^3+BK142*BM142+BL142</f>
        <v>#VALUE!</v>
      </c>
      <c r="BO142" s="18" t="e">
        <f>3*BM142^2+BK142</f>
        <v>#VALUE!</v>
      </c>
      <c r="BP142" s="18" t="e">
        <f t="shared" ref="BP142:BP156" si="53">BM142-BN142/BO142</f>
        <v>#VALUE!</v>
      </c>
      <c r="BQ142" s="18" t="e">
        <f>-SQRT(ABS(-4*3*BK142))/6</f>
        <v>#VALUE!</v>
      </c>
      <c r="BR142" s="19" t="e">
        <f>SQRT(ABS(-4*3*BK142))/6</f>
        <v>#VALUE!</v>
      </c>
      <c r="BT142" s="16" t="e">
        <f>-BT145+BT148</f>
        <v>#VALUE!</v>
      </c>
      <c r="BU142" s="17" t="e">
        <f>-BT151</f>
        <v>#VALUE!</v>
      </c>
      <c r="BV142" s="18" t="e">
        <f>IF(AND(BZ145&lt;0,CA145&lt;0),CA142*1.2,IF(AND(BZ145&gt;0,CA145&gt;0),BZ142*0.8,10))</f>
        <v>#VALUE!</v>
      </c>
      <c r="BW142" s="18" t="e">
        <f>BV142^3+BT142*BV142+BU142</f>
        <v>#VALUE!</v>
      </c>
      <c r="BX142" s="18" t="e">
        <f>3*BV142^2+BT142</f>
        <v>#VALUE!</v>
      </c>
      <c r="BY142" s="18" t="e">
        <f t="shared" ref="BY142:BY156" si="54">BV142-BW142/BX142</f>
        <v>#VALUE!</v>
      </c>
      <c r="BZ142" s="18" t="e">
        <f>-SQRT(ABS(-4*3*BT142))/6</f>
        <v>#VALUE!</v>
      </c>
      <c r="CA142" s="19" t="e">
        <f>SQRT(ABS(-4*3*BT142))/6</f>
        <v>#VALUE!</v>
      </c>
    </row>
    <row r="143" spans="36:79" ht="13.5" customHeight="1" x14ac:dyDescent="0.15">
      <c r="AJ143" s="267"/>
      <c r="AK143" s="268"/>
      <c r="AL143" s="18">
        <f t="shared" ref="AL143:AL155" si="55">AO142</f>
        <v>7.3221529225612763</v>
      </c>
      <c r="AM143" s="18">
        <f>AL143^3+AJ142*AL143+AK142</f>
        <v>392.20731916378639</v>
      </c>
      <c r="AN143" s="18">
        <f>3*AL143^2+AJ142</f>
        <v>160.80702655363763</v>
      </c>
      <c r="AO143" s="18">
        <f t="shared" si="50"/>
        <v>4.8831592568649294</v>
      </c>
      <c r="AP143" s="6"/>
      <c r="AQ143" s="7"/>
      <c r="AS143" s="267"/>
      <c r="AT143" s="268"/>
      <c r="AU143" s="18">
        <f t="shared" ref="AU143:AU155" si="56">AX142</f>
        <v>16.171606207230063</v>
      </c>
      <c r="AV143" s="18">
        <f>AU143^3+AS142*AU143+AT142</f>
        <v>4228.8269985425932</v>
      </c>
      <c r="AW143" s="18">
        <f>3*AU143^2+AS142</f>
        <v>784.54594128480221</v>
      </c>
      <c r="AX143" s="18">
        <f t="shared" si="51"/>
        <v>10.781447676019889</v>
      </c>
      <c r="AY143" s="6"/>
      <c r="AZ143" s="7"/>
      <c r="BB143" s="267"/>
      <c r="BC143" s="268"/>
      <c r="BD143" s="18" t="e">
        <f t="shared" ref="BD143:BD155" si="57">BG142</f>
        <v>#VALUE!</v>
      </c>
      <c r="BE143" s="18" t="e">
        <f>BD143^3+BB142*BD143+BC142</f>
        <v>#VALUE!</v>
      </c>
      <c r="BF143" s="18" t="e">
        <f>3*BD143^2+BB142</f>
        <v>#VALUE!</v>
      </c>
      <c r="BG143" s="18" t="e">
        <f t="shared" si="52"/>
        <v>#VALUE!</v>
      </c>
      <c r="BH143" s="6"/>
      <c r="BI143" s="7"/>
      <c r="BK143" s="267"/>
      <c r="BL143" s="268"/>
      <c r="BM143" s="18" t="e">
        <f t="shared" ref="BM143:BM155" si="58">BP142</f>
        <v>#VALUE!</v>
      </c>
      <c r="BN143" s="18" t="e">
        <f>BM143^3+BK142*BM143+BL142</f>
        <v>#VALUE!</v>
      </c>
      <c r="BO143" s="18" t="e">
        <f>3*BM143^2+BK142</f>
        <v>#VALUE!</v>
      </c>
      <c r="BP143" s="18" t="e">
        <f t="shared" si="53"/>
        <v>#VALUE!</v>
      </c>
      <c r="BQ143" s="6"/>
      <c r="BR143" s="7"/>
      <c r="BT143" s="267"/>
      <c r="BU143" s="268"/>
      <c r="BV143" s="18" t="e">
        <f t="shared" ref="BV143:BV155" si="59">BY142</f>
        <v>#VALUE!</v>
      </c>
      <c r="BW143" s="18" t="e">
        <f>BV143^3+BT142*BV143+BU142</f>
        <v>#VALUE!</v>
      </c>
      <c r="BX143" s="18" t="e">
        <f>3*BV143^2+BT142</f>
        <v>#VALUE!</v>
      </c>
      <c r="BY143" s="18" t="e">
        <f t="shared" si="54"/>
        <v>#VALUE!</v>
      </c>
      <c r="BZ143" s="6"/>
      <c r="CA143" s="7"/>
    </row>
    <row r="144" spans="36:79" ht="13.5" customHeight="1" x14ac:dyDescent="0.15">
      <c r="AJ144" s="269" t="s">
        <v>8</v>
      </c>
      <c r="AK144" s="270"/>
      <c r="AL144" s="18">
        <f t="shared" si="55"/>
        <v>4.8831592568649294</v>
      </c>
      <c r="AM144" s="18">
        <f>AL144^3+AJ142*AL144+AK142</f>
        <v>116.1628383558089</v>
      </c>
      <c r="AN144" s="18">
        <f>3*AL144^2+AJ142</f>
        <v>71.500989273236669</v>
      </c>
      <c r="AO144" s="18">
        <f t="shared" si="50"/>
        <v>3.2585266533648616</v>
      </c>
      <c r="AP144" s="14" t="s">
        <v>3</v>
      </c>
      <c r="AQ144" s="15" t="s">
        <v>4</v>
      </c>
      <c r="AS144" s="269" t="s">
        <v>8</v>
      </c>
      <c r="AT144" s="270"/>
      <c r="AU144" s="18">
        <f t="shared" si="56"/>
        <v>10.781447676019889</v>
      </c>
      <c r="AV144" s="18">
        <f>AU144^3+AS142*AU144+AT142</f>
        <v>1252.9356370955261</v>
      </c>
      <c r="AW144" s="18">
        <f>3*AU144^2+AS142</f>
        <v>348.70224129190035</v>
      </c>
      <c r="AX144" s="18">
        <f t="shared" si="51"/>
        <v>7.1883086343735023</v>
      </c>
      <c r="AY144" s="14" t="s">
        <v>3</v>
      </c>
      <c r="AZ144" s="15" t="s">
        <v>4</v>
      </c>
      <c r="BB144" s="269" t="s">
        <v>8</v>
      </c>
      <c r="BC144" s="270"/>
      <c r="BD144" s="18" t="e">
        <f t="shared" si="57"/>
        <v>#VALUE!</v>
      </c>
      <c r="BE144" s="18" t="e">
        <f>BD144^3+BB142*BD144+BC142</f>
        <v>#VALUE!</v>
      </c>
      <c r="BF144" s="18" t="e">
        <f>3*BD144^2+BB142</f>
        <v>#VALUE!</v>
      </c>
      <c r="BG144" s="18" t="e">
        <f t="shared" si="52"/>
        <v>#VALUE!</v>
      </c>
      <c r="BH144" s="14" t="s">
        <v>3</v>
      </c>
      <c r="BI144" s="15" t="s">
        <v>4</v>
      </c>
      <c r="BK144" s="269" t="s">
        <v>8</v>
      </c>
      <c r="BL144" s="270"/>
      <c r="BM144" s="18" t="e">
        <f t="shared" si="58"/>
        <v>#VALUE!</v>
      </c>
      <c r="BN144" s="18" t="e">
        <f>BM144^3+BK142*BM144+BL142</f>
        <v>#VALUE!</v>
      </c>
      <c r="BO144" s="18" t="e">
        <f>3*BM144^2+BK142</f>
        <v>#VALUE!</v>
      </c>
      <c r="BP144" s="18" t="e">
        <f t="shared" si="53"/>
        <v>#VALUE!</v>
      </c>
      <c r="BQ144" s="14" t="s">
        <v>3</v>
      </c>
      <c r="BR144" s="15" t="s">
        <v>4</v>
      </c>
      <c r="BT144" s="269" t="s">
        <v>8</v>
      </c>
      <c r="BU144" s="270"/>
      <c r="BV144" s="18" t="e">
        <f t="shared" si="59"/>
        <v>#VALUE!</v>
      </c>
      <c r="BW144" s="18" t="e">
        <f>BV144^3+BT142*BV144+BU142</f>
        <v>#VALUE!</v>
      </c>
      <c r="BX144" s="18" t="e">
        <f>3*BV144^2+BT142</f>
        <v>#VALUE!</v>
      </c>
      <c r="BY144" s="18" t="e">
        <f t="shared" si="54"/>
        <v>#VALUE!</v>
      </c>
      <c r="BZ144" s="14" t="s">
        <v>3</v>
      </c>
      <c r="CA144" s="15" t="s">
        <v>4</v>
      </c>
    </row>
    <row r="145" spans="36:79" ht="13.5" customHeight="1" x14ac:dyDescent="0.15">
      <c r="AJ145" s="269">
        <f>(AL158^2)+3*(AM158^2)*AQ158*(AQ153-15)/(8*10^7)</f>
        <v>0.25</v>
      </c>
      <c r="AK145" s="270"/>
      <c r="AL145" s="18">
        <f t="shared" si="55"/>
        <v>3.2585266533648616</v>
      </c>
      <c r="AM145" s="18">
        <f>AL145^3+AJ142*AL145+AK142</f>
        <v>34.378181359244273</v>
      </c>
      <c r="AN145" s="18">
        <f>3*AL145^2+AJ142</f>
        <v>31.819244141587319</v>
      </c>
      <c r="AO145" s="18">
        <f t="shared" si="50"/>
        <v>2.1781055972809913</v>
      </c>
      <c r="AP145" s="18">
        <f>AP142^3+AJ142*AP142+AK142</f>
        <v>-0.10513548840392088</v>
      </c>
      <c r="AQ145" s="19">
        <f>AQ142^3+AJ142*AQ142+AK142</f>
        <v>-0.11012080111578852</v>
      </c>
      <c r="AS145" s="269">
        <f>(AU158^2)+3*(AV158^2)*AZ158*(AZ153-15)/(8*10^7)</f>
        <v>0.25</v>
      </c>
      <c r="AT145" s="270"/>
      <c r="AU145" s="18">
        <f t="shared" si="56"/>
        <v>7.1883086343735023</v>
      </c>
      <c r="AV145" s="18">
        <f>AU145^3+AS142*AU145+AT142</f>
        <v>371.19667920733741</v>
      </c>
      <c r="AW145" s="18">
        <f>3*AU145^2+AS142</f>
        <v>154.99874238866232</v>
      </c>
      <c r="AX145" s="18">
        <f t="shared" si="51"/>
        <v>4.7934719183661265</v>
      </c>
      <c r="AY145" s="18">
        <f>AY142^3+AS142*AY142+AT142</f>
        <v>-0.11587639995047262</v>
      </c>
      <c r="AZ145" s="19">
        <f>AZ142^3+AS142*AZ142+AT142</f>
        <v>-0.11752291968589799</v>
      </c>
      <c r="BB145" s="269" t="e">
        <f>(BD158^2)+3*(BE158^2)*BI158*(BI153-15)/(8*10^7)</f>
        <v>#VALUE!</v>
      </c>
      <c r="BC145" s="270"/>
      <c r="BD145" s="18" t="e">
        <f t="shared" si="57"/>
        <v>#VALUE!</v>
      </c>
      <c r="BE145" s="18" t="e">
        <f>BD145^3+BB142*BD145+BC142</f>
        <v>#VALUE!</v>
      </c>
      <c r="BF145" s="18" t="e">
        <f>3*BD145^2+BB142</f>
        <v>#VALUE!</v>
      </c>
      <c r="BG145" s="18" t="e">
        <f t="shared" si="52"/>
        <v>#VALUE!</v>
      </c>
      <c r="BH145" s="18" t="e">
        <f>BH142^3+BB142*BH142+BC142</f>
        <v>#VALUE!</v>
      </c>
      <c r="BI145" s="19" t="e">
        <f>BI142^3+BB142*BI142+BC142</f>
        <v>#VALUE!</v>
      </c>
      <c r="BK145" s="269" t="e">
        <f>(BM158^2)+3*(BN158^2)*BR158*(BR153-15)/(8*10^7)</f>
        <v>#VALUE!</v>
      </c>
      <c r="BL145" s="270"/>
      <c r="BM145" s="18" t="e">
        <f t="shared" si="58"/>
        <v>#VALUE!</v>
      </c>
      <c r="BN145" s="18" t="e">
        <f>BM145^3+BK142*BM145+BL142</f>
        <v>#VALUE!</v>
      </c>
      <c r="BO145" s="18" t="e">
        <f>3*BM145^2+BK142</f>
        <v>#VALUE!</v>
      </c>
      <c r="BP145" s="18" t="e">
        <f t="shared" si="53"/>
        <v>#VALUE!</v>
      </c>
      <c r="BQ145" s="18" t="e">
        <f>BQ142^3+BK142*BQ142+BL142</f>
        <v>#VALUE!</v>
      </c>
      <c r="BR145" s="19" t="e">
        <f>BR142^3+BK142*BR142+BL142</f>
        <v>#VALUE!</v>
      </c>
      <c r="BT145" s="269" t="e">
        <f>(BV158^2)+3*(BW158^2)*CA158*(CA153-15)/(8*10^7)</f>
        <v>#VALUE!</v>
      </c>
      <c r="BU145" s="270"/>
      <c r="BV145" s="18" t="e">
        <f t="shared" si="59"/>
        <v>#VALUE!</v>
      </c>
      <c r="BW145" s="18" t="e">
        <f>BV145^3+BT142*BV145+BU142</f>
        <v>#VALUE!</v>
      </c>
      <c r="BX145" s="18" t="e">
        <f>3*BV145^2+BT142</f>
        <v>#VALUE!</v>
      </c>
      <c r="BY145" s="18" t="e">
        <f t="shared" si="54"/>
        <v>#VALUE!</v>
      </c>
      <c r="BZ145" s="18" t="e">
        <f>BZ142^3+BT142*BZ142+BU142</f>
        <v>#VALUE!</v>
      </c>
      <c r="CA145" s="19" t="e">
        <f>CA142^3+BT142*CA142+BU142</f>
        <v>#VALUE!</v>
      </c>
    </row>
    <row r="146" spans="36:79" ht="13.5" customHeight="1" x14ac:dyDescent="0.15">
      <c r="AJ146" s="267"/>
      <c r="AK146" s="268"/>
      <c r="AL146" s="18">
        <f t="shared" si="55"/>
        <v>2.1781055972809913</v>
      </c>
      <c r="AM146" s="18">
        <f>AL146^3+AJ142*AL146+AK142</f>
        <v>10.149942970229972</v>
      </c>
      <c r="AN146" s="18">
        <f>3*AL146^2+AJ142</f>
        <v>14.197688268240061</v>
      </c>
      <c r="AO146" s="18">
        <f t="shared" si="50"/>
        <v>1.4632044965901705</v>
      </c>
      <c r="AP146" s="31"/>
      <c r="AQ146" s="32"/>
      <c r="AS146" s="267"/>
      <c r="AT146" s="268"/>
      <c r="AU146" s="18">
        <f t="shared" si="56"/>
        <v>4.7934719183661265</v>
      </c>
      <c r="AV146" s="18">
        <f>AU146^3+AS142*AU146+AT142</f>
        <v>109.94511783253729</v>
      </c>
      <c r="AW146" s="18">
        <f>3*AU146^2+AS142</f>
        <v>68.915518416130269</v>
      </c>
      <c r="AX146" s="18">
        <f t="shared" si="51"/>
        <v>3.1981111003764919</v>
      </c>
      <c r="AY146" s="31"/>
      <c r="AZ146" s="32"/>
      <c r="BB146" s="267"/>
      <c r="BC146" s="268"/>
      <c r="BD146" s="18" t="e">
        <f t="shared" si="57"/>
        <v>#VALUE!</v>
      </c>
      <c r="BE146" s="18" t="e">
        <f>BD146^3+BB142*BD146+BC142</f>
        <v>#VALUE!</v>
      </c>
      <c r="BF146" s="18" t="e">
        <f>3*BD146^2+BB142</f>
        <v>#VALUE!</v>
      </c>
      <c r="BG146" s="18" t="e">
        <f t="shared" si="52"/>
        <v>#VALUE!</v>
      </c>
      <c r="BH146" s="31"/>
      <c r="BI146" s="32"/>
      <c r="BK146" s="267"/>
      <c r="BL146" s="268"/>
      <c r="BM146" s="18" t="e">
        <f t="shared" si="58"/>
        <v>#VALUE!</v>
      </c>
      <c r="BN146" s="18" t="e">
        <f>BM146^3+BK142*BM146+BL142</f>
        <v>#VALUE!</v>
      </c>
      <c r="BO146" s="18" t="e">
        <f>3*BM146^2+BK142</f>
        <v>#VALUE!</v>
      </c>
      <c r="BP146" s="18" t="e">
        <f t="shared" si="53"/>
        <v>#VALUE!</v>
      </c>
      <c r="BQ146" s="31"/>
      <c r="BR146" s="32"/>
      <c r="BT146" s="267"/>
      <c r="BU146" s="268"/>
      <c r="BV146" s="18" t="e">
        <f t="shared" si="59"/>
        <v>#VALUE!</v>
      </c>
      <c r="BW146" s="18" t="e">
        <f>BV146^3+BT142*BV146+BU142</f>
        <v>#VALUE!</v>
      </c>
      <c r="BX146" s="18" t="e">
        <f>3*BV146^2+BT142</f>
        <v>#VALUE!</v>
      </c>
      <c r="BY146" s="18" t="e">
        <f t="shared" si="54"/>
        <v>#VALUE!</v>
      </c>
      <c r="BZ146" s="31"/>
      <c r="CA146" s="32"/>
    </row>
    <row r="147" spans="36:79" ht="13.5" customHeight="1" x14ac:dyDescent="0.15">
      <c r="AJ147" s="269" t="s">
        <v>9</v>
      </c>
      <c r="AK147" s="270"/>
      <c r="AL147" s="18">
        <f t="shared" si="55"/>
        <v>1.4632044965901705</v>
      </c>
      <c r="AM147" s="18">
        <f>AL147^3+AJ142*AL147+AK142</f>
        <v>2.974207826875285</v>
      </c>
      <c r="AN147" s="18">
        <f>3*AL147^2+AJ142</f>
        <v>6.3881584860447926</v>
      </c>
      <c r="AO147" s="18">
        <f t="shared" si="50"/>
        <v>0.99762308789898513</v>
      </c>
      <c r="AP147" s="31"/>
      <c r="AQ147" s="32"/>
      <c r="AS147" s="269" t="s">
        <v>9</v>
      </c>
      <c r="AT147" s="270"/>
      <c r="AU147" s="18">
        <f t="shared" si="56"/>
        <v>3.1981111003764919</v>
      </c>
      <c r="AV147" s="18">
        <f>AU147^3+AS142*AU147+AT142</f>
        <v>32.540216769104596</v>
      </c>
      <c r="AW147" s="18">
        <f>3*AU147^2+AS142</f>
        <v>30.667143150690379</v>
      </c>
      <c r="AX147" s="18">
        <f t="shared" si="51"/>
        <v>2.1370335618131371</v>
      </c>
      <c r="AY147" s="31"/>
      <c r="AZ147" s="32"/>
      <c r="BB147" s="269" t="s">
        <v>9</v>
      </c>
      <c r="BC147" s="270"/>
      <c r="BD147" s="18" t="e">
        <f t="shared" si="57"/>
        <v>#VALUE!</v>
      </c>
      <c r="BE147" s="18" t="e">
        <f>BD147^3+BB142*BD147+BC142</f>
        <v>#VALUE!</v>
      </c>
      <c r="BF147" s="18" t="e">
        <f>3*BD147^2+BB142</f>
        <v>#VALUE!</v>
      </c>
      <c r="BG147" s="18" t="e">
        <f t="shared" si="52"/>
        <v>#VALUE!</v>
      </c>
      <c r="BH147" s="31"/>
      <c r="BI147" s="32"/>
      <c r="BK147" s="269" t="s">
        <v>9</v>
      </c>
      <c r="BL147" s="270"/>
      <c r="BM147" s="18" t="e">
        <f t="shared" si="58"/>
        <v>#VALUE!</v>
      </c>
      <c r="BN147" s="18" t="e">
        <f>BM147^3+BK142*BM147+BL142</f>
        <v>#VALUE!</v>
      </c>
      <c r="BO147" s="18" t="e">
        <f>3*BM147^2+BK142</f>
        <v>#VALUE!</v>
      </c>
      <c r="BP147" s="18" t="e">
        <f t="shared" si="53"/>
        <v>#VALUE!</v>
      </c>
      <c r="BQ147" s="31"/>
      <c r="BR147" s="32"/>
      <c r="BT147" s="269" t="s">
        <v>9</v>
      </c>
      <c r="BU147" s="270"/>
      <c r="BV147" s="18" t="e">
        <f t="shared" si="59"/>
        <v>#VALUE!</v>
      </c>
      <c r="BW147" s="18" t="e">
        <f>BV147^3+BT142*BV147+BU142</f>
        <v>#VALUE!</v>
      </c>
      <c r="BX147" s="18" t="e">
        <f>3*BV147^2+BT142</f>
        <v>#VALUE!</v>
      </c>
      <c r="BY147" s="18" t="e">
        <f t="shared" si="54"/>
        <v>#VALUE!</v>
      </c>
      <c r="BZ147" s="31"/>
      <c r="CA147" s="32"/>
    </row>
    <row r="148" spans="36:79" ht="13.5" customHeight="1" x14ac:dyDescent="0.15">
      <c r="AJ148" s="277">
        <f>3*(AM158^2)*AN158/(8*AO158*AP158)</f>
        <v>0.2152562895197094</v>
      </c>
      <c r="AK148" s="278"/>
      <c r="AL148" s="118">
        <f t="shared" si="55"/>
        <v>0.99762308789898513</v>
      </c>
      <c r="AM148" s="118">
        <f>AL148^3+AJ142*AL148+AK142</f>
        <v>0.85059692690722588</v>
      </c>
      <c r="AN148" s="118">
        <f>3*AL148^2+AJ142</f>
        <v>2.9510117660470279</v>
      </c>
      <c r="AO148" s="118">
        <f t="shared" si="50"/>
        <v>0.70938400437725901</v>
      </c>
      <c r="AP148" s="116"/>
      <c r="AQ148" s="117"/>
      <c r="AS148" s="277">
        <f>3*(AV158^2)*AW158/(8*AX158*AY158)</f>
        <v>0.23339931963637062</v>
      </c>
      <c r="AT148" s="278"/>
      <c r="AU148" s="118">
        <f t="shared" si="56"/>
        <v>2.1370335618131371</v>
      </c>
      <c r="AV148" s="118">
        <f>AU148^3+AS142*AU148+AT142</f>
        <v>9.6074692964606214</v>
      </c>
      <c r="AW148" s="118">
        <f>3*AU148^2+AS142</f>
        <v>13.684136652583602</v>
      </c>
      <c r="AX148" s="118">
        <f t="shared" si="51"/>
        <v>1.4349454768737993</v>
      </c>
      <c r="AY148" s="116"/>
      <c r="AZ148" s="117"/>
      <c r="BB148" s="277" t="e">
        <f>3*(BE158^2)*BF158/(8*BG158*BH158)</f>
        <v>#VALUE!</v>
      </c>
      <c r="BC148" s="278"/>
      <c r="BD148" s="118" t="e">
        <f t="shared" si="57"/>
        <v>#VALUE!</v>
      </c>
      <c r="BE148" s="118" t="e">
        <f>BD148^3+BB142*BD148+BC142</f>
        <v>#VALUE!</v>
      </c>
      <c r="BF148" s="118" t="e">
        <f>3*BD148^2+BB142</f>
        <v>#VALUE!</v>
      </c>
      <c r="BG148" s="118" t="e">
        <f t="shared" si="52"/>
        <v>#VALUE!</v>
      </c>
      <c r="BH148" s="116"/>
      <c r="BI148" s="117"/>
      <c r="BK148" s="277" t="e">
        <f>3*(BN158^2)*BO158/(8*BP158*BQ158)</f>
        <v>#VALUE!</v>
      </c>
      <c r="BL148" s="278"/>
      <c r="BM148" s="118" t="e">
        <f t="shared" si="58"/>
        <v>#VALUE!</v>
      </c>
      <c r="BN148" s="118" t="e">
        <f>BM148^3+BK142*BM148+BL142</f>
        <v>#VALUE!</v>
      </c>
      <c r="BO148" s="118" t="e">
        <f>3*BM148^2+BK142</f>
        <v>#VALUE!</v>
      </c>
      <c r="BP148" s="118" t="e">
        <f t="shared" si="53"/>
        <v>#VALUE!</v>
      </c>
      <c r="BQ148" s="116"/>
      <c r="BR148" s="117"/>
      <c r="BT148" s="277" t="e">
        <f>3*(BW158^2)*BX158/(8*BY158*BZ158)</f>
        <v>#VALUE!</v>
      </c>
      <c r="BU148" s="278"/>
      <c r="BV148" s="118" t="e">
        <f t="shared" si="59"/>
        <v>#VALUE!</v>
      </c>
      <c r="BW148" s="118" t="e">
        <f>BV148^3+BT142*BV148+BU142</f>
        <v>#VALUE!</v>
      </c>
      <c r="BX148" s="118" t="e">
        <f>3*BV148^2+BT142</f>
        <v>#VALUE!</v>
      </c>
      <c r="BY148" s="118" t="e">
        <f t="shared" si="54"/>
        <v>#VALUE!</v>
      </c>
      <c r="BZ148" s="116"/>
      <c r="CA148" s="117"/>
    </row>
    <row r="149" spans="36:79" ht="13.5" customHeight="1" x14ac:dyDescent="0.15">
      <c r="AJ149" s="121"/>
      <c r="AK149" s="122"/>
      <c r="AL149" s="118">
        <f t="shared" si="55"/>
        <v>0.70938400437725901</v>
      </c>
      <c r="AM149" s="118">
        <f>AL149^3+AJ142*AL149+AK142</f>
        <v>0.22470546058849483</v>
      </c>
      <c r="AN149" s="118">
        <f>3*AL149^2+AJ142</f>
        <v>1.4749332865186544</v>
      </c>
      <c r="AO149" s="118">
        <f t="shared" si="50"/>
        <v>0.55703442854059437</v>
      </c>
      <c r="AP149" s="119"/>
      <c r="AQ149" s="120"/>
      <c r="AS149" s="121"/>
      <c r="AT149" s="122"/>
      <c r="AU149" s="118">
        <f t="shared" si="56"/>
        <v>1.4349454768737993</v>
      </c>
      <c r="AV149" s="118">
        <f>AU149^3+AS142*AU149+AT142</f>
        <v>2.8141303306249634</v>
      </c>
      <c r="AW149" s="118">
        <f>3*AU149^2+AS142</f>
        <v>6.1606048844380954</v>
      </c>
      <c r="AX149" s="118">
        <f t="shared" si="51"/>
        <v>0.97815099266112793</v>
      </c>
      <c r="AY149" s="119"/>
      <c r="AZ149" s="120"/>
      <c r="BB149" s="121"/>
      <c r="BC149" s="122"/>
      <c r="BD149" s="118" t="e">
        <f t="shared" si="57"/>
        <v>#VALUE!</v>
      </c>
      <c r="BE149" s="118" t="e">
        <f>BD149^3+BB142*BD149+BC142</f>
        <v>#VALUE!</v>
      </c>
      <c r="BF149" s="118" t="e">
        <f>3*BD149^2+BB142</f>
        <v>#VALUE!</v>
      </c>
      <c r="BG149" s="118" t="e">
        <f t="shared" si="52"/>
        <v>#VALUE!</v>
      </c>
      <c r="BH149" s="119"/>
      <c r="BI149" s="120"/>
      <c r="BK149" s="121"/>
      <c r="BL149" s="122"/>
      <c r="BM149" s="118" t="e">
        <f t="shared" si="58"/>
        <v>#VALUE!</v>
      </c>
      <c r="BN149" s="118" t="e">
        <f>BM149^3+BK142*BM149+BL142</f>
        <v>#VALUE!</v>
      </c>
      <c r="BO149" s="118" t="e">
        <f>3*BM149^2+BK142</f>
        <v>#VALUE!</v>
      </c>
      <c r="BP149" s="118" t="e">
        <f t="shared" si="53"/>
        <v>#VALUE!</v>
      </c>
      <c r="BQ149" s="119"/>
      <c r="BR149" s="120"/>
      <c r="BT149" s="121"/>
      <c r="BU149" s="122"/>
      <c r="BV149" s="118" t="e">
        <f t="shared" si="59"/>
        <v>#VALUE!</v>
      </c>
      <c r="BW149" s="118" t="e">
        <f>BV149^3+BT142*BV149+BU142</f>
        <v>#VALUE!</v>
      </c>
      <c r="BX149" s="118" t="e">
        <f>3*BV149^2+BT142</f>
        <v>#VALUE!</v>
      </c>
      <c r="BY149" s="118" t="e">
        <f t="shared" si="54"/>
        <v>#VALUE!</v>
      </c>
      <c r="BZ149" s="119"/>
      <c r="CA149" s="120"/>
    </row>
    <row r="150" spans="36:79" ht="13.5" customHeight="1" x14ac:dyDescent="0.15">
      <c r="AJ150" s="269" t="s">
        <v>10</v>
      </c>
      <c r="AK150" s="270"/>
      <c r="AL150" s="118">
        <f t="shared" si="55"/>
        <v>0.55703442854059437</v>
      </c>
      <c r="AM150" s="118">
        <f>AL150^3+AJ142*AL150+AK142</f>
        <v>4.5859151568967263E-2</v>
      </c>
      <c r="AN150" s="118">
        <f>3*AL150^2+AJ142</f>
        <v>0.89611835325834899</v>
      </c>
      <c r="AO150" s="118">
        <f t="shared" si="50"/>
        <v>0.50585909952047092</v>
      </c>
      <c r="AP150" s="14" t="s">
        <v>148</v>
      </c>
      <c r="AQ150" s="123">
        <f>AO156</f>
        <v>0.5</v>
      </c>
      <c r="AS150" s="269" t="s">
        <v>10</v>
      </c>
      <c r="AT150" s="270"/>
      <c r="AU150" s="118">
        <f t="shared" si="56"/>
        <v>0.97815099266112793</v>
      </c>
      <c r="AV150" s="118">
        <f>AU150^3+AS142*AU150+AT142</f>
        <v>0.80293705329381326</v>
      </c>
      <c r="AW150" s="118">
        <f>3*AU150^2+AS142</f>
        <v>2.8537374129682207</v>
      </c>
      <c r="AX150" s="118">
        <f t="shared" si="51"/>
        <v>0.69678766552211657</v>
      </c>
      <c r="AY150" s="14" t="s">
        <v>148</v>
      </c>
      <c r="AZ150" s="123">
        <f>AX156</f>
        <v>0.5</v>
      </c>
      <c r="BB150" s="269" t="s">
        <v>10</v>
      </c>
      <c r="BC150" s="270"/>
      <c r="BD150" s="118" t="e">
        <f t="shared" si="57"/>
        <v>#VALUE!</v>
      </c>
      <c r="BE150" s="118" t="e">
        <f>BD150^3+BB142*BD150+BC142</f>
        <v>#VALUE!</v>
      </c>
      <c r="BF150" s="118" t="e">
        <f>3*BD150^2+BB142</f>
        <v>#VALUE!</v>
      </c>
      <c r="BG150" s="118" t="e">
        <f t="shared" si="52"/>
        <v>#VALUE!</v>
      </c>
      <c r="BH150" s="14" t="s">
        <v>148</v>
      </c>
      <c r="BI150" s="123" t="e">
        <f>BG156</f>
        <v>#VALUE!</v>
      </c>
      <c r="BK150" s="269" t="s">
        <v>10</v>
      </c>
      <c r="BL150" s="270"/>
      <c r="BM150" s="118" t="e">
        <f t="shared" si="58"/>
        <v>#VALUE!</v>
      </c>
      <c r="BN150" s="118" t="e">
        <f>BM150^3+BK142*BM150+BL142</f>
        <v>#VALUE!</v>
      </c>
      <c r="BO150" s="118" t="e">
        <f>3*BM150^2+BK142</f>
        <v>#VALUE!</v>
      </c>
      <c r="BP150" s="118" t="e">
        <f t="shared" si="53"/>
        <v>#VALUE!</v>
      </c>
      <c r="BQ150" s="14" t="s">
        <v>148</v>
      </c>
      <c r="BR150" s="123" t="e">
        <f>BP156</f>
        <v>#VALUE!</v>
      </c>
      <c r="BT150" s="269" t="s">
        <v>10</v>
      </c>
      <c r="BU150" s="270"/>
      <c r="BV150" s="118" t="e">
        <f t="shared" si="59"/>
        <v>#VALUE!</v>
      </c>
      <c r="BW150" s="118" t="e">
        <f>BV150^3+BT142*BV150+BU142</f>
        <v>#VALUE!</v>
      </c>
      <c r="BX150" s="118" t="e">
        <f>3*BV150^2+BT142</f>
        <v>#VALUE!</v>
      </c>
      <c r="BY150" s="118" t="e">
        <f t="shared" si="54"/>
        <v>#VALUE!</v>
      </c>
      <c r="BZ150" s="14" t="s">
        <v>148</v>
      </c>
      <c r="CA150" s="123" t="e">
        <f>BY156</f>
        <v>#VALUE!</v>
      </c>
    </row>
    <row r="151" spans="36:79" ht="13.5" customHeight="1" x14ac:dyDescent="0.15">
      <c r="AJ151" s="271">
        <f>AJ148*AL158*AK158/AK158</f>
        <v>0.1076281447598547</v>
      </c>
      <c r="AK151" s="272"/>
      <c r="AL151" s="118">
        <f t="shared" si="55"/>
        <v>0.50585909952047092</v>
      </c>
      <c r="AM151" s="118">
        <f>AL151^3+AJ142*AL151+AK142</f>
        <v>4.242452491028878E-3</v>
      </c>
      <c r="AN151" s="118">
        <f>3*AL151^2+AJ142</f>
        <v>0.73293657522269462</v>
      </c>
      <c r="AO151" s="118">
        <f t="shared" si="50"/>
        <v>0.50007080536999837</v>
      </c>
      <c r="AP151" s="14" t="s">
        <v>149</v>
      </c>
      <c r="AQ151" s="124">
        <f>AK158*AM158^2/(8*AO156)</f>
        <v>160</v>
      </c>
      <c r="AS151" s="271">
        <f>AS148*AU158*AT158/AT158</f>
        <v>0.11669965981818531</v>
      </c>
      <c r="AT151" s="272"/>
      <c r="AU151" s="118">
        <f t="shared" si="56"/>
        <v>0.69678766552211657</v>
      </c>
      <c r="AV151" s="118">
        <f>AU151^3+AS142*AU151+AT142</f>
        <v>0.21003269612917169</v>
      </c>
      <c r="AW151" s="118">
        <f>3*AU151^2+AS142</f>
        <v>1.4399384721076536</v>
      </c>
      <c r="AX151" s="118">
        <f t="shared" si="51"/>
        <v>0.55092539418371378</v>
      </c>
      <c r="AY151" s="14" t="s">
        <v>149</v>
      </c>
      <c r="AZ151" s="124">
        <f>AT158*AV158^2/(8*AX156)</f>
        <v>303.60000000000002</v>
      </c>
      <c r="BB151" s="271" t="e">
        <f>BB148*BD158*BC158/BC158</f>
        <v>#VALUE!</v>
      </c>
      <c r="BC151" s="272"/>
      <c r="BD151" s="118" t="e">
        <f t="shared" si="57"/>
        <v>#VALUE!</v>
      </c>
      <c r="BE151" s="118" t="e">
        <f>BD151^3+BB142*BD151+BC142</f>
        <v>#VALUE!</v>
      </c>
      <c r="BF151" s="118" t="e">
        <f>3*BD151^2+BB142</f>
        <v>#VALUE!</v>
      </c>
      <c r="BG151" s="118" t="e">
        <f t="shared" si="52"/>
        <v>#VALUE!</v>
      </c>
      <c r="BH151" s="14" t="s">
        <v>149</v>
      </c>
      <c r="BI151" s="124" t="e">
        <f>BC158*BE158^2/(8*BG156)</f>
        <v>#VALUE!</v>
      </c>
      <c r="BK151" s="271" t="e">
        <f>BK148*BM158*BL158/BL158</f>
        <v>#VALUE!</v>
      </c>
      <c r="BL151" s="272"/>
      <c r="BM151" s="118" t="e">
        <f t="shared" si="58"/>
        <v>#VALUE!</v>
      </c>
      <c r="BN151" s="118" t="e">
        <f>BM151^3+BK142*BM151+BL142</f>
        <v>#VALUE!</v>
      </c>
      <c r="BO151" s="118" t="e">
        <f>3*BM151^2+BK142</f>
        <v>#VALUE!</v>
      </c>
      <c r="BP151" s="118" t="e">
        <f t="shared" si="53"/>
        <v>#VALUE!</v>
      </c>
      <c r="BQ151" s="14" t="s">
        <v>149</v>
      </c>
      <c r="BR151" s="124" t="e">
        <f>BL158*BN158^2/(8*BP156)</f>
        <v>#VALUE!</v>
      </c>
      <c r="BT151" s="271" t="e">
        <f>BT148*BV158*BU158/BU158</f>
        <v>#VALUE!</v>
      </c>
      <c r="BU151" s="272"/>
      <c r="BV151" s="118" t="e">
        <f t="shared" si="59"/>
        <v>#VALUE!</v>
      </c>
      <c r="BW151" s="118" t="e">
        <f>BV151^3+BT142*BV151+BU142</f>
        <v>#VALUE!</v>
      </c>
      <c r="BX151" s="118" t="e">
        <f>3*BV151^2+BT142</f>
        <v>#VALUE!</v>
      </c>
      <c r="BY151" s="118" t="e">
        <f t="shared" si="54"/>
        <v>#VALUE!</v>
      </c>
      <c r="BZ151" s="14" t="s">
        <v>149</v>
      </c>
      <c r="CA151" s="124" t="e">
        <f>BU158*BW158^2/(8*BY156)</f>
        <v>#VALUE!</v>
      </c>
    </row>
    <row r="152" spans="36:79" ht="13.5" customHeight="1" x14ac:dyDescent="0.15">
      <c r="AJ152" s="125"/>
      <c r="AK152" s="126"/>
      <c r="AL152" s="118">
        <f t="shared" si="55"/>
        <v>0.50007080536999837</v>
      </c>
      <c r="AM152" s="118">
        <f>AL152^3+AJ142*AL152+AK142</f>
        <v>5.0651506678697777E-5</v>
      </c>
      <c r="AN152" s="118">
        <f>3*AL152^2+AJ142</f>
        <v>0.71546872066990574</v>
      </c>
      <c r="AO152" s="118">
        <f t="shared" si="50"/>
        <v>0.50000001051172527</v>
      </c>
      <c r="AP152" s="116"/>
      <c r="AQ152" s="117"/>
      <c r="AS152" s="125"/>
      <c r="AT152" s="126"/>
      <c r="AU152" s="118">
        <f t="shared" si="56"/>
        <v>0.55092539418371378</v>
      </c>
      <c r="AV152" s="118">
        <f>AU152^3+AS142*AU152+AT142</f>
        <v>4.1370812807702134E-2</v>
      </c>
      <c r="AW152" s="118">
        <f>3*AU152^2+AS142</f>
        <v>0.89395568950581183</v>
      </c>
      <c r="AX152" s="118">
        <f t="shared" si="51"/>
        <v>0.50464702346203705</v>
      </c>
      <c r="AY152" s="116"/>
      <c r="AZ152" s="117"/>
      <c r="BB152" s="125"/>
      <c r="BC152" s="126"/>
      <c r="BD152" s="118" t="e">
        <f t="shared" si="57"/>
        <v>#VALUE!</v>
      </c>
      <c r="BE152" s="118" t="e">
        <f>BD152^3+BB142*BD152+BC142</f>
        <v>#VALUE!</v>
      </c>
      <c r="BF152" s="118" t="e">
        <f>3*BD152^2+BB142</f>
        <v>#VALUE!</v>
      </c>
      <c r="BG152" s="118" t="e">
        <f t="shared" si="52"/>
        <v>#VALUE!</v>
      </c>
      <c r="BH152" s="116"/>
      <c r="BI152" s="117"/>
      <c r="BK152" s="125"/>
      <c r="BL152" s="126"/>
      <c r="BM152" s="118" t="e">
        <f t="shared" si="58"/>
        <v>#VALUE!</v>
      </c>
      <c r="BN152" s="118" t="e">
        <f>BM152^3+BK142*BM152+BL142</f>
        <v>#VALUE!</v>
      </c>
      <c r="BO152" s="118" t="e">
        <f>3*BM152^2+BK142</f>
        <v>#VALUE!</v>
      </c>
      <c r="BP152" s="118" t="e">
        <f t="shared" si="53"/>
        <v>#VALUE!</v>
      </c>
      <c r="BQ152" s="116"/>
      <c r="BR152" s="117"/>
      <c r="BT152" s="125"/>
      <c r="BU152" s="126"/>
      <c r="BV152" s="118" t="e">
        <f t="shared" si="59"/>
        <v>#VALUE!</v>
      </c>
      <c r="BW152" s="118" t="e">
        <f>BV152^3+BT142*BV152+BU142</f>
        <v>#VALUE!</v>
      </c>
      <c r="BX152" s="118" t="e">
        <f>3*BV152^2+BT142</f>
        <v>#VALUE!</v>
      </c>
      <c r="BY152" s="118" t="e">
        <f t="shared" si="54"/>
        <v>#VALUE!</v>
      </c>
      <c r="BZ152" s="116"/>
      <c r="CA152" s="117"/>
    </row>
    <row r="153" spans="36:79" ht="13.5" customHeight="1" x14ac:dyDescent="0.15">
      <c r="AJ153" s="125"/>
      <c r="AK153" s="126"/>
      <c r="AL153" s="118">
        <f t="shared" si="55"/>
        <v>0.50000001051172527</v>
      </c>
      <c r="AM153" s="118">
        <f>AL153^3+AJ142*AL153+AK142</f>
        <v>7.5185777742570181E-9</v>
      </c>
      <c r="AN153" s="118">
        <f>3*AL153^2+AJ142</f>
        <v>0.71525632105488557</v>
      </c>
      <c r="AO153" s="118">
        <f t="shared" si="50"/>
        <v>0.50000000000000022</v>
      </c>
      <c r="AP153" s="112" t="s">
        <v>147</v>
      </c>
      <c r="AQ153" s="113">
        <v>15</v>
      </c>
      <c r="AS153" s="125"/>
      <c r="AT153" s="126"/>
      <c r="AU153" s="118">
        <f t="shared" si="56"/>
        <v>0.50464702346203705</v>
      </c>
      <c r="AV153" s="118">
        <f>AU153^3+AS142*AU153+AT142</f>
        <v>3.4406164376453025E-3</v>
      </c>
      <c r="AW153" s="118">
        <f>3*AU153^2+AS142</f>
        <v>0.74740517450365185</v>
      </c>
      <c r="AX153" s="118">
        <f t="shared" si="51"/>
        <v>0.50004360813255366</v>
      </c>
      <c r="AY153" s="112" t="s">
        <v>147</v>
      </c>
      <c r="AZ153" s="113">
        <v>15</v>
      </c>
      <c r="BB153" s="125"/>
      <c r="BC153" s="126"/>
      <c r="BD153" s="118" t="e">
        <f t="shared" si="57"/>
        <v>#VALUE!</v>
      </c>
      <c r="BE153" s="118" t="e">
        <f>BD153^3+BB142*BD153+BC142</f>
        <v>#VALUE!</v>
      </c>
      <c r="BF153" s="118" t="e">
        <f>3*BD153^2+BB142</f>
        <v>#VALUE!</v>
      </c>
      <c r="BG153" s="118" t="e">
        <f t="shared" si="52"/>
        <v>#VALUE!</v>
      </c>
      <c r="BH153" s="112" t="s">
        <v>147</v>
      </c>
      <c r="BI153" s="113">
        <v>15</v>
      </c>
      <c r="BK153" s="125"/>
      <c r="BL153" s="126"/>
      <c r="BM153" s="118" t="e">
        <f t="shared" si="58"/>
        <v>#VALUE!</v>
      </c>
      <c r="BN153" s="118" t="e">
        <f>BM153^3+BK142*BM153+BL142</f>
        <v>#VALUE!</v>
      </c>
      <c r="BO153" s="118" t="e">
        <f>3*BM153^2+BK142</f>
        <v>#VALUE!</v>
      </c>
      <c r="BP153" s="118" t="e">
        <f t="shared" si="53"/>
        <v>#VALUE!</v>
      </c>
      <c r="BQ153" s="112" t="s">
        <v>147</v>
      </c>
      <c r="BR153" s="113">
        <v>15</v>
      </c>
      <c r="BT153" s="125"/>
      <c r="BU153" s="126"/>
      <c r="BV153" s="118" t="e">
        <f t="shared" si="59"/>
        <v>#VALUE!</v>
      </c>
      <c r="BW153" s="118" t="e">
        <f>BV153^3+BT142*BV153+BU142</f>
        <v>#VALUE!</v>
      </c>
      <c r="BX153" s="118" t="e">
        <f>3*BV153^2+BT142</f>
        <v>#VALUE!</v>
      </c>
      <c r="BY153" s="118" t="e">
        <f t="shared" si="54"/>
        <v>#VALUE!</v>
      </c>
      <c r="BZ153" s="112" t="s">
        <v>147</v>
      </c>
      <c r="CA153" s="113">
        <v>15</v>
      </c>
    </row>
    <row r="154" spans="36:79" ht="13.5" customHeight="1" x14ac:dyDescent="0.15">
      <c r="AJ154" s="125"/>
      <c r="AK154" s="126"/>
      <c r="AL154" s="118">
        <f t="shared" si="55"/>
        <v>0.50000000000000022</v>
      </c>
      <c r="AM154" s="118">
        <f>AL154^3+AJ142*AL154+AK142</f>
        <v>1.5265566588595902E-16</v>
      </c>
      <c r="AN154" s="118">
        <f>3*AL154^2+AJ142</f>
        <v>0.7152562895197101</v>
      </c>
      <c r="AO154" s="118">
        <f t="shared" si="50"/>
        <v>0.5</v>
      </c>
      <c r="AP154" s="128" t="s">
        <v>155</v>
      </c>
      <c r="AQ154" s="32"/>
      <c r="AS154" s="125"/>
      <c r="AT154" s="126"/>
      <c r="AU154" s="118">
        <f t="shared" si="56"/>
        <v>0.50004360813255366</v>
      </c>
      <c r="AV154" s="118">
        <f>AU154^3+AS142*AU154+AT142</f>
        <v>3.1985027332218086E-5</v>
      </c>
      <c r="AW154" s="118">
        <f>3*AU154^2+AS142</f>
        <v>0.73353014973903918</v>
      </c>
      <c r="AX154" s="118">
        <f t="shared" si="51"/>
        <v>0.50000000388896038</v>
      </c>
      <c r="AY154" s="128" t="s">
        <v>154</v>
      </c>
      <c r="AZ154" s="32"/>
      <c r="BB154" s="125"/>
      <c r="BC154" s="126"/>
      <c r="BD154" s="118" t="e">
        <f t="shared" si="57"/>
        <v>#VALUE!</v>
      </c>
      <c r="BE154" s="118" t="e">
        <f>BD154^3+BB142*BD154+BC142</f>
        <v>#VALUE!</v>
      </c>
      <c r="BF154" s="118" t="e">
        <f>3*BD154^2+BB142</f>
        <v>#VALUE!</v>
      </c>
      <c r="BG154" s="118" t="e">
        <f t="shared" si="52"/>
        <v>#VALUE!</v>
      </c>
      <c r="BH154" s="128" t="s">
        <v>153</v>
      </c>
      <c r="BI154" s="32"/>
      <c r="BK154" s="125"/>
      <c r="BL154" s="126"/>
      <c r="BM154" s="118" t="e">
        <f t="shared" si="58"/>
        <v>#VALUE!</v>
      </c>
      <c r="BN154" s="118" t="e">
        <f>BM154^3+BK142*BM154+BL142</f>
        <v>#VALUE!</v>
      </c>
      <c r="BO154" s="118" t="e">
        <f>3*BM154^2+BK142</f>
        <v>#VALUE!</v>
      </c>
      <c r="BP154" s="118" t="e">
        <f t="shared" si="53"/>
        <v>#VALUE!</v>
      </c>
      <c r="BQ154" s="128" t="s">
        <v>152</v>
      </c>
      <c r="BR154" s="32"/>
      <c r="BT154" s="125"/>
      <c r="BU154" s="126"/>
      <c r="BV154" s="118" t="e">
        <f t="shared" si="59"/>
        <v>#VALUE!</v>
      </c>
      <c r="BW154" s="118" t="e">
        <f>BV154^3+BT142*BV154+BU142</f>
        <v>#VALUE!</v>
      </c>
      <c r="BX154" s="118" t="e">
        <f>3*BV154^2+BT142</f>
        <v>#VALUE!</v>
      </c>
      <c r="BY154" s="118" t="e">
        <f t="shared" si="54"/>
        <v>#VALUE!</v>
      </c>
      <c r="BZ154" s="128" t="s">
        <v>151</v>
      </c>
      <c r="CA154" s="32"/>
    </row>
    <row r="155" spans="36:79" ht="13.5" customHeight="1" x14ac:dyDescent="0.15">
      <c r="AJ155" s="125"/>
      <c r="AK155" s="126"/>
      <c r="AL155" s="18">
        <f t="shared" si="55"/>
        <v>0.5</v>
      </c>
      <c r="AM155" s="18">
        <f>AL155^3+AJ142*AL155+AK142</f>
        <v>0</v>
      </c>
      <c r="AN155" s="18">
        <f>3*AL155^2+AJ142</f>
        <v>0.71525628951970943</v>
      </c>
      <c r="AO155" s="18">
        <f t="shared" si="50"/>
        <v>0.5</v>
      </c>
      <c r="AP155" s="273" t="str">
        <f>M55</f>
        <v>無 風 時　15[℃]</v>
      </c>
      <c r="AQ155" s="274"/>
      <c r="AS155" s="125"/>
      <c r="AT155" s="126"/>
      <c r="AU155" s="18">
        <f t="shared" si="56"/>
        <v>0.50000000388896038</v>
      </c>
      <c r="AV155" s="18">
        <f>AU155^3+AS142*AU155+AT142</f>
        <v>2.8521609241050072E-9</v>
      </c>
      <c r="AW155" s="18">
        <f>3*AU155^2+AS142</f>
        <v>0.73339933130325174</v>
      </c>
      <c r="AX155" s="18">
        <f t="shared" si="51"/>
        <v>0.5</v>
      </c>
      <c r="AY155" s="273" t="str">
        <f>M55</f>
        <v>無 風 時　15[℃]</v>
      </c>
      <c r="AZ155" s="274"/>
      <c r="BB155" s="125"/>
      <c r="BC155" s="126"/>
      <c r="BD155" s="18" t="e">
        <f t="shared" si="57"/>
        <v>#VALUE!</v>
      </c>
      <c r="BE155" s="18" t="e">
        <f>BD155^3+BB142*BD155+BC142</f>
        <v>#VALUE!</v>
      </c>
      <c r="BF155" s="18" t="e">
        <f>3*BD155^2+BB142</f>
        <v>#VALUE!</v>
      </c>
      <c r="BG155" s="18" t="e">
        <f t="shared" si="52"/>
        <v>#VALUE!</v>
      </c>
      <c r="BH155" s="273" t="str">
        <f>M55</f>
        <v>無 風 時　15[℃]</v>
      </c>
      <c r="BI155" s="274"/>
      <c r="BK155" s="125"/>
      <c r="BL155" s="126"/>
      <c r="BM155" s="18" t="e">
        <f t="shared" si="58"/>
        <v>#VALUE!</v>
      </c>
      <c r="BN155" s="18" t="e">
        <f>BM155^3+BK142*BM155+BL142</f>
        <v>#VALUE!</v>
      </c>
      <c r="BO155" s="18" t="e">
        <f>3*BM155^2+BK142</f>
        <v>#VALUE!</v>
      </c>
      <c r="BP155" s="18" t="e">
        <f t="shared" si="53"/>
        <v>#VALUE!</v>
      </c>
      <c r="BQ155" s="273" t="str">
        <f>M55</f>
        <v>無 風 時　15[℃]</v>
      </c>
      <c r="BR155" s="274"/>
      <c r="BT155" s="125"/>
      <c r="BU155" s="126"/>
      <c r="BV155" s="18" t="e">
        <f t="shared" si="59"/>
        <v>#VALUE!</v>
      </c>
      <c r="BW155" s="18" t="e">
        <f>BV155^3+BT142*BV155+BU142</f>
        <v>#VALUE!</v>
      </c>
      <c r="BX155" s="18" t="e">
        <f>3*BV155^2+BT142</f>
        <v>#VALUE!</v>
      </c>
      <c r="BY155" s="18" t="e">
        <f t="shared" si="54"/>
        <v>#VALUE!</v>
      </c>
      <c r="BZ155" s="273" t="str">
        <f>M55</f>
        <v>無 風 時　15[℃]</v>
      </c>
      <c r="CA155" s="274"/>
    </row>
    <row r="156" spans="36:79" ht="13.5" customHeight="1" thickBot="1" x14ac:dyDescent="0.2">
      <c r="AJ156" s="125"/>
      <c r="AK156" s="126"/>
      <c r="AL156" s="114">
        <f>AO155</f>
        <v>0.5</v>
      </c>
      <c r="AM156" s="115">
        <f>AL156^3+AJ142*AL156+AK142</f>
        <v>0</v>
      </c>
      <c r="AN156" s="115">
        <f>3*AL156^2+AJ142</f>
        <v>0.71525628951970943</v>
      </c>
      <c r="AO156" s="115">
        <f t="shared" si="50"/>
        <v>0.5</v>
      </c>
      <c r="AP156" s="275"/>
      <c r="AQ156" s="276"/>
      <c r="AS156" s="125"/>
      <c r="AT156" s="126"/>
      <c r="AU156" s="114">
        <f>AX155</f>
        <v>0.5</v>
      </c>
      <c r="AV156" s="115">
        <f>AU156^3+AS142*AU156+AT142</f>
        <v>0</v>
      </c>
      <c r="AW156" s="115">
        <f>3*AU156^2+AS142</f>
        <v>0.73339931963637062</v>
      </c>
      <c r="AX156" s="115">
        <f t="shared" si="51"/>
        <v>0.5</v>
      </c>
      <c r="AY156" s="275"/>
      <c r="AZ156" s="276"/>
      <c r="BB156" s="125"/>
      <c r="BC156" s="126"/>
      <c r="BD156" s="114" t="e">
        <f>BG155</f>
        <v>#VALUE!</v>
      </c>
      <c r="BE156" s="115" t="e">
        <f>BD156^3+BB142*BD156+BC142</f>
        <v>#VALUE!</v>
      </c>
      <c r="BF156" s="115" t="e">
        <f>3*BD156^2+BB142</f>
        <v>#VALUE!</v>
      </c>
      <c r="BG156" s="115" t="e">
        <f t="shared" si="52"/>
        <v>#VALUE!</v>
      </c>
      <c r="BH156" s="275"/>
      <c r="BI156" s="276"/>
      <c r="BK156" s="125"/>
      <c r="BL156" s="126"/>
      <c r="BM156" s="114" t="e">
        <f>BP155</f>
        <v>#VALUE!</v>
      </c>
      <c r="BN156" s="115" t="e">
        <f>BM156^3+BK142*BM156+BL142</f>
        <v>#VALUE!</v>
      </c>
      <c r="BO156" s="115" t="e">
        <f>3*BM156^2+BK142</f>
        <v>#VALUE!</v>
      </c>
      <c r="BP156" s="115" t="e">
        <f t="shared" si="53"/>
        <v>#VALUE!</v>
      </c>
      <c r="BQ156" s="275"/>
      <c r="BR156" s="276"/>
      <c r="BT156" s="125"/>
      <c r="BU156" s="126"/>
      <c r="BV156" s="114" t="e">
        <f>BY155</f>
        <v>#VALUE!</v>
      </c>
      <c r="BW156" s="115" t="e">
        <f>BV156^3+BT142*BV156+BU142</f>
        <v>#VALUE!</v>
      </c>
      <c r="BX156" s="115" t="e">
        <f>3*BV156^2+BT142</f>
        <v>#VALUE!</v>
      </c>
      <c r="BY156" s="115" t="e">
        <f t="shared" si="54"/>
        <v>#VALUE!</v>
      </c>
      <c r="BZ156" s="275"/>
      <c r="CA156" s="276"/>
    </row>
    <row r="157" spans="36:79" ht="13.5" customHeight="1" x14ac:dyDescent="0.15">
      <c r="AJ157" s="62"/>
      <c r="AK157" s="12" t="s">
        <v>53</v>
      </c>
      <c r="AL157" s="12" t="s">
        <v>54</v>
      </c>
      <c r="AM157" s="12" t="s">
        <v>55</v>
      </c>
      <c r="AN157" s="12" t="s">
        <v>56</v>
      </c>
      <c r="AO157" s="63" t="s">
        <v>57</v>
      </c>
      <c r="AP157" s="12" t="s">
        <v>58</v>
      </c>
      <c r="AQ157" s="13" t="s">
        <v>59</v>
      </c>
      <c r="AS157" s="62"/>
      <c r="AT157" s="12" t="s">
        <v>53</v>
      </c>
      <c r="AU157" s="12" t="s">
        <v>54</v>
      </c>
      <c r="AV157" s="12" t="s">
        <v>55</v>
      </c>
      <c r="AW157" s="12" t="s">
        <v>56</v>
      </c>
      <c r="AX157" s="63" t="s">
        <v>57</v>
      </c>
      <c r="AY157" s="12" t="s">
        <v>58</v>
      </c>
      <c r="AZ157" s="13" t="s">
        <v>59</v>
      </c>
      <c r="BB157" s="62"/>
      <c r="BC157" s="12" t="s">
        <v>53</v>
      </c>
      <c r="BD157" s="12" t="s">
        <v>54</v>
      </c>
      <c r="BE157" s="12" t="s">
        <v>55</v>
      </c>
      <c r="BF157" s="12" t="s">
        <v>56</v>
      </c>
      <c r="BG157" s="63" t="s">
        <v>57</v>
      </c>
      <c r="BH157" s="12" t="s">
        <v>58</v>
      </c>
      <c r="BI157" s="13" t="s">
        <v>59</v>
      </c>
      <c r="BK157" s="62"/>
      <c r="BL157" s="12" t="s">
        <v>53</v>
      </c>
      <c r="BM157" s="12" t="s">
        <v>54</v>
      </c>
      <c r="BN157" s="12" t="s">
        <v>55</v>
      </c>
      <c r="BO157" s="12" t="s">
        <v>56</v>
      </c>
      <c r="BP157" s="63" t="s">
        <v>57</v>
      </c>
      <c r="BQ157" s="12" t="s">
        <v>58</v>
      </c>
      <c r="BR157" s="13" t="s">
        <v>59</v>
      </c>
      <c r="BT157" s="62"/>
      <c r="BU157" s="12" t="s">
        <v>53</v>
      </c>
      <c r="BV157" s="12" t="s">
        <v>54</v>
      </c>
      <c r="BW157" s="12" t="s">
        <v>55</v>
      </c>
      <c r="BX157" s="12" t="s">
        <v>56</v>
      </c>
      <c r="BY157" s="63" t="s">
        <v>57</v>
      </c>
      <c r="BZ157" s="12" t="s">
        <v>58</v>
      </c>
      <c r="CA157" s="13" t="s">
        <v>59</v>
      </c>
    </row>
    <row r="158" spans="36:79" ht="13.5" customHeight="1" thickBot="1" x14ac:dyDescent="0.2">
      <c r="AJ158" s="107"/>
      <c r="AK158" s="108">
        <f>M23+U23</f>
        <v>0.4</v>
      </c>
      <c r="AL158" s="108">
        <f>IF(C33="",L19*(F19/40)^2,C33)</f>
        <v>0.5</v>
      </c>
      <c r="AM158" s="108">
        <f>F19</f>
        <v>40</v>
      </c>
      <c r="AN158" s="108">
        <f>AK78*1600/(8*L19)</f>
        <v>160</v>
      </c>
      <c r="AO158" s="109">
        <f>V23</f>
        <v>12000</v>
      </c>
      <c r="AP158" s="108">
        <f>L23</f>
        <v>37.164999999999999</v>
      </c>
      <c r="AQ158" s="110">
        <f>W23</f>
        <v>170</v>
      </c>
      <c r="AS158" s="107"/>
      <c r="AT15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158" s="108">
        <f>IF(I33="",L19*(F19/40)^2,I33)</f>
        <v>0.5</v>
      </c>
      <c r="AV158" s="108">
        <f>F19</f>
        <v>40</v>
      </c>
      <c r="AW158" s="108">
        <f>AT158*1600/(8*L19)</f>
        <v>303.60000000000002</v>
      </c>
      <c r="AX158" s="109">
        <f>IF(B24="使用電線-2",V24,IF(B25="使用電線-2",V25,IF(B26="使用電線-2",V26,IF(B27="使用電線-2",V27,IF(B28="使用電線-2",V28,IF(B29="使用電線-2",V29,""))))))</f>
        <v>21000</v>
      </c>
      <c r="AY158" s="108">
        <f>IF(B24="使用電線-2",L24,IF(B25="使用電線-2",L25,IF(B26="使用電線-2",L26,IF(B27="使用電線-2",L27,IF(B28="使用電線-2",L28,IF(B29="使用電線-2",L29,""))))))</f>
        <v>37.164999999999999</v>
      </c>
      <c r="AZ158" s="110">
        <f>IF(B24="使用電線-2",W24,IF(B25="使用電線-2",W25,IF(B26="使用電線-2",W26,IF(B27="使用電線-2",W27,IF(B28="使用電線-2",W28,IF(B29="使用電線-2",W29,""))))))</f>
        <v>115</v>
      </c>
      <c r="BB158" s="107"/>
      <c r="BC158" s="108" t="str">
        <f>IF(B25="使用電線-3",M25+U25,IF(B26="使用電線-3",M26+U26,IF(B27="使用電線-3",M27+U27,IF(B28="使用電線-3",M28+U28,IF(B29="使用電線-3",M29+U29,"")))))</f>
        <v/>
      </c>
      <c r="BD158" s="108">
        <f>IF(N33="",L19*(F19/40)^2,N33)</f>
        <v>0.5</v>
      </c>
      <c r="BE158" s="108">
        <f>F19</f>
        <v>40</v>
      </c>
      <c r="BF158" s="108" t="e">
        <f>BC158*1600/(8*L19)</f>
        <v>#VALUE!</v>
      </c>
      <c r="BG158" s="109" t="str">
        <f>IF(B25="使用電線-3",V25,IF(B26="使用電線-3",V26,IF(B27="使用電線-3",V27,IF(B28="使用電線-3",V28,IF(B29="使用電線-3",V29,"")))))</f>
        <v/>
      </c>
      <c r="BH158" s="108" t="str">
        <f>IF(B25="使用電線-3",L25,IF(B26="使用電線-3",L26,IF(B27="使用電線-3",L27,IF(B28="使用電線-3",L28,IF(B29="使用電線-3",L29,"")))))</f>
        <v/>
      </c>
      <c r="BI158" s="110" t="str">
        <f>IF(B25="使用電線-3",W25,IF(B26="使用電線-3",W26,IF(B27="使用電線-3",W27,IF(B28="使用電線-3",W28,IF(B29="使用電線-3",W29,"")))))</f>
        <v/>
      </c>
      <c r="BK158" s="107"/>
      <c r="BL158" s="108" t="str">
        <f>IF(B26="使用電線-4",M26+U26,IF(B27="使用電線-4",M27+U27,IF(B28="使用電線-4",M28+U28,IF(B29="使用電線-4",M29+U29,""))))</f>
        <v/>
      </c>
      <c r="BM158" s="108">
        <f>IF(C47="",L19*(F19/40)^2,C47)</f>
        <v>0.5</v>
      </c>
      <c r="BN158" s="108">
        <f>F19</f>
        <v>40</v>
      </c>
      <c r="BO158" s="127" t="e">
        <f>BL158*1600/(8*L19)</f>
        <v>#VALUE!</v>
      </c>
      <c r="BP158" s="109" t="str">
        <f>IF(B26="使用電線-4",V26,IF(B27="使用電線-4",V27,IF(B28="使用電線-4",V28,IF(B29="使用電線-4",V29,""))))</f>
        <v/>
      </c>
      <c r="BQ158" s="108" t="str">
        <f>IF(B26="使用電線-4",L26,IF(B27="使用電線-4",L27,IF(B28="使用電線-4",L28,IF(B29="使用電線-4",L29,""))))</f>
        <v/>
      </c>
      <c r="BR158" s="110" t="str">
        <f>IF(B26="使用電線-4",W26,IF(B27="使用電線-4",W27,IF(B28="使用電線-4",W28,IF(B29="使用電線-4",W29,""))))</f>
        <v/>
      </c>
      <c r="BT158" s="107"/>
      <c r="BU158" s="108" t="str">
        <f>IF(B27="使用電線-5",M27+U27,IF(B28="使用電線-5",M28+U28,IF(B29="使用電線-5",M29+U29,"")))</f>
        <v/>
      </c>
      <c r="BV158" s="108">
        <f>IF(I47="",L19*(F19/40)^2,I47)</f>
        <v>0.5</v>
      </c>
      <c r="BW158" s="108">
        <f>F19</f>
        <v>40</v>
      </c>
      <c r="BX158" s="127" t="e">
        <f>BU158*1600/(8*L19)</f>
        <v>#VALUE!</v>
      </c>
      <c r="BY158" s="109" t="str">
        <f>IF(B27="使用電線-5",V27,IF(B28="使用電線-5",V28,IF(B29="使用電線-5",V29,"")))</f>
        <v/>
      </c>
      <c r="BZ158" s="108" t="str">
        <f>IF(B27="使用電線-5",L27,IF(B28="使用電線-5",L28,IF(B29="使用電線-5",L29,"")))</f>
        <v/>
      </c>
      <c r="CA158" s="110" t="str">
        <f>IF(B27="使用電線-5",W27,IF(B28="使用電線-5",W28,IF(B29="使用電線-5",W29,"")))</f>
        <v/>
      </c>
    </row>
    <row r="159" spans="36:79" ht="13.5" customHeight="1" x14ac:dyDescent="0.15"/>
    <row r="160" spans="36:79" ht="13.5" customHeight="1" thickBot="1" x14ac:dyDescent="0.2"/>
    <row r="161" spans="36:79" ht="13.5" customHeight="1" x14ac:dyDescent="0.15">
      <c r="AJ161" s="2" t="s">
        <v>144</v>
      </c>
      <c r="AK161" s="111" t="s">
        <v>145</v>
      </c>
      <c r="AL161" s="12" t="s">
        <v>7</v>
      </c>
      <c r="AM161" s="12" t="s">
        <v>0</v>
      </c>
      <c r="AN161" s="12" t="s">
        <v>1</v>
      </c>
      <c r="AO161" s="12" t="s">
        <v>2</v>
      </c>
      <c r="AP161" s="12" t="s">
        <v>5</v>
      </c>
      <c r="AQ161" s="13" t="s">
        <v>6</v>
      </c>
      <c r="AS161" s="2" t="s">
        <v>144</v>
      </c>
      <c r="AT161" s="111" t="s">
        <v>145</v>
      </c>
      <c r="AU161" s="12" t="s">
        <v>7</v>
      </c>
      <c r="AV161" s="12" t="s">
        <v>0</v>
      </c>
      <c r="AW161" s="12" t="s">
        <v>1</v>
      </c>
      <c r="AX161" s="12" t="s">
        <v>2</v>
      </c>
      <c r="AY161" s="12" t="s">
        <v>5</v>
      </c>
      <c r="AZ161" s="13" t="s">
        <v>6</v>
      </c>
      <c r="BB161" s="2" t="s">
        <v>144</v>
      </c>
      <c r="BC161" s="111" t="s">
        <v>145</v>
      </c>
      <c r="BD161" s="12" t="s">
        <v>7</v>
      </c>
      <c r="BE161" s="12" t="s">
        <v>0</v>
      </c>
      <c r="BF161" s="12" t="s">
        <v>1</v>
      </c>
      <c r="BG161" s="12" t="s">
        <v>2</v>
      </c>
      <c r="BH161" s="12" t="s">
        <v>5</v>
      </c>
      <c r="BI161" s="13" t="s">
        <v>6</v>
      </c>
      <c r="BK161" s="2" t="s">
        <v>144</v>
      </c>
      <c r="BL161" s="111" t="s">
        <v>145</v>
      </c>
      <c r="BM161" s="12" t="s">
        <v>7</v>
      </c>
      <c r="BN161" s="12" t="s">
        <v>0</v>
      </c>
      <c r="BO161" s="12" t="s">
        <v>1</v>
      </c>
      <c r="BP161" s="12" t="s">
        <v>2</v>
      </c>
      <c r="BQ161" s="12" t="s">
        <v>5</v>
      </c>
      <c r="BR161" s="13" t="s">
        <v>6</v>
      </c>
      <c r="BT161" s="2" t="s">
        <v>144</v>
      </c>
      <c r="BU161" s="111" t="s">
        <v>145</v>
      </c>
      <c r="BV161" s="12" t="s">
        <v>7</v>
      </c>
      <c r="BW161" s="12" t="s">
        <v>0</v>
      </c>
      <c r="BX161" s="12" t="s">
        <v>1</v>
      </c>
      <c r="BY161" s="12" t="s">
        <v>2</v>
      </c>
      <c r="BZ161" s="12" t="s">
        <v>5</v>
      </c>
      <c r="CA161" s="13" t="s">
        <v>6</v>
      </c>
    </row>
    <row r="162" spans="36:79" ht="13.5" customHeight="1" x14ac:dyDescent="0.15">
      <c r="AJ162" s="16">
        <f>-AJ165+AJ168</f>
        <v>-0.18774371048029062</v>
      </c>
      <c r="AK162" s="17">
        <f>-AJ171</f>
        <v>-0.1076281447598547</v>
      </c>
      <c r="AL162" s="18">
        <f>IF(AND(AP165&lt;0,AQ165&lt;0),AQ162*1.2,IF(AND(AP165&gt;0,AQ165&gt;0),AP162*0.8,10))</f>
        <v>0.30019490507092139</v>
      </c>
      <c r="AM162" s="18">
        <f>AL162^3+AJ162*AL162+AK162</f>
        <v>-0.13693519153940725</v>
      </c>
      <c r="AN162" s="18">
        <f>3*AL162^2+AJ162</f>
        <v>8.260723261132788E-2</v>
      </c>
      <c r="AO162" s="18">
        <f t="shared" ref="AO162:AO176" si="60">AL162-AM162/AN162</f>
        <v>1.9578607923146663</v>
      </c>
      <c r="AP162" s="18">
        <f>-SQRT(ABS(-4*3*AJ162))/6</f>
        <v>-0.25016242089243451</v>
      </c>
      <c r="AQ162" s="19">
        <f>SQRT(ABS(-4*3*AJ162))/6</f>
        <v>0.25016242089243451</v>
      </c>
      <c r="AS162" s="16">
        <f>-AS165+AS168</f>
        <v>-0.12010068036362936</v>
      </c>
      <c r="AT162" s="17">
        <f>-AS171</f>
        <v>-0.11669965981818531</v>
      </c>
      <c r="AU162" s="18">
        <f>IF(AND(AY165&lt;0,AZ165&lt;0),AZ162*1.2,IF(AND(AY165&gt;0,AZ165&gt;0),AY162*0.8,10))</f>
        <v>0.24010065925470112</v>
      </c>
      <c r="AV162" s="18">
        <f>AU162^3+AS162*AU162+AT162</f>
        <v>-0.13169451113495298</v>
      </c>
      <c r="AW162" s="18">
        <f>3*AU162^2+AS162</f>
        <v>5.2844299359996905E-2</v>
      </c>
      <c r="AX162" s="18">
        <f t="shared" ref="AX162:AX176" si="61">AU162-AV162/AW162</f>
        <v>2.7322239862723667</v>
      </c>
      <c r="AY162" s="18">
        <f>-SQRT(ABS(-4*3*AS162))/6</f>
        <v>-0.20008388271225094</v>
      </c>
      <c r="AZ162" s="19">
        <f>SQRT(ABS(-4*3*AS162))/6</f>
        <v>0.20008388271225094</v>
      </c>
      <c r="BB162" s="16" t="e">
        <f>-BB165+BB168</f>
        <v>#VALUE!</v>
      </c>
      <c r="BC162" s="17" t="e">
        <f>-BB171</f>
        <v>#VALUE!</v>
      </c>
      <c r="BD162" s="18" t="e">
        <f>IF(AND(BH165&lt;0,BI165&lt;0),BI162*1.2,IF(AND(BH165&gt;0,BI165&gt;0),BH162*0.8,10))</f>
        <v>#VALUE!</v>
      </c>
      <c r="BE162" s="18" t="e">
        <f>BD162^3+BB162*BD162+BC162</f>
        <v>#VALUE!</v>
      </c>
      <c r="BF162" s="18" t="e">
        <f>3*BD162^2+BB162</f>
        <v>#VALUE!</v>
      </c>
      <c r="BG162" s="18" t="e">
        <f t="shared" ref="BG162:BG176" si="62">BD162-BE162/BF162</f>
        <v>#VALUE!</v>
      </c>
      <c r="BH162" s="18" t="e">
        <f>-SQRT(ABS(-4*3*BB162))/6</f>
        <v>#VALUE!</v>
      </c>
      <c r="BI162" s="19" t="e">
        <f>SQRT(ABS(-4*3*BB162))/6</f>
        <v>#VALUE!</v>
      </c>
      <c r="BK162" s="16" t="e">
        <f>-BK165+BK168</f>
        <v>#VALUE!</v>
      </c>
      <c r="BL162" s="17" t="e">
        <f>-BK171</f>
        <v>#VALUE!</v>
      </c>
      <c r="BM162" s="18" t="e">
        <f>IF(AND(BQ165&lt;0,BR165&lt;0),BR162*1.2,IF(AND(BQ165&gt;0,BR165&gt;0),BQ162*0.8,10))</f>
        <v>#VALUE!</v>
      </c>
      <c r="BN162" s="18" t="e">
        <f>BM162^3+BK162*BM162+BL162</f>
        <v>#VALUE!</v>
      </c>
      <c r="BO162" s="18" t="e">
        <f>3*BM162^2+BK162</f>
        <v>#VALUE!</v>
      </c>
      <c r="BP162" s="18" t="e">
        <f t="shared" ref="BP162:BP176" si="63">BM162-BN162/BO162</f>
        <v>#VALUE!</v>
      </c>
      <c r="BQ162" s="18" t="e">
        <f>-SQRT(ABS(-4*3*BK162))/6</f>
        <v>#VALUE!</v>
      </c>
      <c r="BR162" s="19" t="e">
        <f>SQRT(ABS(-4*3*BK162))/6</f>
        <v>#VALUE!</v>
      </c>
      <c r="BT162" s="16" t="e">
        <f>-BT165+BT168</f>
        <v>#VALUE!</v>
      </c>
      <c r="BU162" s="17" t="e">
        <f>-BT171</f>
        <v>#VALUE!</v>
      </c>
      <c r="BV162" s="18" t="e">
        <f>IF(AND(BZ165&lt;0,CA165&lt;0),CA162*1.2,IF(AND(BZ165&gt;0,CA165&gt;0),BZ162*0.8,10))</f>
        <v>#VALUE!</v>
      </c>
      <c r="BW162" s="18" t="e">
        <f>BV162^3+BT162*BV162+BU162</f>
        <v>#VALUE!</v>
      </c>
      <c r="BX162" s="18" t="e">
        <f>3*BV162^2+BT162</f>
        <v>#VALUE!</v>
      </c>
      <c r="BY162" s="18" t="e">
        <f t="shared" ref="BY162:BY176" si="64">BV162-BW162/BX162</f>
        <v>#VALUE!</v>
      </c>
      <c r="BZ162" s="18" t="e">
        <f>-SQRT(ABS(-4*3*BT162))/6</f>
        <v>#VALUE!</v>
      </c>
      <c r="CA162" s="19" t="e">
        <f>SQRT(ABS(-4*3*BT162))/6</f>
        <v>#VALUE!</v>
      </c>
    </row>
    <row r="163" spans="36:79" ht="13.5" customHeight="1" x14ac:dyDescent="0.15">
      <c r="AJ163" s="267"/>
      <c r="AK163" s="268"/>
      <c r="AL163" s="18">
        <f t="shared" ref="AL163:AL175" si="65">AO162</f>
        <v>1.9578607923146663</v>
      </c>
      <c r="AM163" s="18">
        <f>AL163^3+AJ162*AL163+AK162</f>
        <v>7.029704763077695</v>
      </c>
      <c r="AN163" s="18">
        <f>3*AL163^2+AJ162</f>
        <v>11.311912935768747</v>
      </c>
      <c r="AO163" s="18">
        <f t="shared" si="60"/>
        <v>1.3364181766409309</v>
      </c>
      <c r="AP163" s="6"/>
      <c r="AQ163" s="7"/>
      <c r="AS163" s="267"/>
      <c r="AT163" s="268"/>
      <c r="AU163" s="18">
        <f t="shared" ref="AU163:AU175" si="66">AX162</f>
        <v>2.7322239862723667</v>
      </c>
      <c r="AV163" s="18">
        <f>AU163^3+AS162*AU163+AT162</f>
        <v>19.951341342074091</v>
      </c>
      <c r="AW163" s="18">
        <f>3*AU163^2+AS162</f>
        <v>22.275043053122555</v>
      </c>
      <c r="AX163" s="18">
        <f t="shared" si="61"/>
        <v>1.8365426044454851</v>
      </c>
      <c r="AY163" s="6"/>
      <c r="AZ163" s="7"/>
      <c r="BB163" s="267"/>
      <c r="BC163" s="268"/>
      <c r="BD163" s="18" t="e">
        <f t="shared" ref="BD163:BD175" si="67">BG162</f>
        <v>#VALUE!</v>
      </c>
      <c r="BE163" s="18" t="e">
        <f>BD163^3+BB162*BD163+BC162</f>
        <v>#VALUE!</v>
      </c>
      <c r="BF163" s="18" t="e">
        <f>3*BD163^2+BB162</f>
        <v>#VALUE!</v>
      </c>
      <c r="BG163" s="18" t="e">
        <f t="shared" si="62"/>
        <v>#VALUE!</v>
      </c>
      <c r="BH163" s="6"/>
      <c r="BI163" s="7"/>
      <c r="BK163" s="267"/>
      <c r="BL163" s="268"/>
      <c r="BM163" s="18" t="e">
        <f t="shared" ref="BM163:BM175" si="68">BP162</f>
        <v>#VALUE!</v>
      </c>
      <c r="BN163" s="18" t="e">
        <f>BM163^3+BK162*BM163+BL162</f>
        <v>#VALUE!</v>
      </c>
      <c r="BO163" s="18" t="e">
        <f>3*BM163^2+BK162</f>
        <v>#VALUE!</v>
      </c>
      <c r="BP163" s="18" t="e">
        <f t="shared" si="63"/>
        <v>#VALUE!</v>
      </c>
      <c r="BQ163" s="6"/>
      <c r="BR163" s="7"/>
      <c r="BT163" s="267"/>
      <c r="BU163" s="268"/>
      <c r="BV163" s="18" t="e">
        <f t="shared" ref="BV163:BV175" si="69">BY162</f>
        <v>#VALUE!</v>
      </c>
      <c r="BW163" s="18" t="e">
        <f>BV163^3+BT162*BV163+BU162</f>
        <v>#VALUE!</v>
      </c>
      <c r="BX163" s="18" t="e">
        <f>3*BV163^2+BT162</f>
        <v>#VALUE!</v>
      </c>
      <c r="BY163" s="18" t="e">
        <f t="shared" si="64"/>
        <v>#VALUE!</v>
      </c>
      <c r="BZ163" s="6"/>
      <c r="CA163" s="7"/>
    </row>
    <row r="164" spans="36:79" ht="13.5" customHeight="1" x14ac:dyDescent="0.15">
      <c r="AJ164" s="269" t="s">
        <v>8</v>
      </c>
      <c r="AK164" s="270"/>
      <c r="AL164" s="18">
        <f t="shared" si="65"/>
        <v>1.3364181766409309</v>
      </c>
      <c r="AM164" s="18">
        <f>AL164^3+AJ162*AL164+AK162</f>
        <v>2.0283287104042582</v>
      </c>
      <c r="AN164" s="18">
        <f>3*AL164^2+AJ162</f>
        <v>5.1702969180885194</v>
      </c>
      <c r="AO164" s="18">
        <f t="shared" si="60"/>
        <v>0.94411407060244446</v>
      </c>
      <c r="AP164" s="14" t="s">
        <v>3</v>
      </c>
      <c r="AQ164" s="15" t="s">
        <v>4</v>
      </c>
      <c r="AS164" s="269" t="s">
        <v>8</v>
      </c>
      <c r="AT164" s="270"/>
      <c r="AU164" s="18">
        <f t="shared" si="66"/>
        <v>1.8365426044454851</v>
      </c>
      <c r="AV164" s="18">
        <f>AU164^3+AS162*AU164+AT162</f>
        <v>5.8571841911585478</v>
      </c>
      <c r="AW164" s="18">
        <f>3*AU164^2+AS162</f>
        <v>9.9985655334665875</v>
      </c>
      <c r="AX164" s="18">
        <f t="shared" si="61"/>
        <v>1.2507401539285845</v>
      </c>
      <c r="AY164" s="14" t="s">
        <v>3</v>
      </c>
      <c r="AZ164" s="15" t="s">
        <v>4</v>
      </c>
      <c r="BB164" s="269" t="s">
        <v>8</v>
      </c>
      <c r="BC164" s="270"/>
      <c r="BD164" s="18" t="e">
        <f t="shared" si="67"/>
        <v>#VALUE!</v>
      </c>
      <c r="BE164" s="18" t="e">
        <f>BD164^3+BB162*BD164+BC162</f>
        <v>#VALUE!</v>
      </c>
      <c r="BF164" s="18" t="e">
        <f>3*BD164^2+BB162</f>
        <v>#VALUE!</v>
      </c>
      <c r="BG164" s="18" t="e">
        <f t="shared" si="62"/>
        <v>#VALUE!</v>
      </c>
      <c r="BH164" s="14" t="s">
        <v>3</v>
      </c>
      <c r="BI164" s="15" t="s">
        <v>4</v>
      </c>
      <c r="BK164" s="269" t="s">
        <v>8</v>
      </c>
      <c r="BL164" s="270"/>
      <c r="BM164" s="18" t="e">
        <f t="shared" si="68"/>
        <v>#VALUE!</v>
      </c>
      <c r="BN164" s="18" t="e">
        <f>BM164^3+BK162*BM164+BL162</f>
        <v>#VALUE!</v>
      </c>
      <c r="BO164" s="18" t="e">
        <f>3*BM164^2+BK162</f>
        <v>#VALUE!</v>
      </c>
      <c r="BP164" s="18" t="e">
        <f t="shared" si="63"/>
        <v>#VALUE!</v>
      </c>
      <c r="BQ164" s="14" t="s">
        <v>3</v>
      </c>
      <c r="BR164" s="15" t="s">
        <v>4</v>
      </c>
      <c r="BT164" s="269" t="s">
        <v>8</v>
      </c>
      <c r="BU164" s="270"/>
      <c r="BV164" s="18" t="e">
        <f t="shared" si="69"/>
        <v>#VALUE!</v>
      </c>
      <c r="BW164" s="18" t="e">
        <f>BV164^3+BT162*BV164+BU162</f>
        <v>#VALUE!</v>
      </c>
      <c r="BX164" s="18" t="e">
        <f>3*BV164^2+BT162</f>
        <v>#VALUE!</v>
      </c>
      <c r="BY164" s="18" t="e">
        <f t="shared" si="64"/>
        <v>#VALUE!</v>
      </c>
      <c r="BZ164" s="14" t="s">
        <v>3</v>
      </c>
      <c r="CA164" s="15" t="s">
        <v>4</v>
      </c>
    </row>
    <row r="165" spans="36:79" ht="13.5" customHeight="1" x14ac:dyDescent="0.15">
      <c r="AJ165" s="269">
        <f>(AL178^2)+3*(AM178^2)*AQ178*(AQ173-15)/(8*10^7)</f>
        <v>0.40300000000000002</v>
      </c>
      <c r="AK165" s="270"/>
      <c r="AL165" s="18">
        <f t="shared" si="65"/>
        <v>0.94411407060244446</v>
      </c>
      <c r="AM165" s="18">
        <f>AL165^3+AJ162*AL165+AK162</f>
        <v>0.55665775462148925</v>
      </c>
      <c r="AN165" s="18">
        <f>3*AL165^2+AJ162</f>
        <v>2.4863104244482619</v>
      </c>
      <c r="AO165" s="18">
        <f t="shared" si="60"/>
        <v>0.72022499016108432</v>
      </c>
      <c r="AP165" s="18">
        <f>AP162^3+AJ162*AP162+AK162</f>
        <v>-7.631719734580282E-2</v>
      </c>
      <c r="AQ165" s="19">
        <f>AQ162^3+AJ162*AQ162+AK162</f>
        <v>-0.1389390921739066</v>
      </c>
      <c r="AS165" s="269">
        <f>(AU178^2)+3*(AV178^2)*AZ178*(AZ173-15)/(8*10^7)</f>
        <v>0.35349999999999998</v>
      </c>
      <c r="AT165" s="270"/>
      <c r="AU165" s="18">
        <f t="shared" si="66"/>
        <v>1.2507401539285845</v>
      </c>
      <c r="AV165" s="18">
        <f>AU165^3+AS162*AU165+AT162</f>
        <v>1.6896821230369905</v>
      </c>
      <c r="AW165" s="18">
        <f>3*AU165^2+AS162</f>
        <v>4.5729521175842684</v>
      </c>
      <c r="AX165" s="18">
        <f t="shared" si="61"/>
        <v>0.88124533316724429</v>
      </c>
      <c r="AY165" s="18">
        <f>AY162^3+AS162*AY162+AT162</f>
        <v>-0.10067951952249334</v>
      </c>
      <c r="AZ165" s="19">
        <f>AZ162^3+AS162*AZ162+AT162</f>
        <v>-0.13271980011387727</v>
      </c>
      <c r="BB165" s="269" t="e">
        <f>(BD178^2)+3*(BE178^2)*BI178*(BI173-15)/(8*10^7)</f>
        <v>#VALUE!</v>
      </c>
      <c r="BC165" s="270"/>
      <c r="BD165" s="18" t="e">
        <f t="shared" si="67"/>
        <v>#VALUE!</v>
      </c>
      <c r="BE165" s="18" t="e">
        <f>BD165^3+BB162*BD165+BC162</f>
        <v>#VALUE!</v>
      </c>
      <c r="BF165" s="18" t="e">
        <f>3*BD165^2+BB162</f>
        <v>#VALUE!</v>
      </c>
      <c r="BG165" s="18" t="e">
        <f t="shared" si="62"/>
        <v>#VALUE!</v>
      </c>
      <c r="BH165" s="18" t="e">
        <f>BH162^3+BB162*BH162+BC162</f>
        <v>#VALUE!</v>
      </c>
      <c r="BI165" s="19" t="e">
        <f>BI162^3+BB162*BI162+BC162</f>
        <v>#VALUE!</v>
      </c>
      <c r="BK165" s="269" t="e">
        <f>(BM178^2)+3*(BN178^2)*BR178*(BR173-15)/(8*10^7)</f>
        <v>#VALUE!</v>
      </c>
      <c r="BL165" s="270"/>
      <c r="BM165" s="18" t="e">
        <f t="shared" si="68"/>
        <v>#VALUE!</v>
      </c>
      <c r="BN165" s="18" t="e">
        <f>BM165^3+BK162*BM165+BL162</f>
        <v>#VALUE!</v>
      </c>
      <c r="BO165" s="18" t="e">
        <f>3*BM165^2+BK162</f>
        <v>#VALUE!</v>
      </c>
      <c r="BP165" s="18" t="e">
        <f t="shared" si="63"/>
        <v>#VALUE!</v>
      </c>
      <c r="BQ165" s="18" t="e">
        <f>BQ162^3+BK162*BQ162+BL162</f>
        <v>#VALUE!</v>
      </c>
      <c r="BR165" s="19" t="e">
        <f>BR162^3+BK162*BR162+BL162</f>
        <v>#VALUE!</v>
      </c>
      <c r="BT165" s="269" t="e">
        <f>(BV178^2)+3*(BW178^2)*CA178*(CA173-15)/(8*10^7)</f>
        <v>#VALUE!</v>
      </c>
      <c r="BU165" s="270"/>
      <c r="BV165" s="18" t="e">
        <f t="shared" si="69"/>
        <v>#VALUE!</v>
      </c>
      <c r="BW165" s="18" t="e">
        <f>BV165^3+BT162*BV165+BU162</f>
        <v>#VALUE!</v>
      </c>
      <c r="BX165" s="18" t="e">
        <f>3*BV165^2+BT162</f>
        <v>#VALUE!</v>
      </c>
      <c r="BY165" s="18" t="e">
        <f t="shared" si="64"/>
        <v>#VALUE!</v>
      </c>
      <c r="BZ165" s="18" t="e">
        <f>BZ162^3+BT162*BZ162+BU162</f>
        <v>#VALUE!</v>
      </c>
      <c r="CA165" s="19" t="e">
        <f>CA162^3+BT162*CA162+BU162</f>
        <v>#VALUE!</v>
      </c>
    </row>
    <row r="166" spans="36:79" ht="13.5" customHeight="1" x14ac:dyDescent="0.15">
      <c r="AJ166" s="267"/>
      <c r="AK166" s="268"/>
      <c r="AL166" s="18">
        <f t="shared" si="65"/>
        <v>0.72022499016108432</v>
      </c>
      <c r="AM166" s="18">
        <f>AL166^3+AJ162*AL166+AK162</f>
        <v>0.13075215725701672</v>
      </c>
      <c r="AN166" s="18">
        <f>3*AL166^2+AJ162</f>
        <v>1.3684283988773112</v>
      </c>
      <c r="AO166" s="18">
        <f t="shared" si="60"/>
        <v>0.62467584972795043</v>
      </c>
      <c r="AP166" s="31"/>
      <c r="AQ166" s="32"/>
      <c r="AS166" s="267"/>
      <c r="AT166" s="268"/>
      <c r="AU166" s="18">
        <f t="shared" si="66"/>
        <v>0.88124533316724429</v>
      </c>
      <c r="AV166" s="18">
        <f>AU166^3+AS162*AU166+AT162</f>
        <v>0.46183143030302942</v>
      </c>
      <c r="AW166" s="18">
        <f>3*AU166^2+AS162</f>
        <v>2.209679331323513</v>
      </c>
      <c r="AX166" s="18">
        <f t="shared" si="61"/>
        <v>0.67224150905743096</v>
      </c>
      <c r="AY166" s="31"/>
      <c r="AZ166" s="32"/>
      <c r="BB166" s="267"/>
      <c r="BC166" s="268"/>
      <c r="BD166" s="18" t="e">
        <f t="shared" si="67"/>
        <v>#VALUE!</v>
      </c>
      <c r="BE166" s="18" t="e">
        <f>BD166^3+BB162*BD166+BC162</f>
        <v>#VALUE!</v>
      </c>
      <c r="BF166" s="18" t="e">
        <f>3*BD166^2+BB162</f>
        <v>#VALUE!</v>
      </c>
      <c r="BG166" s="18" t="e">
        <f t="shared" si="62"/>
        <v>#VALUE!</v>
      </c>
      <c r="BH166" s="31"/>
      <c r="BI166" s="32"/>
      <c r="BK166" s="267"/>
      <c r="BL166" s="268"/>
      <c r="BM166" s="18" t="e">
        <f t="shared" si="68"/>
        <v>#VALUE!</v>
      </c>
      <c r="BN166" s="18" t="e">
        <f>BM166^3+BK162*BM166+BL162</f>
        <v>#VALUE!</v>
      </c>
      <c r="BO166" s="18" t="e">
        <f>3*BM166^2+BK162</f>
        <v>#VALUE!</v>
      </c>
      <c r="BP166" s="18" t="e">
        <f t="shared" si="63"/>
        <v>#VALUE!</v>
      </c>
      <c r="BQ166" s="31"/>
      <c r="BR166" s="32"/>
      <c r="BT166" s="267"/>
      <c r="BU166" s="268"/>
      <c r="BV166" s="18" t="e">
        <f t="shared" si="69"/>
        <v>#VALUE!</v>
      </c>
      <c r="BW166" s="18" t="e">
        <f>BV166^3+BT162*BV166+BU162</f>
        <v>#VALUE!</v>
      </c>
      <c r="BX166" s="18" t="e">
        <f>3*BV166^2+BT162</f>
        <v>#VALUE!</v>
      </c>
      <c r="BY166" s="18" t="e">
        <f t="shared" si="64"/>
        <v>#VALUE!</v>
      </c>
      <c r="BZ166" s="31"/>
      <c r="CA166" s="32"/>
    </row>
    <row r="167" spans="36:79" ht="13.5" customHeight="1" x14ac:dyDescent="0.15">
      <c r="AJ167" s="269" t="s">
        <v>9</v>
      </c>
      <c r="AK167" s="270"/>
      <c r="AL167" s="18">
        <f t="shared" si="65"/>
        <v>0.62467584972795043</v>
      </c>
      <c r="AM167" s="18">
        <f>AL167^3+AJ162*AL167+AK162</f>
        <v>1.8853851743296637E-2</v>
      </c>
      <c r="AN167" s="18">
        <f>3*AL167^2+AJ162</f>
        <v>0.98291604121971998</v>
      </c>
      <c r="AO167" s="18">
        <f t="shared" si="60"/>
        <v>0.60549430120026482</v>
      </c>
      <c r="AP167" s="31"/>
      <c r="AQ167" s="32"/>
      <c r="AS167" s="269" t="s">
        <v>9</v>
      </c>
      <c r="AT167" s="270"/>
      <c r="AU167" s="18">
        <f t="shared" si="66"/>
        <v>0.67224150905743096</v>
      </c>
      <c r="AV167" s="18">
        <f>AU167^3+AS162*AU167+AT162</f>
        <v>0.10635542805447906</v>
      </c>
      <c r="AW167" s="18">
        <f>3*AU167^2+AS162</f>
        <v>1.2356252591358068</v>
      </c>
      <c r="AX167" s="18">
        <f t="shared" si="61"/>
        <v>0.58616733141487953</v>
      </c>
      <c r="AY167" s="31"/>
      <c r="AZ167" s="32"/>
      <c r="BB167" s="269" t="s">
        <v>9</v>
      </c>
      <c r="BC167" s="270"/>
      <c r="BD167" s="18" t="e">
        <f t="shared" si="67"/>
        <v>#VALUE!</v>
      </c>
      <c r="BE167" s="18" t="e">
        <f>BD167^3+BB162*BD167+BC162</f>
        <v>#VALUE!</v>
      </c>
      <c r="BF167" s="18" t="e">
        <f>3*BD167^2+BB162</f>
        <v>#VALUE!</v>
      </c>
      <c r="BG167" s="18" t="e">
        <f t="shared" si="62"/>
        <v>#VALUE!</v>
      </c>
      <c r="BH167" s="31"/>
      <c r="BI167" s="32"/>
      <c r="BK167" s="269" t="s">
        <v>9</v>
      </c>
      <c r="BL167" s="270"/>
      <c r="BM167" s="18" t="e">
        <f t="shared" si="68"/>
        <v>#VALUE!</v>
      </c>
      <c r="BN167" s="18" t="e">
        <f>BM167^3+BK162*BM167+BL162</f>
        <v>#VALUE!</v>
      </c>
      <c r="BO167" s="18" t="e">
        <f>3*BM167^2+BK162</f>
        <v>#VALUE!</v>
      </c>
      <c r="BP167" s="18" t="e">
        <f t="shared" si="63"/>
        <v>#VALUE!</v>
      </c>
      <c r="BQ167" s="31"/>
      <c r="BR167" s="32"/>
      <c r="BT167" s="269" t="s">
        <v>9</v>
      </c>
      <c r="BU167" s="270"/>
      <c r="BV167" s="18" t="e">
        <f t="shared" si="69"/>
        <v>#VALUE!</v>
      </c>
      <c r="BW167" s="18" t="e">
        <f>BV167^3+BT162*BV167+BU162</f>
        <v>#VALUE!</v>
      </c>
      <c r="BX167" s="18" t="e">
        <f>3*BV167^2+BT162</f>
        <v>#VALUE!</v>
      </c>
      <c r="BY167" s="18" t="e">
        <f t="shared" si="64"/>
        <v>#VALUE!</v>
      </c>
      <c r="BZ167" s="31"/>
      <c r="CA167" s="32"/>
    </row>
    <row r="168" spans="36:79" ht="13.5" customHeight="1" x14ac:dyDescent="0.15">
      <c r="AJ168" s="277">
        <f>3*(AM178^2)*AN178/(8*AO178*AP178)</f>
        <v>0.2152562895197094</v>
      </c>
      <c r="AK168" s="278"/>
      <c r="AL168" s="118">
        <f t="shared" si="65"/>
        <v>0.60549430120026482</v>
      </c>
      <c r="AM168" s="118">
        <f>AL168^3+AJ162*AL168+AK162</f>
        <v>6.8245683501512444E-4</v>
      </c>
      <c r="AN168" s="118">
        <f>3*AL168^2+AJ162</f>
        <v>0.91212633587770031</v>
      </c>
      <c r="AO168" s="118">
        <f t="shared" si="60"/>
        <v>0.60474609691301728</v>
      </c>
      <c r="AP168" s="116"/>
      <c r="AQ168" s="117"/>
      <c r="AS168" s="277">
        <f>3*(AV178^2)*AW178/(8*AX178*AY178)</f>
        <v>0.23339931963637062</v>
      </c>
      <c r="AT168" s="278"/>
      <c r="AU168" s="118">
        <f t="shared" si="66"/>
        <v>0.58616733141487953</v>
      </c>
      <c r="AV168" s="118">
        <f>AU168^3+AS162*AU168+AT162</f>
        <v>1.4303732915924433E-2</v>
      </c>
      <c r="AW168" s="118">
        <f>3*AU168^2+AS162</f>
        <v>0.91067574089049419</v>
      </c>
      <c r="AX168" s="118">
        <f t="shared" si="61"/>
        <v>0.57046060697535761</v>
      </c>
      <c r="AY168" s="116"/>
      <c r="AZ168" s="117"/>
      <c r="BB168" s="277" t="e">
        <f>3*(BE178^2)*BF178/(8*BG178*BH178)</f>
        <v>#VALUE!</v>
      </c>
      <c r="BC168" s="278"/>
      <c r="BD168" s="118" t="e">
        <f t="shared" si="67"/>
        <v>#VALUE!</v>
      </c>
      <c r="BE168" s="118" t="e">
        <f>BD168^3+BB162*BD168+BC162</f>
        <v>#VALUE!</v>
      </c>
      <c r="BF168" s="118" t="e">
        <f>3*BD168^2+BB162</f>
        <v>#VALUE!</v>
      </c>
      <c r="BG168" s="118" t="e">
        <f t="shared" si="62"/>
        <v>#VALUE!</v>
      </c>
      <c r="BH168" s="116"/>
      <c r="BI168" s="117"/>
      <c r="BK168" s="277" t="e">
        <f>3*(BN178^2)*BO178/(8*BP178*BQ178)</f>
        <v>#VALUE!</v>
      </c>
      <c r="BL168" s="278"/>
      <c r="BM168" s="118" t="e">
        <f t="shared" si="68"/>
        <v>#VALUE!</v>
      </c>
      <c r="BN168" s="118" t="e">
        <f>BM168^3+BK162*BM168+BL162</f>
        <v>#VALUE!</v>
      </c>
      <c r="BO168" s="118" t="e">
        <f>3*BM168^2+BK162</f>
        <v>#VALUE!</v>
      </c>
      <c r="BP168" s="118" t="e">
        <f t="shared" si="63"/>
        <v>#VALUE!</v>
      </c>
      <c r="BQ168" s="116"/>
      <c r="BR168" s="117"/>
      <c r="BT168" s="277" t="e">
        <f>3*(BW178^2)*BX178/(8*BY178*BZ178)</f>
        <v>#VALUE!</v>
      </c>
      <c r="BU168" s="278"/>
      <c r="BV168" s="118" t="e">
        <f t="shared" si="69"/>
        <v>#VALUE!</v>
      </c>
      <c r="BW168" s="118" t="e">
        <f>BV168^3+BT162*BV168+BU162</f>
        <v>#VALUE!</v>
      </c>
      <c r="BX168" s="118" t="e">
        <f>3*BV168^2+BT162</f>
        <v>#VALUE!</v>
      </c>
      <c r="BY168" s="118" t="e">
        <f t="shared" si="64"/>
        <v>#VALUE!</v>
      </c>
      <c r="BZ168" s="116"/>
      <c r="CA168" s="117"/>
    </row>
    <row r="169" spans="36:79" ht="13.5" customHeight="1" x14ac:dyDescent="0.15">
      <c r="AJ169" s="121"/>
      <c r="AK169" s="122"/>
      <c r="AL169" s="118">
        <f t="shared" si="65"/>
        <v>0.60474609691301728</v>
      </c>
      <c r="AM169" s="118">
        <f>AL169^3+AJ162*AL169+AK162</f>
        <v>1.0164658164613094E-6</v>
      </c>
      <c r="AN169" s="118">
        <f>3*AL169^2+AJ162</f>
        <v>0.90940981471429483</v>
      </c>
      <c r="AO169" s="118">
        <f t="shared" si="60"/>
        <v>0.6047449791927112</v>
      </c>
      <c r="AP169" s="119"/>
      <c r="AQ169" s="120"/>
      <c r="AS169" s="121"/>
      <c r="AT169" s="122"/>
      <c r="AU169" s="118">
        <f t="shared" si="66"/>
        <v>0.57046060697535761</v>
      </c>
      <c r="AV169" s="118">
        <f>AU169^3+AS162*AU169+AT162</f>
        <v>4.2994967155178532E-4</v>
      </c>
      <c r="AW169" s="118">
        <f>3*AU169^2+AS162</f>
        <v>0.85617523196845102</v>
      </c>
      <c r="AX169" s="118">
        <f t="shared" si="61"/>
        <v>0.56995843212201214</v>
      </c>
      <c r="AY169" s="119"/>
      <c r="AZ169" s="120"/>
      <c r="BB169" s="121"/>
      <c r="BC169" s="122"/>
      <c r="BD169" s="118" t="e">
        <f t="shared" si="67"/>
        <v>#VALUE!</v>
      </c>
      <c r="BE169" s="118" t="e">
        <f>BD169^3+BB162*BD169+BC162</f>
        <v>#VALUE!</v>
      </c>
      <c r="BF169" s="118" t="e">
        <f>3*BD169^2+BB162</f>
        <v>#VALUE!</v>
      </c>
      <c r="BG169" s="118" t="e">
        <f t="shared" si="62"/>
        <v>#VALUE!</v>
      </c>
      <c r="BH169" s="119"/>
      <c r="BI169" s="120"/>
      <c r="BK169" s="121"/>
      <c r="BL169" s="122"/>
      <c r="BM169" s="118" t="e">
        <f t="shared" si="68"/>
        <v>#VALUE!</v>
      </c>
      <c r="BN169" s="118" t="e">
        <f>BM169^3+BK162*BM169+BL162</f>
        <v>#VALUE!</v>
      </c>
      <c r="BO169" s="118" t="e">
        <f>3*BM169^2+BK162</f>
        <v>#VALUE!</v>
      </c>
      <c r="BP169" s="118" t="e">
        <f t="shared" si="63"/>
        <v>#VALUE!</v>
      </c>
      <c r="BQ169" s="119"/>
      <c r="BR169" s="120"/>
      <c r="BT169" s="121"/>
      <c r="BU169" s="122"/>
      <c r="BV169" s="118" t="e">
        <f t="shared" si="69"/>
        <v>#VALUE!</v>
      </c>
      <c r="BW169" s="118" t="e">
        <f>BV169^3+BT162*BV169+BU162</f>
        <v>#VALUE!</v>
      </c>
      <c r="BX169" s="118" t="e">
        <f>3*BV169^2+BT162</f>
        <v>#VALUE!</v>
      </c>
      <c r="BY169" s="118" t="e">
        <f t="shared" si="64"/>
        <v>#VALUE!</v>
      </c>
      <c r="BZ169" s="119"/>
      <c r="CA169" s="120"/>
    </row>
    <row r="170" spans="36:79" ht="13.5" customHeight="1" x14ac:dyDescent="0.15">
      <c r="AJ170" s="269" t="s">
        <v>10</v>
      </c>
      <c r="AK170" s="270"/>
      <c r="AL170" s="118">
        <f t="shared" si="65"/>
        <v>0.6047449791927112</v>
      </c>
      <c r="AM170" s="118">
        <f>AL170^3+AJ162*AL170+AK162</f>
        <v>2.2665203047722571E-12</v>
      </c>
      <c r="AN170" s="118">
        <f>3*AL170^2+AJ162</f>
        <v>0.90940575909608756</v>
      </c>
      <c r="AO170" s="118">
        <f t="shared" si="60"/>
        <v>0.60474497919021886</v>
      </c>
      <c r="AP170" s="14" t="s">
        <v>148</v>
      </c>
      <c r="AQ170" s="123">
        <f>AO176</f>
        <v>0.60474497919021886</v>
      </c>
      <c r="AS170" s="269" t="s">
        <v>10</v>
      </c>
      <c r="AT170" s="270"/>
      <c r="AU170" s="118">
        <f t="shared" si="66"/>
        <v>0.56995843212201214</v>
      </c>
      <c r="AV170" s="118">
        <f>AU170^3+AS162*AU170+AT162</f>
        <v>4.3144891628821291E-7</v>
      </c>
      <c r="AW170" s="118">
        <f>3*AU170^2+AS162</f>
        <v>0.85445716267731764</v>
      </c>
      <c r="AX170" s="118">
        <f t="shared" si="61"/>
        <v>0.56995792718281202</v>
      </c>
      <c r="AY170" s="14" t="s">
        <v>148</v>
      </c>
      <c r="AZ170" s="123">
        <f>AX176</f>
        <v>0.56995792718230176</v>
      </c>
      <c r="BB170" s="269" t="s">
        <v>10</v>
      </c>
      <c r="BC170" s="270"/>
      <c r="BD170" s="118" t="e">
        <f t="shared" si="67"/>
        <v>#VALUE!</v>
      </c>
      <c r="BE170" s="118" t="e">
        <f>BD170^3+BB162*BD170+BC162</f>
        <v>#VALUE!</v>
      </c>
      <c r="BF170" s="118" t="e">
        <f>3*BD170^2+BB162</f>
        <v>#VALUE!</v>
      </c>
      <c r="BG170" s="118" t="e">
        <f t="shared" si="62"/>
        <v>#VALUE!</v>
      </c>
      <c r="BH170" s="14" t="s">
        <v>148</v>
      </c>
      <c r="BI170" s="123" t="e">
        <f>BG176</f>
        <v>#VALUE!</v>
      </c>
      <c r="BK170" s="269" t="s">
        <v>10</v>
      </c>
      <c r="BL170" s="270"/>
      <c r="BM170" s="118" t="e">
        <f t="shared" si="68"/>
        <v>#VALUE!</v>
      </c>
      <c r="BN170" s="118" t="e">
        <f>BM170^3+BK162*BM170+BL162</f>
        <v>#VALUE!</v>
      </c>
      <c r="BO170" s="118" t="e">
        <f>3*BM170^2+BK162</f>
        <v>#VALUE!</v>
      </c>
      <c r="BP170" s="118" t="e">
        <f t="shared" si="63"/>
        <v>#VALUE!</v>
      </c>
      <c r="BQ170" s="14" t="s">
        <v>148</v>
      </c>
      <c r="BR170" s="123" t="e">
        <f>BP176</f>
        <v>#VALUE!</v>
      </c>
      <c r="BT170" s="269" t="s">
        <v>10</v>
      </c>
      <c r="BU170" s="270"/>
      <c r="BV170" s="118" t="e">
        <f t="shared" si="69"/>
        <v>#VALUE!</v>
      </c>
      <c r="BW170" s="118" t="e">
        <f>BV170^3+BT162*BV170+BU162</f>
        <v>#VALUE!</v>
      </c>
      <c r="BX170" s="118" t="e">
        <f>3*BV170^2+BT162</f>
        <v>#VALUE!</v>
      </c>
      <c r="BY170" s="118" t="e">
        <f t="shared" si="64"/>
        <v>#VALUE!</v>
      </c>
      <c r="BZ170" s="14" t="s">
        <v>148</v>
      </c>
      <c r="CA170" s="123" t="e">
        <f>BY176</f>
        <v>#VALUE!</v>
      </c>
    </row>
    <row r="171" spans="36:79" ht="13.5" customHeight="1" x14ac:dyDescent="0.15">
      <c r="AJ171" s="271">
        <f>AJ168*AL178*AK178/AK178</f>
        <v>0.1076281447598547</v>
      </c>
      <c r="AK171" s="272"/>
      <c r="AL171" s="118">
        <f t="shared" si="65"/>
        <v>0.60474497919021886</v>
      </c>
      <c r="AM171" s="118">
        <f>AL171^3+AJ162*AL171+AK162</f>
        <v>0</v>
      </c>
      <c r="AN171" s="118">
        <f>3*AL171^2+AJ162</f>
        <v>0.90940575908704413</v>
      </c>
      <c r="AO171" s="118">
        <f t="shared" si="60"/>
        <v>0.60474497919021886</v>
      </c>
      <c r="AP171" s="14" t="s">
        <v>149</v>
      </c>
      <c r="AQ171" s="124">
        <f>AK178*AM178^2/(8*AO176)</f>
        <v>132.28716690979999</v>
      </c>
      <c r="AS171" s="271">
        <f>AS168*AU178*AT178/AT178</f>
        <v>0.11669965981818531</v>
      </c>
      <c r="AT171" s="272"/>
      <c r="AU171" s="118">
        <f t="shared" si="66"/>
        <v>0.56995792718281202</v>
      </c>
      <c r="AV171" s="118">
        <f>AU171^3+AS162*AU171+AT162</f>
        <v>4.3597070398249116E-13</v>
      </c>
      <c r="AW171" s="118">
        <f>3*AU171^2+AS162</f>
        <v>0.85445543591195361</v>
      </c>
      <c r="AX171" s="118">
        <f t="shared" si="61"/>
        <v>0.56995792718230176</v>
      </c>
      <c r="AY171" s="14" t="s">
        <v>149</v>
      </c>
      <c r="AZ171" s="124">
        <f>AT178*AV178^2/(8*AX176)</f>
        <v>266.33544821536731</v>
      </c>
      <c r="BB171" s="271" t="e">
        <f>BB168*BD178*BC178/BC178</f>
        <v>#VALUE!</v>
      </c>
      <c r="BC171" s="272"/>
      <c r="BD171" s="118" t="e">
        <f t="shared" si="67"/>
        <v>#VALUE!</v>
      </c>
      <c r="BE171" s="118" t="e">
        <f>BD171^3+BB162*BD171+BC162</f>
        <v>#VALUE!</v>
      </c>
      <c r="BF171" s="118" t="e">
        <f>3*BD171^2+BB162</f>
        <v>#VALUE!</v>
      </c>
      <c r="BG171" s="118" t="e">
        <f t="shared" si="62"/>
        <v>#VALUE!</v>
      </c>
      <c r="BH171" s="14" t="s">
        <v>149</v>
      </c>
      <c r="BI171" s="124" t="e">
        <f>BC178*BE178^2/(8*BG176)</f>
        <v>#VALUE!</v>
      </c>
      <c r="BK171" s="271" t="e">
        <f>BK168*BM178*BL178/BL178</f>
        <v>#VALUE!</v>
      </c>
      <c r="BL171" s="272"/>
      <c r="BM171" s="118" t="e">
        <f t="shared" si="68"/>
        <v>#VALUE!</v>
      </c>
      <c r="BN171" s="118" t="e">
        <f>BM171^3+BK162*BM171+BL162</f>
        <v>#VALUE!</v>
      </c>
      <c r="BO171" s="118" t="e">
        <f>3*BM171^2+BK162</f>
        <v>#VALUE!</v>
      </c>
      <c r="BP171" s="118" t="e">
        <f t="shared" si="63"/>
        <v>#VALUE!</v>
      </c>
      <c r="BQ171" s="14" t="s">
        <v>149</v>
      </c>
      <c r="BR171" s="124" t="e">
        <f>BL178*BN178^2/(8*BP176)</f>
        <v>#VALUE!</v>
      </c>
      <c r="BT171" s="271" t="e">
        <f>BT168*BV178*BU178/BU178</f>
        <v>#VALUE!</v>
      </c>
      <c r="BU171" s="272"/>
      <c r="BV171" s="118" t="e">
        <f t="shared" si="69"/>
        <v>#VALUE!</v>
      </c>
      <c r="BW171" s="118" t="e">
        <f>BV171^3+BT162*BV171+BU162</f>
        <v>#VALUE!</v>
      </c>
      <c r="BX171" s="118" t="e">
        <f>3*BV171^2+BT162</f>
        <v>#VALUE!</v>
      </c>
      <c r="BY171" s="118" t="e">
        <f t="shared" si="64"/>
        <v>#VALUE!</v>
      </c>
      <c r="BZ171" s="14" t="s">
        <v>149</v>
      </c>
      <c r="CA171" s="124" t="e">
        <f>BU178*BW178^2/(8*BY176)</f>
        <v>#VALUE!</v>
      </c>
    </row>
    <row r="172" spans="36:79" ht="13.5" customHeight="1" x14ac:dyDescent="0.15">
      <c r="AJ172" s="125"/>
      <c r="AK172" s="126"/>
      <c r="AL172" s="118">
        <f t="shared" si="65"/>
        <v>0.60474497919021886</v>
      </c>
      <c r="AM172" s="118">
        <f>AL172^3+AJ162*AL172+AK162</f>
        <v>0</v>
      </c>
      <c r="AN172" s="118">
        <f>3*AL172^2+AJ162</f>
        <v>0.90940575908704413</v>
      </c>
      <c r="AO172" s="118">
        <f t="shared" si="60"/>
        <v>0.60474497919021886</v>
      </c>
      <c r="AP172" s="116"/>
      <c r="AQ172" s="117"/>
      <c r="AS172" s="125"/>
      <c r="AT172" s="126"/>
      <c r="AU172" s="118">
        <f t="shared" si="66"/>
        <v>0.56995792718230176</v>
      </c>
      <c r="AV172" s="118">
        <f>AU172^3+AS162*AU172+AT162</f>
        <v>0</v>
      </c>
      <c r="AW172" s="118">
        <f>3*AU172^2+AS162</f>
        <v>0.85445543591020856</v>
      </c>
      <c r="AX172" s="118">
        <f t="shared" si="61"/>
        <v>0.56995792718230176</v>
      </c>
      <c r="AY172" s="116"/>
      <c r="AZ172" s="117"/>
      <c r="BB172" s="125"/>
      <c r="BC172" s="126"/>
      <c r="BD172" s="118" t="e">
        <f t="shared" si="67"/>
        <v>#VALUE!</v>
      </c>
      <c r="BE172" s="118" t="e">
        <f>BD172^3+BB162*BD172+BC162</f>
        <v>#VALUE!</v>
      </c>
      <c r="BF172" s="118" t="e">
        <f>3*BD172^2+BB162</f>
        <v>#VALUE!</v>
      </c>
      <c r="BG172" s="118" t="e">
        <f t="shared" si="62"/>
        <v>#VALUE!</v>
      </c>
      <c r="BH172" s="116"/>
      <c r="BI172" s="117"/>
      <c r="BK172" s="125"/>
      <c r="BL172" s="126"/>
      <c r="BM172" s="118" t="e">
        <f t="shared" si="68"/>
        <v>#VALUE!</v>
      </c>
      <c r="BN172" s="118" t="e">
        <f>BM172^3+BK162*BM172+BL162</f>
        <v>#VALUE!</v>
      </c>
      <c r="BO172" s="118" t="e">
        <f>3*BM172^2+BK162</f>
        <v>#VALUE!</v>
      </c>
      <c r="BP172" s="118" t="e">
        <f t="shared" si="63"/>
        <v>#VALUE!</v>
      </c>
      <c r="BQ172" s="116"/>
      <c r="BR172" s="117"/>
      <c r="BT172" s="125"/>
      <c r="BU172" s="126"/>
      <c r="BV172" s="118" t="e">
        <f t="shared" si="69"/>
        <v>#VALUE!</v>
      </c>
      <c r="BW172" s="118" t="e">
        <f>BV172^3+BT162*BV172+BU162</f>
        <v>#VALUE!</v>
      </c>
      <c r="BX172" s="118" t="e">
        <f>3*BV172^2+BT162</f>
        <v>#VALUE!</v>
      </c>
      <c r="BY172" s="118" t="e">
        <f t="shared" si="64"/>
        <v>#VALUE!</v>
      </c>
      <c r="BZ172" s="116"/>
      <c r="CA172" s="117"/>
    </row>
    <row r="173" spans="36:79" ht="13.5" customHeight="1" x14ac:dyDescent="0.15">
      <c r="AJ173" s="125"/>
      <c r="AK173" s="126"/>
      <c r="AL173" s="118">
        <f t="shared" si="65"/>
        <v>0.60474497919021886</v>
      </c>
      <c r="AM173" s="118">
        <f>AL173^3+AJ162*AL173+AK162</f>
        <v>0</v>
      </c>
      <c r="AN173" s="118">
        <f>3*AL173^2+AJ162</f>
        <v>0.90940575908704413</v>
      </c>
      <c r="AO173" s="118">
        <f t="shared" si="60"/>
        <v>0.60474497919021886</v>
      </c>
      <c r="AP173" s="112" t="s">
        <v>147</v>
      </c>
      <c r="AQ173" s="113">
        <v>30</v>
      </c>
      <c r="AS173" s="125"/>
      <c r="AT173" s="126"/>
      <c r="AU173" s="118">
        <f t="shared" si="66"/>
        <v>0.56995792718230176</v>
      </c>
      <c r="AV173" s="118">
        <f>AU173^3+AS162*AU173+AT162</f>
        <v>0</v>
      </c>
      <c r="AW173" s="118">
        <f>3*AU173^2+AS162</f>
        <v>0.85445543591020856</v>
      </c>
      <c r="AX173" s="118">
        <f t="shared" si="61"/>
        <v>0.56995792718230176</v>
      </c>
      <c r="AY173" s="112" t="s">
        <v>147</v>
      </c>
      <c r="AZ173" s="113">
        <v>30</v>
      </c>
      <c r="BB173" s="125"/>
      <c r="BC173" s="126"/>
      <c r="BD173" s="118" t="e">
        <f t="shared" si="67"/>
        <v>#VALUE!</v>
      </c>
      <c r="BE173" s="118" t="e">
        <f>BD173^3+BB162*BD173+BC162</f>
        <v>#VALUE!</v>
      </c>
      <c r="BF173" s="118" t="e">
        <f>3*BD173^2+BB162</f>
        <v>#VALUE!</v>
      </c>
      <c r="BG173" s="118" t="e">
        <f t="shared" si="62"/>
        <v>#VALUE!</v>
      </c>
      <c r="BH173" s="112" t="s">
        <v>147</v>
      </c>
      <c r="BI173" s="113">
        <v>30</v>
      </c>
      <c r="BK173" s="125"/>
      <c r="BL173" s="126"/>
      <c r="BM173" s="118" t="e">
        <f t="shared" si="68"/>
        <v>#VALUE!</v>
      </c>
      <c r="BN173" s="118" t="e">
        <f>BM173^3+BK162*BM173+BL162</f>
        <v>#VALUE!</v>
      </c>
      <c r="BO173" s="118" t="e">
        <f>3*BM173^2+BK162</f>
        <v>#VALUE!</v>
      </c>
      <c r="BP173" s="118" t="e">
        <f t="shared" si="63"/>
        <v>#VALUE!</v>
      </c>
      <c r="BQ173" s="112" t="s">
        <v>147</v>
      </c>
      <c r="BR173" s="113">
        <v>30</v>
      </c>
      <c r="BT173" s="125"/>
      <c r="BU173" s="126"/>
      <c r="BV173" s="118" t="e">
        <f t="shared" si="69"/>
        <v>#VALUE!</v>
      </c>
      <c r="BW173" s="118" t="e">
        <f>BV173^3+BT162*BV173+BU162</f>
        <v>#VALUE!</v>
      </c>
      <c r="BX173" s="118" t="e">
        <f>3*BV173^2+BT162</f>
        <v>#VALUE!</v>
      </c>
      <c r="BY173" s="118" t="e">
        <f t="shared" si="64"/>
        <v>#VALUE!</v>
      </c>
      <c r="BZ173" s="112" t="s">
        <v>147</v>
      </c>
      <c r="CA173" s="113">
        <v>30</v>
      </c>
    </row>
    <row r="174" spans="36:79" ht="13.5" customHeight="1" x14ac:dyDescent="0.15">
      <c r="AJ174" s="125"/>
      <c r="AK174" s="126"/>
      <c r="AL174" s="118">
        <f t="shared" si="65"/>
        <v>0.60474497919021886</v>
      </c>
      <c r="AM174" s="118">
        <f>AL174^3+AJ162*AL174+AK162</f>
        <v>0</v>
      </c>
      <c r="AN174" s="118">
        <f>3*AL174^2+AJ162</f>
        <v>0.90940575908704413</v>
      </c>
      <c r="AO174" s="118">
        <f t="shared" si="60"/>
        <v>0.60474497919021886</v>
      </c>
      <c r="AP174" s="128" t="s">
        <v>155</v>
      </c>
      <c r="AQ174" s="32"/>
      <c r="AS174" s="125"/>
      <c r="AT174" s="126"/>
      <c r="AU174" s="118">
        <f t="shared" si="66"/>
        <v>0.56995792718230176</v>
      </c>
      <c r="AV174" s="118">
        <f>AU174^3+AS162*AU174+AT162</f>
        <v>0</v>
      </c>
      <c r="AW174" s="118">
        <f>3*AU174^2+AS162</f>
        <v>0.85445543591020856</v>
      </c>
      <c r="AX174" s="118">
        <f t="shared" si="61"/>
        <v>0.56995792718230176</v>
      </c>
      <c r="AY174" s="128" t="s">
        <v>154</v>
      </c>
      <c r="AZ174" s="32"/>
      <c r="BB174" s="125"/>
      <c r="BC174" s="126"/>
      <c r="BD174" s="118" t="e">
        <f t="shared" si="67"/>
        <v>#VALUE!</v>
      </c>
      <c r="BE174" s="118" t="e">
        <f>BD174^3+BB162*BD174+BC162</f>
        <v>#VALUE!</v>
      </c>
      <c r="BF174" s="118" t="e">
        <f>3*BD174^2+BB162</f>
        <v>#VALUE!</v>
      </c>
      <c r="BG174" s="118" t="e">
        <f t="shared" si="62"/>
        <v>#VALUE!</v>
      </c>
      <c r="BH174" s="128" t="s">
        <v>153</v>
      </c>
      <c r="BI174" s="32"/>
      <c r="BK174" s="125"/>
      <c r="BL174" s="126"/>
      <c r="BM174" s="118" t="e">
        <f t="shared" si="68"/>
        <v>#VALUE!</v>
      </c>
      <c r="BN174" s="118" t="e">
        <f>BM174^3+BK162*BM174+BL162</f>
        <v>#VALUE!</v>
      </c>
      <c r="BO174" s="118" t="e">
        <f>3*BM174^2+BK162</f>
        <v>#VALUE!</v>
      </c>
      <c r="BP174" s="118" t="e">
        <f t="shared" si="63"/>
        <v>#VALUE!</v>
      </c>
      <c r="BQ174" s="128" t="s">
        <v>152</v>
      </c>
      <c r="BR174" s="32"/>
      <c r="BT174" s="125"/>
      <c r="BU174" s="126"/>
      <c r="BV174" s="118" t="e">
        <f t="shared" si="69"/>
        <v>#VALUE!</v>
      </c>
      <c r="BW174" s="118" t="e">
        <f>BV174^3+BT162*BV174+BU162</f>
        <v>#VALUE!</v>
      </c>
      <c r="BX174" s="118" t="e">
        <f>3*BV174^2+BT162</f>
        <v>#VALUE!</v>
      </c>
      <c r="BY174" s="118" t="e">
        <f t="shared" si="64"/>
        <v>#VALUE!</v>
      </c>
      <c r="BZ174" s="128" t="s">
        <v>151</v>
      </c>
      <c r="CA174" s="32"/>
    </row>
    <row r="175" spans="36:79" ht="13.5" customHeight="1" x14ac:dyDescent="0.15">
      <c r="AJ175" s="125"/>
      <c r="AK175" s="126"/>
      <c r="AL175" s="18">
        <f t="shared" si="65"/>
        <v>0.60474497919021886</v>
      </c>
      <c r="AM175" s="18">
        <f>AL175^3+AJ162*AL175+AK162</f>
        <v>0</v>
      </c>
      <c r="AN175" s="18">
        <f>3*AL175^2+AJ162</f>
        <v>0.90940575908704413</v>
      </c>
      <c r="AO175" s="18">
        <f t="shared" si="60"/>
        <v>0.60474497919021886</v>
      </c>
      <c r="AP175" s="273" t="str">
        <f>M56</f>
        <v>無 風 時　30[℃]</v>
      </c>
      <c r="AQ175" s="274"/>
      <c r="AS175" s="125"/>
      <c r="AT175" s="126"/>
      <c r="AU175" s="18">
        <f t="shared" si="66"/>
        <v>0.56995792718230176</v>
      </c>
      <c r="AV175" s="18">
        <f>AU175^3+AS162*AU175+AT162</f>
        <v>0</v>
      </c>
      <c r="AW175" s="18">
        <f>3*AU175^2+AS162</f>
        <v>0.85445543591020856</v>
      </c>
      <c r="AX175" s="18">
        <f t="shared" si="61"/>
        <v>0.56995792718230176</v>
      </c>
      <c r="AY175" s="273" t="str">
        <f>M56</f>
        <v>無 風 時　30[℃]</v>
      </c>
      <c r="AZ175" s="274"/>
      <c r="BB175" s="125"/>
      <c r="BC175" s="126"/>
      <c r="BD175" s="18" t="e">
        <f t="shared" si="67"/>
        <v>#VALUE!</v>
      </c>
      <c r="BE175" s="18" t="e">
        <f>BD175^3+BB162*BD175+BC162</f>
        <v>#VALUE!</v>
      </c>
      <c r="BF175" s="18" t="e">
        <f>3*BD175^2+BB162</f>
        <v>#VALUE!</v>
      </c>
      <c r="BG175" s="18" t="e">
        <f t="shared" si="62"/>
        <v>#VALUE!</v>
      </c>
      <c r="BH175" s="273" t="str">
        <f>M56</f>
        <v>無 風 時　30[℃]</v>
      </c>
      <c r="BI175" s="274"/>
      <c r="BK175" s="125"/>
      <c r="BL175" s="126"/>
      <c r="BM175" s="18" t="e">
        <f t="shared" si="68"/>
        <v>#VALUE!</v>
      </c>
      <c r="BN175" s="18" t="e">
        <f>BM175^3+BK162*BM175+BL162</f>
        <v>#VALUE!</v>
      </c>
      <c r="BO175" s="18" t="e">
        <f>3*BM175^2+BK162</f>
        <v>#VALUE!</v>
      </c>
      <c r="BP175" s="18" t="e">
        <f t="shared" si="63"/>
        <v>#VALUE!</v>
      </c>
      <c r="BQ175" s="273" t="str">
        <f>M56</f>
        <v>無 風 時　30[℃]</v>
      </c>
      <c r="BR175" s="274"/>
      <c r="BT175" s="125"/>
      <c r="BU175" s="126"/>
      <c r="BV175" s="18" t="e">
        <f t="shared" si="69"/>
        <v>#VALUE!</v>
      </c>
      <c r="BW175" s="18" t="e">
        <f>BV175^3+BT162*BV175+BU162</f>
        <v>#VALUE!</v>
      </c>
      <c r="BX175" s="18" t="e">
        <f>3*BV175^2+BT162</f>
        <v>#VALUE!</v>
      </c>
      <c r="BY175" s="18" t="e">
        <f t="shared" si="64"/>
        <v>#VALUE!</v>
      </c>
      <c r="BZ175" s="273" t="str">
        <f>M56</f>
        <v>無 風 時　30[℃]</v>
      </c>
      <c r="CA175" s="274"/>
    </row>
    <row r="176" spans="36:79" ht="13.5" customHeight="1" thickBot="1" x14ac:dyDescent="0.2">
      <c r="AJ176" s="125"/>
      <c r="AK176" s="126"/>
      <c r="AL176" s="114">
        <f>AO175</f>
        <v>0.60474497919021886</v>
      </c>
      <c r="AM176" s="115">
        <f>AL176^3+AJ162*AL176+AK162</f>
        <v>0</v>
      </c>
      <c r="AN176" s="115">
        <f>3*AL176^2+AJ162</f>
        <v>0.90940575908704413</v>
      </c>
      <c r="AO176" s="115">
        <f t="shared" si="60"/>
        <v>0.60474497919021886</v>
      </c>
      <c r="AP176" s="275"/>
      <c r="AQ176" s="276"/>
      <c r="AS176" s="125"/>
      <c r="AT176" s="126"/>
      <c r="AU176" s="114">
        <f>AX175</f>
        <v>0.56995792718230176</v>
      </c>
      <c r="AV176" s="115">
        <f>AU176^3+AS162*AU176+AT162</f>
        <v>0</v>
      </c>
      <c r="AW176" s="115">
        <f>3*AU176^2+AS162</f>
        <v>0.85445543591020856</v>
      </c>
      <c r="AX176" s="115">
        <f t="shared" si="61"/>
        <v>0.56995792718230176</v>
      </c>
      <c r="AY176" s="275"/>
      <c r="AZ176" s="276"/>
      <c r="BB176" s="125"/>
      <c r="BC176" s="126"/>
      <c r="BD176" s="114" t="e">
        <f>BG175</f>
        <v>#VALUE!</v>
      </c>
      <c r="BE176" s="115" t="e">
        <f>BD176^3+BB162*BD176+BC162</f>
        <v>#VALUE!</v>
      </c>
      <c r="BF176" s="115" t="e">
        <f>3*BD176^2+BB162</f>
        <v>#VALUE!</v>
      </c>
      <c r="BG176" s="115" t="e">
        <f t="shared" si="62"/>
        <v>#VALUE!</v>
      </c>
      <c r="BH176" s="275"/>
      <c r="BI176" s="276"/>
      <c r="BK176" s="125"/>
      <c r="BL176" s="126"/>
      <c r="BM176" s="114" t="e">
        <f>BP175</f>
        <v>#VALUE!</v>
      </c>
      <c r="BN176" s="115" t="e">
        <f>BM176^3+BK162*BM176+BL162</f>
        <v>#VALUE!</v>
      </c>
      <c r="BO176" s="115" t="e">
        <f>3*BM176^2+BK162</f>
        <v>#VALUE!</v>
      </c>
      <c r="BP176" s="115" t="e">
        <f t="shared" si="63"/>
        <v>#VALUE!</v>
      </c>
      <c r="BQ176" s="275"/>
      <c r="BR176" s="276"/>
      <c r="BT176" s="125"/>
      <c r="BU176" s="126"/>
      <c r="BV176" s="114" t="e">
        <f>BY175</f>
        <v>#VALUE!</v>
      </c>
      <c r="BW176" s="115" t="e">
        <f>BV176^3+BT162*BV176+BU162</f>
        <v>#VALUE!</v>
      </c>
      <c r="BX176" s="115" t="e">
        <f>3*BV176^2+BT162</f>
        <v>#VALUE!</v>
      </c>
      <c r="BY176" s="115" t="e">
        <f t="shared" si="64"/>
        <v>#VALUE!</v>
      </c>
      <c r="BZ176" s="275"/>
      <c r="CA176" s="276"/>
    </row>
    <row r="177" spans="36:79" ht="13.5" customHeight="1" x14ac:dyDescent="0.15">
      <c r="AJ177" s="62"/>
      <c r="AK177" s="12" t="s">
        <v>53</v>
      </c>
      <c r="AL177" s="12" t="s">
        <v>54</v>
      </c>
      <c r="AM177" s="12" t="s">
        <v>55</v>
      </c>
      <c r="AN177" s="12" t="s">
        <v>56</v>
      </c>
      <c r="AO177" s="63" t="s">
        <v>57</v>
      </c>
      <c r="AP177" s="12" t="s">
        <v>58</v>
      </c>
      <c r="AQ177" s="13" t="s">
        <v>59</v>
      </c>
      <c r="AS177" s="62"/>
      <c r="AT177" s="12" t="s">
        <v>53</v>
      </c>
      <c r="AU177" s="12" t="s">
        <v>54</v>
      </c>
      <c r="AV177" s="12" t="s">
        <v>55</v>
      </c>
      <c r="AW177" s="12" t="s">
        <v>56</v>
      </c>
      <c r="AX177" s="63" t="s">
        <v>57</v>
      </c>
      <c r="AY177" s="12" t="s">
        <v>58</v>
      </c>
      <c r="AZ177" s="13" t="s">
        <v>59</v>
      </c>
      <c r="BB177" s="62"/>
      <c r="BC177" s="12" t="s">
        <v>53</v>
      </c>
      <c r="BD177" s="12" t="s">
        <v>54</v>
      </c>
      <c r="BE177" s="12" t="s">
        <v>55</v>
      </c>
      <c r="BF177" s="12" t="s">
        <v>56</v>
      </c>
      <c r="BG177" s="63" t="s">
        <v>57</v>
      </c>
      <c r="BH177" s="12" t="s">
        <v>58</v>
      </c>
      <c r="BI177" s="13" t="s">
        <v>59</v>
      </c>
      <c r="BK177" s="62"/>
      <c r="BL177" s="12" t="s">
        <v>53</v>
      </c>
      <c r="BM177" s="12" t="s">
        <v>54</v>
      </c>
      <c r="BN177" s="12" t="s">
        <v>55</v>
      </c>
      <c r="BO177" s="12" t="s">
        <v>56</v>
      </c>
      <c r="BP177" s="63" t="s">
        <v>57</v>
      </c>
      <c r="BQ177" s="12" t="s">
        <v>58</v>
      </c>
      <c r="BR177" s="13" t="s">
        <v>59</v>
      </c>
      <c r="BT177" s="62"/>
      <c r="BU177" s="12" t="s">
        <v>53</v>
      </c>
      <c r="BV177" s="12" t="s">
        <v>54</v>
      </c>
      <c r="BW177" s="12" t="s">
        <v>55</v>
      </c>
      <c r="BX177" s="12" t="s">
        <v>56</v>
      </c>
      <c r="BY177" s="63" t="s">
        <v>57</v>
      </c>
      <c r="BZ177" s="12" t="s">
        <v>58</v>
      </c>
      <c r="CA177" s="13" t="s">
        <v>59</v>
      </c>
    </row>
    <row r="178" spans="36:79" ht="13.5" customHeight="1" thickBot="1" x14ac:dyDescent="0.2">
      <c r="AJ178" s="107"/>
      <c r="AK178" s="108">
        <f>M23+U23</f>
        <v>0.4</v>
      </c>
      <c r="AL178" s="108">
        <f>IF(C33="",L19*(F19/40)^2,C33)</f>
        <v>0.5</v>
      </c>
      <c r="AM178" s="108">
        <f>F19</f>
        <v>40</v>
      </c>
      <c r="AN178" s="108">
        <f>AK78*1600/(8*L19)</f>
        <v>160</v>
      </c>
      <c r="AO178" s="109">
        <f>V23</f>
        <v>12000</v>
      </c>
      <c r="AP178" s="108">
        <f>L23</f>
        <v>37.164999999999999</v>
      </c>
      <c r="AQ178" s="110">
        <f>W23</f>
        <v>170</v>
      </c>
      <c r="AS178" s="107"/>
      <c r="AT17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178" s="108">
        <f>IF(I33="",L19*(F19/40)^2,I33)</f>
        <v>0.5</v>
      </c>
      <c r="AV178" s="108">
        <f>F19</f>
        <v>40</v>
      </c>
      <c r="AW178" s="108">
        <f>AT178*1600/(8*L19)</f>
        <v>303.60000000000002</v>
      </c>
      <c r="AX178" s="109">
        <f>IF(B24="使用電線-2",V24,IF(B25="使用電線-2",V25,IF(B26="使用電線-2",V26,IF(B27="使用電線-2",V27,IF(B28="使用電線-2",V28,IF(B29="使用電線-2",V29,""))))))</f>
        <v>21000</v>
      </c>
      <c r="AY178" s="108">
        <f>IF(B24="使用電線-2",L24,IF(B25="使用電線-2",L25,IF(B26="使用電線-2",L26,IF(B27="使用電線-2",L27,IF(B28="使用電線-2",L28,IF(B29="使用電線-2",L29,""))))))</f>
        <v>37.164999999999999</v>
      </c>
      <c r="AZ178" s="110">
        <f>IF(B24="使用電線-2",W24,IF(B25="使用電線-2",W25,IF(B26="使用電線-2",W26,IF(B27="使用電線-2",W27,IF(B28="使用電線-2",W28,IF(B29="使用電線-2",W29,""))))))</f>
        <v>115</v>
      </c>
      <c r="BB178" s="107"/>
      <c r="BC178" s="108" t="str">
        <f>IF(B25="使用電線-3",M25+U25,IF(B26="使用電線-3",M26+U26,IF(B27="使用電線-3",M27+U27,IF(B28="使用電線-3",M28+U28,IF(B29="使用電線-3",M29+U29,"")))))</f>
        <v/>
      </c>
      <c r="BD178" s="108">
        <f>IF(N33="",L19*(F19/40)^2,N33)</f>
        <v>0.5</v>
      </c>
      <c r="BE178" s="108">
        <f>F19</f>
        <v>40</v>
      </c>
      <c r="BF178" s="108" t="e">
        <f>BC178*1600/(8*L19)</f>
        <v>#VALUE!</v>
      </c>
      <c r="BG178" s="109" t="str">
        <f>IF(B25="使用電線-3",V25,IF(B26="使用電線-3",V26,IF(B27="使用電線-3",V27,IF(B28="使用電線-3",V28,IF(B29="使用電線-3",V29,"")))))</f>
        <v/>
      </c>
      <c r="BH178" s="108" t="str">
        <f>IF(B25="使用電線-3",L25,IF(B26="使用電線-3",L26,IF(B27="使用電線-3",L27,IF(B28="使用電線-3",L28,IF(B29="使用電線-3",L29,"")))))</f>
        <v/>
      </c>
      <c r="BI178" s="110" t="str">
        <f>IF(B25="使用電線-3",W25,IF(B26="使用電線-3",W26,IF(B27="使用電線-3",W27,IF(B28="使用電線-3",W28,IF(B29="使用電線-3",W29,"")))))</f>
        <v/>
      </c>
      <c r="BK178" s="107"/>
      <c r="BL178" s="108" t="str">
        <f>IF(B26="使用電線-4",M26+U26,IF(B27="使用電線-4",M27+U27,IF(B28="使用電線-4",M28+U28,IF(B29="使用電線-4",M29+U29,""))))</f>
        <v/>
      </c>
      <c r="BM178" s="108">
        <f>IF(C47="",L19*(F19/40)^2,C47)</f>
        <v>0.5</v>
      </c>
      <c r="BN178" s="108">
        <f>F19</f>
        <v>40</v>
      </c>
      <c r="BO178" s="127" t="e">
        <f>BL178*1600/(8*L19)</f>
        <v>#VALUE!</v>
      </c>
      <c r="BP178" s="109" t="str">
        <f>IF(B26="使用電線-4",V26,IF(B27="使用電線-4",V27,IF(B28="使用電線-4",V28,IF(B29="使用電線-4",V29,""))))</f>
        <v/>
      </c>
      <c r="BQ178" s="108" t="str">
        <f>IF(B26="使用電線-4",L26,IF(B27="使用電線-4",L27,IF(B28="使用電線-4",L28,IF(B29="使用電線-4",L29,""))))</f>
        <v/>
      </c>
      <c r="BR178" s="110" t="str">
        <f>IF(B26="使用電線-4",W26,IF(B27="使用電線-4",W27,IF(B28="使用電線-4",W28,IF(B29="使用電線-4",W29,""))))</f>
        <v/>
      </c>
      <c r="BT178" s="107"/>
      <c r="BU178" s="108" t="str">
        <f>IF(B27="使用電線-5",M27+U27,IF(B28="使用電線-5",M28+U28,IF(B29="使用電線-5",M29+U29,"")))</f>
        <v/>
      </c>
      <c r="BV178" s="108">
        <f>IF(I47="",L19*(F19/40)^2,I47)</f>
        <v>0.5</v>
      </c>
      <c r="BW178" s="108">
        <f>F19</f>
        <v>40</v>
      </c>
      <c r="BX178" s="127" t="e">
        <f>BU178*1600/(8*L19)</f>
        <v>#VALUE!</v>
      </c>
      <c r="BY178" s="109" t="str">
        <f>IF(B27="使用電線-5",V27,IF(B28="使用電線-5",V28,IF(B29="使用電線-5",V29,"")))</f>
        <v/>
      </c>
      <c r="BZ178" s="108" t="str">
        <f>IF(B27="使用電線-5",L27,IF(B28="使用電線-5",L28,IF(B29="使用電線-5",L29,"")))</f>
        <v/>
      </c>
      <c r="CA178" s="110" t="str">
        <f>IF(B27="使用電線-5",W27,IF(B28="使用電線-5",W28,IF(B29="使用電線-5",W29,"")))</f>
        <v/>
      </c>
    </row>
    <row r="179" spans="36:79" ht="13.5" customHeight="1" x14ac:dyDescent="0.15"/>
    <row r="180" spans="36:79" ht="13.5" customHeight="1" thickBot="1" x14ac:dyDescent="0.2"/>
    <row r="181" spans="36:79" ht="13.5" customHeight="1" x14ac:dyDescent="0.15">
      <c r="AJ181" s="2" t="s">
        <v>144</v>
      </c>
      <c r="AK181" s="111" t="s">
        <v>145</v>
      </c>
      <c r="AL181" s="12" t="s">
        <v>7</v>
      </c>
      <c r="AM181" s="12" t="s">
        <v>0</v>
      </c>
      <c r="AN181" s="12" t="s">
        <v>1</v>
      </c>
      <c r="AO181" s="12" t="s">
        <v>2</v>
      </c>
      <c r="AP181" s="12" t="s">
        <v>5</v>
      </c>
      <c r="AQ181" s="13" t="s">
        <v>6</v>
      </c>
      <c r="AS181" s="2" t="s">
        <v>144</v>
      </c>
      <c r="AT181" s="111" t="s">
        <v>145</v>
      </c>
      <c r="AU181" s="12" t="s">
        <v>7</v>
      </c>
      <c r="AV181" s="12" t="s">
        <v>0</v>
      </c>
      <c r="AW181" s="12" t="s">
        <v>1</v>
      </c>
      <c r="AX181" s="12" t="s">
        <v>2</v>
      </c>
      <c r="AY181" s="12" t="s">
        <v>5</v>
      </c>
      <c r="AZ181" s="13" t="s">
        <v>6</v>
      </c>
      <c r="BB181" s="2" t="s">
        <v>144</v>
      </c>
      <c r="BC181" s="111" t="s">
        <v>145</v>
      </c>
      <c r="BD181" s="12" t="s">
        <v>7</v>
      </c>
      <c r="BE181" s="12" t="s">
        <v>0</v>
      </c>
      <c r="BF181" s="12" t="s">
        <v>1</v>
      </c>
      <c r="BG181" s="12" t="s">
        <v>2</v>
      </c>
      <c r="BH181" s="12" t="s">
        <v>5</v>
      </c>
      <c r="BI181" s="13" t="s">
        <v>6</v>
      </c>
      <c r="BK181" s="2" t="s">
        <v>144</v>
      </c>
      <c r="BL181" s="111" t="s">
        <v>145</v>
      </c>
      <c r="BM181" s="12" t="s">
        <v>7</v>
      </c>
      <c r="BN181" s="12" t="s">
        <v>0</v>
      </c>
      <c r="BO181" s="12" t="s">
        <v>1</v>
      </c>
      <c r="BP181" s="12" t="s">
        <v>2</v>
      </c>
      <c r="BQ181" s="12" t="s">
        <v>5</v>
      </c>
      <c r="BR181" s="13" t="s">
        <v>6</v>
      </c>
      <c r="BT181" s="2" t="s">
        <v>144</v>
      </c>
      <c r="BU181" s="111" t="s">
        <v>145</v>
      </c>
      <c r="BV181" s="12" t="s">
        <v>7</v>
      </c>
      <c r="BW181" s="12" t="s">
        <v>0</v>
      </c>
      <c r="BX181" s="12" t="s">
        <v>1</v>
      </c>
      <c r="BY181" s="12" t="s">
        <v>2</v>
      </c>
      <c r="BZ181" s="12" t="s">
        <v>5</v>
      </c>
      <c r="CA181" s="13" t="s">
        <v>6</v>
      </c>
    </row>
    <row r="182" spans="36:79" ht="13.5" customHeight="1" x14ac:dyDescent="0.15">
      <c r="AJ182" s="16">
        <f>-AJ185+AJ188</f>
        <v>-0.49374371048029064</v>
      </c>
      <c r="AK182" s="17">
        <f>-AJ191</f>
        <v>-0.1076281447598547</v>
      </c>
      <c r="AL182" s="18">
        <f>IF(AND(AP185&lt;0,AQ185&lt;0),AQ182*1.2,IF(AND(AP185&gt;0,AQ185&gt;0),AP182*0.8,10))</f>
        <v>10</v>
      </c>
      <c r="AM182" s="18">
        <f>AL182^3+AJ182*AL182+AK182</f>
        <v>994.95493475043725</v>
      </c>
      <c r="AN182" s="18">
        <f>3*AL182^2+AJ182</f>
        <v>299.50625628951968</v>
      </c>
      <c r="AO182" s="18">
        <f t="shared" ref="AO182:AO196" si="70">AL182-AM182/AN182</f>
        <v>6.6780161887881988</v>
      </c>
      <c r="AP182" s="18">
        <f>-SQRT(ABS(-4*3*AJ182))/6</f>
        <v>-0.40568613092730144</v>
      </c>
      <c r="AQ182" s="19">
        <f>SQRT(ABS(-4*3*AJ182))/6</f>
        <v>0.40568613092730144</v>
      </c>
      <c r="AS182" s="16">
        <f>-AS185+AS188</f>
        <v>-0.32710068036362938</v>
      </c>
      <c r="AT182" s="17">
        <f>-AS191</f>
        <v>-0.11669965981818531</v>
      </c>
      <c r="AU182" s="18">
        <f>IF(AND(AY185&lt;0,AZ185&lt;0),AZ182*1.2,IF(AND(AY185&gt;0,AZ185&gt;0),AY182*0.8,10))</f>
        <v>0.39624276217306748</v>
      </c>
      <c r="AV182" s="18">
        <f>AU182^3+AS182*AU182+AT182</f>
        <v>-0.18409752390809186</v>
      </c>
      <c r="AW182" s="18">
        <f>3*AU182^2+AS182</f>
        <v>0.14392429935999695</v>
      </c>
      <c r="AX182" s="18">
        <f t="shared" ref="AX182:AX196" si="71">AU182-AV182/AW182</f>
        <v>1.6753702251986813</v>
      </c>
      <c r="AY182" s="18">
        <f>-SQRT(ABS(-4*3*AS182))/6</f>
        <v>-0.33020230181088955</v>
      </c>
      <c r="AZ182" s="19">
        <f>SQRT(ABS(-4*3*AS182))/6</f>
        <v>0.33020230181088955</v>
      </c>
      <c r="BB182" s="16" t="e">
        <f>-BB185+BB188</f>
        <v>#VALUE!</v>
      </c>
      <c r="BC182" s="17" t="e">
        <f>-BB191</f>
        <v>#VALUE!</v>
      </c>
      <c r="BD182" s="18" t="e">
        <f>IF(AND(BH185&lt;0,BI185&lt;0),BI182*1.2,IF(AND(BH185&gt;0,BI185&gt;0),BH182*0.8,10))</f>
        <v>#VALUE!</v>
      </c>
      <c r="BE182" s="18" t="e">
        <f>BD182^3+BB182*BD182+BC182</f>
        <v>#VALUE!</v>
      </c>
      <c r="BF182" s="18" t="e">
        <f>3*BD182^2+BB182</f>
        <v>#VALUE!</v>
      </c>
      <c r="BG182" s="18" t="e">
        <f t="shared" ref="BG182:BG196" si="72">BD182-BE182/BF182</f>
        <v>#VALUE!</v>
      </c>
      <c r="BH182" s="18" t="e">
        <f>-SQRT(ABS(-4*3*BB182))/6</f>
        <v>#VALUE!</v>
      </c>
      <c r="BI182" s="19" t="e">
        <f>SQRT(ABS(-4*3*BB182))/6</f>
        <v>#VALUE!</v>
      </c>
      <c r="BK182" s="16" t="e">
        <f>-BK185+BK188</f>
        <v>#VALUE!</v>
      </c>
      <c r="BL182" s="17" t="e">
        <f>-BK191</f>
        <v>#VALUE!</v>
      </c>
      <c r="BM182" s="18" t="e">
        <f>IF(AND(BQ185&lt;0,BR185&lt;0),BR182*1.2,IF(AND(BQ185&gt;0,BR185&gt;0),BQ182*0.8,10))</f>
        <v>#VALUE!</v>
      </c>
      <c r="BN182" s="18" t="e">
        <f>BM182^3+BK182*BM182+BL182</f>
        <v>#VALUE!</v>
      </c>
      <c r="BO182" s="18" t="e">
        <f>3*BM182^2+BK182</f>
        <v>#VALUE!</v>
      </c>
      <c r="BP182" s="18" t="e">
        <f t="shared" ref="BP182:BP196" si="73">BM182-BN182/BO182</f>
        <v>#VALUE!</v>
      </c>
      <c r="BQ182" s="18" t="e">
        <f>-SQRT(ABS(-4*3*BK182))/6</f>
        <v>#VALUE!</v>
      </c>
      <c r="BR182" s="19" t="e">
        <f>SQRT(ABS(-4*3*BK182))/6</f>
        <v>#VALUE!</v>
      </c>
      <c r="BT182" s="16" t="e">
        <f>-BT185+BT188</f>
        <v>#VALUE!</v>
      </c>
      <c r="BU182" s="17" t="e">
        <f>-BT191</f>
        <v>#VALUE!</v>
      </c>
      <c r="BV182" s="18" t="e">
        <f>IF(AND(BZ185&lt;0,CA185&lt;0),CA182*1.2,IF(AND(BZ185&gt;0,CA185&gt;0),BZ182*0.8,10))</f>
        <v>#VALUE!</v>
      </c>
      <c r="BW182" s="18" t="e">
        <f>BV182^3+BT182*BV182+BU182</f>
        <v>#VALUE!</v>
      </c>
      <c r="BX182" s="18" t="e">
        <f>3*BV182^2+BT182</f>
        <v>#VALUE!</v>
      </c>
      <c r="BY182" s="18" t="e">
        <f t="shared" ref="BY182:BY196" si="74">BV182-BW182/BX182</f>
        <v>#VALUE!</v>
      </c>
      <c r="BZ182" s="18" t="e">
        <f>-SQRT(ABS(-4*3*BT182))/6</f>
        <v>#VALUE!</v>
      </c>
      <c r="CA182" s="19" t="e">
        <f>SQRT(ABS(-4*3*BT182))/6</f>
        <v>#VALUE!</v>
      </c>
    </row>
    <row r="183" spans="36:79" ht="13.5" customHeight="1" x14ac:dyDescent="0.15">
      <c r="AJ183" s="267"/>
      <c r="AK183" s="268"/>
      <c r="AL183" s="18">
        <f t="shared" ref="AL183:AL195" si="75">AO182</f>
        <v>6.6780161887881988</v>
      </c>
      <c r="AM183" s="18">
        <f>AL183^3+AJ182*AL183+AK182</f>
        <v>294.40728697103941</v>
      </c>
      <c r="AN183" s="18">
        <f>3*AL183^2+AJ182</f>
        <v>133.29395694267149</v>
      </c>
      <c r="AO183" s="18">
        <f t="shared" si="70"/>
        <v>4.469309254702198</v>
      </c>
      <c r="AP183" s="6"/>
      <c r="AQ183" s="7"/>
      <c r="AS183" s="267"/>
      <c r="AT183" s="268"/>
      <c r="AU183" s="18">
        <f t="shared" ref="AU183:AU195" si="76">AX182</f>
        <v>1.6753702251986813</v>
      </c>
      <c r="AV183" s="18">
        <f>AU183^3+AS182*AU183+AT182</f>
        <v>4.0378243026884109</v>
      </c>
      <c r="AW183" s="18">
        <f>3*AU183^2+AS182</f>
        <v>8.0934954940832107</v>
      </c>
      <c r="AX183" s="18">
        <f t="shared" si="71"/>
        <v>1.1764727703671709</v>
      </c>
      <c r="AY183" s="6"/>
      <c r="AZ183" s="7"/>
      <c r="BB183" s="267"/>
      <c r="BC183" s="268"/>
      <c r="BD183" s="18" t="e">
        <f t="shared" ref="BD183:BD195" si="77">BG182</f>
        <v>#VALUE!</v>
      </c>
      <c r="BE183" s="18" t="e">
        <f>BD183^3+BB182*BD183+BC182</f>
        <v>#VALUE!</v>
      </c>
      <c r="BF183" s="18" t="e">
        <f>3*BD183^2+BB182</f>
        <v>#VALUE!</v>
      </c>
      <c r="BG183" s="18" t="e">
        <f t="shared" si="72"/>
        <v>#VALUE!</v>
      </c>
      <c r="BH183" s="6"/>
      <c r="BI183" s="7"/>
      <c r="BK183" s="267"/>
      <c r="BL183" s="268"/>
      <c r="BM183" s="18" t="e">
        <f t="shared" ref="BM183:BM195" si="78">BP182</f>
        <v>#VALUE!</v>
      </c>
      <c r="BN183" s="18" t="e">
        <f>BM183^3+BK182*BM183+BL182</f>
        <v>#VALUE!</v>
      </c>
      <c r="BO183" s="18" t="e">
        <f>3*BM183^2+BK182</f>
        <v>#VALUE!</v>
      </c>
      <c r="BP183" s="18" t="e">
        <f t="shared" si="73"/>
        <v>#VALUE!</v>
      </c>
      <c r="BQ183" s="6"/>
      <c r="BR183" s="7"/>
      <c r="BT183" s="267"/>
      <c r="BU183" s="268"/>
      <c r="BV183" s="18" t="e">
        <f t="shared" ref="BV183:BV195" si="79">BY182</f>
        <v>#VALUE!</v>
      </c>
      <c r="BW183" s="18" t="e">
        <f>BV183^3+BT182*BV183+BU182</f>
        <v>#VALUE!</v>
      </c>
      <c r="BX183" s="18" t="e">
        <f>3*BV183^2+BT182</f>
        <v>#VALUE!</v>
      </c>
      <c r="BY183" s="18" t="e">
        <f t="shared" si="74"/>
        <v>#VALUE!</v>
      </c>
      <c r="BZ183" s="6"/>
      <c r="CA183" s="7"/>
    </row>
    <row r="184" spans="36:79" ht="13.5" customHeight="1" x14ac:dyDescent="0.15">
      <c r="AJ184" s="269" t="s">
        <v>8</v>
      </c>
      <c r="AK184" s="270"/>
      <c r="AL184" s="18">
        <f t="shared" si="75"/>
        <v>4.469309254702198</v>
      </c>
      <c r="AM184" s="18">
        <f>AL184^3+AJ182*AL184+AK182</f>
        <v>86.95890278034824</v>
      </c>
      <c r="AN184" s="18">
        <f>3*AL184^2+AJ182</f>
        <v>59.430431932019864</v>
      </c>
      <c r="AO184" s="18">
        <f t="shared" si="70"/>
        <v>3.0061042946605632</v>
      </c>
      <c r="AP184" s="14" t="s">
        <v>3</v>
      </c>
      <c r="AQ184" s="15" t="s">
        <v>4</v>
      </c>
      <c r="AS184" s="269" t="s">
        <v>8</v>
      </c>
      <c r="AT184" s="270"/>
      <c r="AU184" s="18">
        <f t="shared" si="76"/>
        <v>1.1764727703671709</v>
      </c>
      <c r="AV184" s="18">
        <f>AU184^3+AS182*AU184+AT182</f>
        <v>1.1268173514347257</v>
      </c>
      <c r="AW184" s="18">
        <f>3*AU184^2+AS182</f>
        <v>3.8251638578825888</v>
      </c>
      <c r="AX184" s="18">
        <f t="shared" si="71"/>
        <v>0.88189261816985476</v>
      </c>
      <c r="AY184" s="14" t="s">
        <v>3</v>
      </c>
      <c r="AZ184" s="15" t="s">
        <v>4</v>
      </c>
      <c r="BB184" s="269" t="s">
        <v>8</v>
      </c>
      <c r="BC184" s="270"/>
      <c r="BD184" s="18" t="e">
        <f t="shared" si="77"/>
        <v>#VALUE!</v>
      </c>
      <c r="BE184" s="18" t="e">
        <f>BD184^3+BB182*BD184+BC182</f>
        <v>#VALUE!</v>
      </c>
      <c r="BF184" s="18" t="e">
        <f>3*BD184^2+BB182</f>
        <v>#VALUE!</v>
      </c>
      <c r="BG184" s="18" t="e">
        <f t="shared" si="72"/>
        <v>#VALUE!</v>
      </c>
      <c r="BH184" s="14" t="s">
        <v>3</v>
      </c>
      <c r="BI184" s="15" t="s">
        <v>4</v>
      </c>
      <c r="BK184" s="269" t="s">
        <v>8</v>
      </c>
      <c r="BL184" s="270"/>
      <c r="BM184" s="18" t="e">
        <f t="shared" si="78"/>
        <v>#VALUE!</v>
      </c>
      <c r="BN184" s="18" t="e">
        <f>BM184^3+BK182*BM184+BL182</f>
        <v>#VALUE!</v>
      </c>
      <c r="BO184" s="18" t="e">
        <f>3*BM184^2+BK182</f>
        <v>#VALUE!</v>
      </c>
      <c r="BP184" s="18" t="e">
        <f t="shared" si="73"/>
        <v>#VALUE!</v>
      </c>
      <c r="BQ184" s="14" t="s">
        <v>3</v>
      </c>
      <c r="BR184" s="15" t="s">
        <v>4</v>
      </c>
      <c r="BT184" s="269" t="s">
        <v>8</v>
      </c>
      <c r="BU184" s="270"/>
      <c r="BV184" s="18" t="e">
        <f t="shared" si="79"/>
        <v>#VALUE!</v>
      </c>
      <c r="BW184" s="18" t="e">
        <f>BV184^3+BT182*BV184+BU182</f>
        <v>#VALUE!</v>
      </c>
      <c r="BX184" s="18" t="e">
        <f>3*BV184^2+BT182</f>
        <v>#VALUE!</v>
      </c>
      <c r="BY184" s="18" t="e">
        <f t="shared" si="74"/>
        <v>#VALUE!</v>
      </c>
      <c r="BZ184" s="14" t="s">
        <v>3</v>
      </c>
      <c r="CA184" s="15" t="s">
        <v>4</v>
      </c>
    </row>
    <row r="185" spans="36:79" ht="13.5" customHeight="1" x14ac:dyDescent="0.15">
      <c r="AJ185" s="269">
        <f>(AL198^2)+3*(AM198^2)*AQ198*(AQ193-15)/(8*10^7)</f>
        <v>0.70900000000000007</v>
      </c>
      <c r="AK185" s="270"/>
      <c r="AL185" s="18">
        <f t="shared" si="75"/>
        <v>3.0061042946605632</v>
      </c>
      <c r="AM185" s="18">
        <f>AL185^3+AJ182*AL185+AK182</f>
        <v>25.573278311719385</v>
      </c>
      <c r="AN185" s="18">
        <f>3*AL185^2+AJ182</f>
        <v>26.616245380649755</v>
      </c>
      <c r="AO185" s="18">
        <f t="shared" si="70"/>
        <v>2.0452896513483481</v>
      </c>
      <c r="AP185" s="18">
        <f>AP182^3+AJ182*AP182+AK182</f>
        <v>2.5908505623104497E-2</v>
      </c>
      <c r="AQ185" s="19">
        <f>AQ182^3+AJ182*AQ182+AK182</f>
        <v>-0.24116479514281391</v>
      </c>
      <c r="AS185" s="269">
        <f>(AU198^2)+3*(AV198^2)*AZ198*(AZ193-15)/(8*10^7)</f>
        <v>0.5605</v>
      </c>
      <c r="AT185" s="270"/>
      <c r="AU185" s="18">
        <f t="shared" si="76"/>
        <v>0.88189261816985476</v>
      </c>
      <c r="AV185" s="18">
        <f>AU185^3+AS182*AU185+AT182</f>
        <v>0.28071105857170164</v>
      </c>
      <c r="AW185" s="18">
        <f>3*AU185^2+AS182</f>
        <v>2.0061030895838146</v>
      </c>
      <c r="AX185" s="18">
        <f t="shared" si="71"/>
        <v>0.74196408706433825</v>
      </c>
      <c r="AY185" s="18">
        <f>AY182^3+AS182*AY182+AT182</f>
        <v>-4.4693394764866334E-2</v>
      </c>
      <c r="AZ185" s="19">
        <f>AZ182^3+AS182*AZ182+AT182</f>
        <v>-0.18870592487150428</v>
      </c>
      <c r="BB185" s="269" t="e">
        <f>(BD198^2)+3*(BE198^2)*BI198*(BI193-15)/(8*10^7)</f>
        <v>#VALUE!</v>
      </c>
      <c r="BC185" s="270"/>
      <c r="BD185" s="18" t="e">
        <f t="shared" si="77"/>
        <v>#VALUE!</v>
      </c>
      <c r="BE185" s="18" t="e">
        <f>BD185^3+BB182*BD185+BC182</f>
        <v>#VALUE!</v>
      </c>
      <c r="BF185" s="18" t="e">
        <f>3*BD185^2+BB182</f>
        <v>#VALUE!</v>
      </c>
      <c r="BG185" s="18" t="e">
        <f t="shared" si="72"/>
        <v>#VALUE!</v>
      </c>
      <c r="BH185" s="18" t="e">
        <f>BH182^3+BB182*BH182+BC182</f>
        <v>#VALUE!</v>
      </c>
      <c r="BI185" s="19" t="e">
        <f>BI182^3+BB182*BI182+BC182</f>
        <v>#VALUE!</v>
      </c>
      <c r="BK185" s="269" t="e">
        <f>(BM198^2)+3*(BN198^2)*BR198*(BR193-15)/(8*10^7)</f>
        <v>#VALUE!</v>
      </c>
      <c r="BL185" s="270"/>
      <c r="BM185" s="18" t="e">
        <f t="shared" si="78"/>
        <v>#VALUE!</v>
      </c>
      <c r="BN185" s="18" t="e">
        <f>BM185^3+BK182*BM185+BL182</f>
        <v>#VALUE!</v>
      </c>
      <c r="BO185" s="18" t="e">
        <f>3*BM185^2+BK182</f>
        <v>#VALUE!</v>
      </c>
      <c r="BP185" s="18" t="e">
        <f t="shared" si="73"/>
        <v>#VALUE!</v>
      </c>
      <c r="BQ185" s="18" t="e">
        <f>BQ182^3+BK182*BQ182+BL182</f>
        <v>#VALUE!</v>
      </c>
      <c r="BR185" s="19" t="e">
        <f>BR182^3+BK182*BR182+BL182</f>
        <v>#VALUE!</v>
      </c>
      <c r="BT185" s="269" t="e">
        <f>(BV198^2)+3*(BW198^2)*CA198*(CA193-15)/(8*10^7)</f>
        <v>#VALUE!</v>
      </c>
      <c r="BU185" s="270"/>
      <c r="BV185" s="18" t="e">
        <f t="shared" si="79"/>
        <v>#VALUE!</v>
      </c>
      <c r="BW185" s="18" t="e">
        <f>BV185^3+BT182*BV185+BU182</f>
        <v>#VALUE!</v>
      </c>
      <c r="BX185" s="18" t="e">
        <f>3*BV185^2+BT182</f>
        <v>#VALUE!</v>
      </c>
      <c r="BY185" s="18" t="e">
        <f t="shared" si="74"/>
        <v>#VALUE!</v>
      </c>
      <c r="BZ185" s="18" t="e">
        <f>BZ182^3+BT182*BZ182+BU182</f>
        <v>#VALUE!</v>
      </c>
      <c r="CA185" s="19" t="e">
        <f>CA182^3+BT182*CA182+BU182</f>
        <v>#VALUE!</v>
      </c>
    </row>
    <row r="186" spans="36:79" ht="13.5" customHeight="1" x14ac:dyDescent="0.15">
      <c r="AJ186" s="267"/>
      <c r="AK186" s="268"/>
      <c r="AL186" s="18">
        <f t="shared" si="75"/>
        <v>2.0452896513483481</v>
      </c>
      <c r="AM186" s="18">
        <f>AL186^3+AJ182*AL186+AK182</f>
        <v>7.4383985810546376</v>
      </c>
      <c r="AN186" s="18">
        <f>3*AL186^2+AJ182</f>
        <v>12.055885563257652</v>
      </c>
      <c r="AO186" s="18">
        <f t="shared" si="70"/>
        <v>1.4282965203149536</v>
      </c>
      <c r="AP186" s="31"/>
      <c r="AQ186" s="32"/>
      <c r="AS186" s="267"/>
      <c r="AT186" s="268"/>
      <c r="AU186" s="18">
        <f t="shared" si="76"/>
        <v>0.74196408706433825</v>
      </c>
      <c r="AV186" s="18">
        <f>AU186^3+AS182*AU186+AT182</f>
        <v>4.9062556260073997E-2</v>
      </c>
      <c r="AW186" s="18">
        <f>3*AU186^2+AS182</f>
        <v>1.3244314391160212</v>
      </c>
      <c r="AX186" s="18">
        <f t="shared" si="71"/>
        <v>0.70491984693906584</v>
      </c>
      <c r="AY186" s="31"/>
      <c r="AZ186" s="32"/>
      <c r="BB186" s="267"/>
      <c r="BC186" s="268"/>
      <c r="BD186" s="18" t="e">
        <f t="shared" si="77"/>
        <v>#VALUE!</v>
      </c>
      <c r="BE186" s="18" t="e">
        <f>BD186^3+BB182*BD186+BC182</f>
        <v>#VALUE!</v>
      </c>
      <c r="BF186" s="18" t="e">
        <f>3*BD186^2+BB182</f>
        <v>#VALUE!</v>
      </c>
      <c r="BG186" s="18" t="e">
        <f t="shared" si="72"/>
        <v>#VALUE!</v>
      </c>
      <c r="BH186" s="31"/>
      <c r="BI186" s="32"/>
      <c r="BK186" s="267"/>
      <c r="BL186" s="268"/>
      <c r="BM186" s="18" t="e">
        <f t="shared" si="78"/>
        <v>#VALUE!</v>
      </c>
      <c r="BN186" s="18" t="e">
        <f>BM186^3+BK182*BM186+BL182</f>
        <v>#VALUE!</v>
      </c>
      <c r="BO186" s="18" t="e">
        <f>3*BM186^2+BK182</f>
        <v>#VALUE!</v>
      </c>
      <c r="BP186" s="18" t="e">
        <f t="shared" si="73"/>
        <v>#VALUE!</v>
      </c>
      <c r="BQ186" s="31"/>
      <c r="BR186" s="32"/>
      <c r="BT186" s="267"/>
      <c r="BU186" s="268"/>
      <c r="BV186" s="18" t="e">
        <f t="shared" si="79"/>
        <v>#VALUE!</v>
      </c>
      <c r="BW186" s="18" t="e">
        <f>BV186^3+BT182*BV186+BU182</f>
        <v>#VALUE!</v>
      </c>
      <c r="BX186" s="18" t="e">
        <f>3*BV186^2+BT182</f>
        <v>#VALUE!</v>
      </c>
      <c r="BY186" s="18" t="e">
        <f t="shared" si="74"/>
        <v>#VALUE!</v>
      </c>
      <c r="BZ186" s="31"/>
      <c r="CA186" s="32"/>
    </row>
    <row r="187" spans="36:79" ht="13.5" customHeight="1" x14ac:dyDescent="0.15">
      <c r="AJ187" s="269" t="s">
        <v>9</v>
      </c>
      <c r="AK187" s="270"/>
      <c r="AL187" s="18">
        <f t="shared" si="75"/>
        <v>1.4282965203149536</v>
      </c>
      <c r="AM187" s="18">
        <f>AL187^3+AJ182*AL187+AK182</f>
        <v>2.1009285387732977</v>
      </c>
      <c r="AN187" s="18">
        <f>3*AL187^2+AJ182</f>
        <v>5.6263491393511229</v>
      </c>
      <c r="AO187" s="18">
        <f t="shared" si="70"/>
        <v>1.0548876744118012</v>
      </c>
      <c r="AP187" s="31"/>
      <c r="AQ187" s="32"/>
      <c r="AS187" s="269" t="s">
        <v>9</v>
      </c>
      <c r="AT187" s="270"/>
      <c r="AU187" s="18">
        <f t="shared" si="76"/>
        <v>0.70491984693906584</v>
      </c>
      <c r="AV187" s="18">
        <f>AU187^3+AS182*AU187+AT182</f>
        <v>3.003703008218811E-3</v>
      </c>
      <c r="AW187" s="18">
        <f>3*AU187^2+AS182</f>
        <v>1.1636352914621588</v>
      </c>
      <c r="AX187" s="18">
        <f t="shared" si="71"/>
        <v>0.70233853728795981</v>
      </c>
      <c r="AY187" s="31"/>
      <c r="AZ187" s="32"/>
      <c r="BB187" s="269" t="s">
        <v>9</v>
      </c>
      <c r="BC187" s="270"/>
      <c r="BD187" s="18" t="e">
        <f t="shared" si="77"/>
        <v>#VALUE!</v>
      </c>
      <c r="BE187" s="18" t="e">
        <f>BD187^3+BB182*BD187+BC182</f>
        <v>#VALUE!</v>
      </c>
      <c r="BF187" s="18" t="e">
        <f>3*BD187^2+BB182</f>
        <v>#VALUE!</v>
      </c>
      <c r="BG187" s="18" t="e">
        <f t="shared" si="72"/>
        <v>#VALUE!</v>
      </c>
      <c r="BH187" s="31"/>
      <c r="BI187" s="32"/>
      <c r="BK187" s="269" t="s">
        <v>9</v>
      </c>
      <c r="BL187" s="270"/>
      <c r="BM187" s="18" t="e">
        <f t="shared" si="78"/>
        <v>#VALUE!</v>
      </c>
      <c r="BN187" s="18" t="e">
        <f>BM187^3+BK182*BM187+BL182</f>
        <v>#VALUE!</v>
      </c>
      <c r="BO187" s="18" t="e">
        <f>3*BM187^2+BK182</f>
        <v>#VALUE!</v>
      </c>
      <c r="BP187" s="18" t="e">
        <f t="shared" si="73"/>
        <v>#VALUE!</v>
      </c>
      <c r="BQ187" s="31"/>
      <c r="BR187" s="32"/>
      <c r="BT187" s="269" t="s">
        <v>9</v>
      </c>
      <c r="BU187" s="270"/>
      <c r="BV187" s="18" t="e">
        <f t="shared" si="79"/>
        <v>#VALUE!</v>
      </c>
      <c r="BW187" s="18" t="e">
        <f>BV187^3+BT182*BV187+BU182</f>
        <v>#VALUE!</v>
      </c>
      <c r="BX187" s="18" t="e">
        <f>3*BV187^2+BT182</f>
        <v>#VALUE!</v>
      </c>
      <c r="BY187" s="18" t="e">
        <f t="shared" si="74"/>
        <v>#VALUE!</v>
      </c>
      <c r="BZ187" s="31"/>
      <c r="CA187" s="32"/>
    </row>
    <row r="188" spans="36:79" ht="13.5" customHeight="1" x14ac:dyDescent="0.15">
      <c r="AJ188" s="277">
        <f>3*(AM198^2)*AN198/(8*AO198*AP198)</f>
        <v>0.2152562895197094</v>
      </c>
      <c r="AK188" s="278"/>
      <c r="AL188" s="118">
        <f t="shared" si="75"/>
        <v>1.0548876744118012</v>
      </c>
      <c r="AM188" s="118">
        <f>AL188^3+AJ182*AL188+AK182</f>
        <v>0.54539405210423031</v>
      </c>
      <c r="AN188" s="118">
        <f>3*AL188^2+AJ182</f>
        <v>2.8446203063975242</v>
      </c>
      <c r="AO188" s="118">
        <f t="shared" si="70"/>
        <v>0.86315943184893817</v>
      </c>
      <c r="AP188" s="116"/>
      <c r="AQ188" s="117"/>
      <c r="AS188" s="277">
        <f>3*(AV198^2)*AW198/(8*AX198*AY198)</f>
        <v>0.23339931963637062</v>
      </c>
      <c r="AT188" s="278"/>
      <c r="AU188" s="118">
        <f t="shared" si="76"/>
        <v>0.70233853728795981</v>
      </c>
      <c r="AV188" s="118">
        <f>AU188^3+AS182*AU188+AT182</f>
        <v>1.4073780478074394E-5</v>
      </c>
      <c r="AW188" s="118">
        <f>3*AU188^2+AS182</f>
        <v>1.1527375825157433</v>
      </c>
      <c r="AX188" s="118">
        <f t="shared" si="71"/>
        <v>0.70232632828159836</v>
      </c>
      <c r="AY188" s="116"/>
      <c r="AZ188" s="117"/>
      <c r="BB188" s="277" t="e">
        <f>3*(BE198^2)*BF198/(8*BG198*BH198)</f>
        <v>#VALUE!</v>
      </c>
      <c r="BC188" s="278"/>
      <c r="BD188" s="118" t="e">
        <f t="shared" si="77"/>
        <v>#VALUE!</v>
      </c>
      <c r="BE188" s="118" t="e">
        <f>BD188^3+BB182*BD188+BC182</f>
        <v>#VALUE!</v>
      </c>
      <c r="BF188" s="118" t="e">
        <f>3*BD188^2+BB182</f>
        <v>#VALUE!</v>
      </c>
      <c r="BG188" s="118" t="e">
        <f t="shared" si="72"/>
        <v>#VALUE!</v>
      </c>
      <c r="BH188" s="116"/>
      <c r="BI188" s="117"/>
      <c r="BK188" s="277" t="e">
        <f>3*(BN198^2)*BO198/(8*BP198*BQ198)</f>
        <v>#VALUE!</v>
      </c>
      <c r="BL188" s="278"/>
      <c r="BM188" s="118" t="e">
        <f t="shared" si="78"/>
        <v>#VALUE!</v>
      </c>
      <c r="BN188" s="118" t="e">
        <f>BM188^3+BK182*BM188+BL182</f>
        <v>#VALUE!</v>
      </c>
      <c r="BO188" s="118" t="e">
        <f>3*BM188^2+BK182</f>
        <v>#VALUE!</v>
      </c>
      <c r="BP188" s="118" t="e">
        <f t="shared" si="73"/>
        <v>#VALUE!</v>
      </c>
      <c r="BQ188" s="116"/>
      <c r="BR188" s="117"/>
      <c r="BT188" s="277" t="e">
        <f>3*(BW198^2)*BX198/(8*BY198*BZ198)</f>
        <v>#VALUE!</v>
      </c>
      <c r="BU188" s="278"/>
      <c r="BV188" s="118" t="e">
        <f t="shared" si="79"/>
        <v>#VALUE!</v>
      </c>
      <c r="BW188" s="118" t="e">
        <f>BV188^3+BT182*BV188+BU182</f>
        <v>#VALUE!</v>
      </c>
      <c r="BX188" s="118" t="e">
        <f>3*BV188^2+BT182</f>
        <v>#VALUE!</v>
      </c>
      <c r="BY188" s="118" t="e">
        <f t="shared" si="74"/>
        <v>#VALUE!</v>
      </c>
      <c r="BZ188" s="116"/>
      <c r="CA188" s="117"/>
    </row>
    <row r="189" spans="36:79" ht="13.5" customHeight="1" x14ac:dyDescent="0.15">
      <c r="AJ189" s="121"/>
      <c r="AK189" s="122"/>
      <c r="AL189" s="118">
        <f t="shared" si="75"/>
        <v>0.86315943184893817</v>
      </c>
      <c r="AM189" s="118">
        <f>AL189^3+AJ182*AL189+AK182</f>
        <v>0.1092842471316829</v>
      </c>
      <c r="AN189" s="118">
        <f>3*AL189^2+AJ182</f>
        <v>1.7413889038890547</v>
      </c>
      <c r="AO189" s="118">
        <f t="shared" si="70"/>
        <v>0.80040248715518381</v>
      </c>
      <c r="AP189" s="119"/>
      <c r="AQ189" s="120"/>
      <c r="AS189" s="121"/>
      <c r="AT189" s="122"/>
      <c r="AU189" s="118">
        <f t="shared" si="76"/>
        <v>0.70232632828159836</v>
      </c>
      <c r="AV189" s="118">
        <f>AU189^3+AS182*AU189+AT182</f>
        <v>3.1406960365742975E-10</v>
      </c>
      <c r="AW189" s="118">
        <f>3*AU189^2+AS182</f>
        <v>1.1526861338289049</v>
      </c>
      <c r="AX189" s="118">
        <f t="shared" si="71"/>
        <v>0.70232632800913075</v>
      </c>
      <c r="AY189" s="119"/>
      <c r="AZ189" s="120"/>
      <c r="BB189" s="121"/>
      <c r="BC189" s="122"/>
      <c r="BD189" s="118" t="e">
        <f t="shared" si="77"/>
        <v>#VALUE!</v>
      </c>
      <c r="BE189" s="118" t="e">
        <f>BD189^3+BB182*BD189+BC182</f>
        <v>#VALUE!</v>
      </c>
      <c r="BF189" s="118" t="e">
        <f>3*BD189^2+BB182</f>
        <v>#VALUE!</v>
      </c>
      <c r="BG189" s="118" t="e">
        <f t="shared" si="72"/>
        <v>#VALUE!</v>
      </c>
      <c r="BH189" s="119"/>
      <c r="BI189" s="120"/>
      <c r="BK189" s="121"/>
      <c r="BL189" s="122"/>
      <c r="BM189" s="118" t="e">
        <f t="shared" si="78"/>
        <v>#VALUE!</v>
      </c>
      <c r="BN189" s="118" t="e">
        <f>BM189^3+BK182*BM189+BL182</f>
        <v>#VALUE!</v>
      </c>
      <c r="BO189" s="118" t="e">
        <f>3*BM189^2+BK182</f>
        <v>#VALUE!</v>
      </c>
      <c r="BP189" s="118" t="e">
        <f t="shared" si="73"/>
        <v>#VALUE!</v>
      </c>
      <c r="BQ189" s="119"/>
      <c r="BR189" s="120"/>
      <c r="BT189" s="121"/>
      <c r="BU189" s="122"/>
      <c r="BV189" s="118" t="e">
        <f t="shared" si="79"/>
        <v>#VALUE!</v>
      </c>
      <c r="BW189" s="118" t="e">
        <f>BV189^3+BT182*BV189+BU182</f>
        <v>#VALUE!</v>
      </c>
      <c r="BX189" s="118" t="e">
        <f>3*BV189^2+BT182</f>
        <v>#VALUE!</v>
      </c>
      <c r="BY189" s="118" t="e">
        <f t="shared" si="74"/>
        <v>#VALUE!</v>
      </c>
      <c r="BZ189" s="119"/>
      <c r="CA189" s="120"/>
    </row>
    <row r="190" spans="36:79" ht="13.5" customHeight="1" x14ac:dyDescent="0.15">
      <c r="AJ190" s="269" t="s">
        <v>10</v>
      </c>
      <c r="AK190" s="270"/>
      <c r="AL190" s="118">
        <f t="shared" si="75"/>
        <v>0.80040248715518381</v>
      </c>
      <c r="AM190" s="118">
        <f>AL190^3+AJ182*AL190+AK182</f>
        <v>9.9513255478300838E-3</v>
      </c>
      <c r="AN190" s="118">
        <f>3*AL190^2+AJ182</f>
        <v>1.4281887138523219</v>
      </c>
      <c r="AO190" s="118">
        <f t="shared" si="70"/>
        <v>0.79343469259742683</v>
      </c>
      <c r="AP190" s="14" t="s">
        <v>148</v>
      </c>
      <c r="AQ190" s="123">
        <f>AO196</f>
        <v>0.79335134642273253</v>
      </c>
      <c r="AS190" s="269" t="s">
        <v>10</v>
      </c>
      <c r="AT190" s="270"/>
      <c r="AU190" s="118">
        <f t="shared" si="76"/>
        <v>0.70232632800913075</v>
      </c>
      <c r="AV190" s="118">
        <f>AU190^3+AS182*AU190+AT182</f>
        <v>0</v>
      </c>
      <c r="AW190" s="118">
        <f>3*AU190^2+AS182</f>
        <v>1.1526861326807381</v>
      </c>
      <c r="AX190" s="118">
        <f t="shared" si="71"/>
        <v>0.70232632800913075</v>
      </c>
      <c r="AY190" s="14" t="s">
        <v>148</v>
      </c>
      <c r="AZ190" s="123">
        <f>AX196</f>
        <v>0.70232632800913075</v>
      </c>
      <c r="BB190" s="269" t="s">
        <v>10</v>
      </c>
      <c r="BC190" s="270"/>
      <c r="BD190" s="118" t="e">
        <f t="shared" si="77"/>
        <v>#VALUE!</v>
      </c>
      <c r="BE190" s="118" t="e">
        <f>BD190^3+BB182*BD190+BC182</f>
        <v>#VALUE!</v>
      </c>
      <c r="BF190" s="118" t="e">
        <f>3*BD190^2+BB182</f>
        <v>#VALUE!</v>
      </c>
      <c r="BG190" s="118" t="e">
        <f t="shared" si="72"/>
        <v>#VALUE!</v>
      </c>
      <c r="BH190" s="14" t="s">
        <v>148</v>
      </c>
      <c r="BI190" s="123" t="e">
        <f>BG196</f>
        <v>#VALUE!</v>
      </c>
      <c r="BK190" s="269" t="s">
        <v>10</v>
      </c>
      <c r="BL190" s="270"/>
      <c r="BM190" s="118" t="e">
        <f t="shared" si="78"/>
        <v>#VALUE!</v>
      </c>
      <c r="BN190" s="118" t="e">
        <f>BM190^3+BK182*BM190+BL182</f>
        <v>#VALUE!</v>
      </c>
      <c r="BO190" s="118" t="e">
        <f>3*BM190^2+BK182</f>
        <v>#VALUE!</v>
      </c>
      <c r="BP190" s="118" t="e">
        <f t="shared" si="73"/>
        <v>#VALUE!</v>
      </c>
      <c r="BQ190" s="14" t="s">
        <v>148</v>
      </c>
      <c r="BR190" s="123" t="e">
        <f>BP196</f>
        <v>#VALUE!</v>
      </c>
      <c r="BT190" s="269" t="s">
        <v>10</v>
      </c>
      <c r="BU190" s="270"/>
      <c r="BV190" s="118" t="e">
        <f t="shared" si="79"/>
        <v>#VALUE!</v>
      </c>
      <c r="BW190" s="118" t="e">
        <f>BV190^3+BT182*BV190+BU182</f>
        <v>#VALUE!</v>
      </c>
      <c r="BX190" s="118" t="e">
        <f>3*BV190^2+BT182</f>
        <v>#VALUE!</v>
      </c>
      <c r="BY190" s="118" t="e">
        <f t="shared" si="74"/>
        <v>#VALUE!</v>
      </c>
      <c r="BZ190" s="14" t="s">
        <v>148</v>
      </c>
      <c r="CA190" s="123" t="e">
        <f>BY196</f>
        <v>#VALUE!</v>
      </c>
    </row>
    <row r="191" spans="36:79" ht="13.5" customHeight="1" x14ac:dyDescent="0.15">
      <c r="AJ191" s="271">
        <f>AJ188*AL198*AK198/AK198</f>
        <v>0.1076281447598547</v>
      </c>
      <c r="AK191" s="272"/>
      <c r="AL191" s="118">
        <f t="shared" si="75"/>
        <v>0.79343469259742683</v>
      </c>
      <c r="AM191" s="118">
        <f>AL191^3+AJ182*AL191+AK182</f>
        <v>1.1624072129869101E-4</v>
      </c>
      <c r="AN191" s="118">
        <f>3*AL191^2+AJ182</f>
        <v>1.3948721237712289</v>
      </c>
      <c r="AO191" s="118">
        <f t="shared" si="70"/>
        <v>0.79335135827643943</v>
      </c>
      <c r="AP191" s="14" t="s">
        <v>149</v>
      </c>
      <c r="AQ191" s="124">
        <f>AK198*AM198^2/(8*AO196)</f>
        <v>100.83804654863783</v>
      </c>
      <c r="AS191" s="271">
        <f>AS188*AU198*AT198/AT198</f>
        <v>0.11669965981818531</v>
      </c>
      <c r="AT191" s="272"/>
      <c r="AU191" s="118">
        <f t="shared" si="76"/>
        <v>0.70232632800913075</v>
      </c>
      <c r="AV191" s="118">
        <f>AU191^3+AS182*AU191+AT182</f>
        <v>0</v>
      </c>
      <c r="AW191" s="118">
        <f>3*AU191^2+AS182</f>
        <v>1.1526861326807381</v>
      </c>
      <c r="AX191" s="118">
        <f t="shared" si="71"/>
        <v>0.70232632800913075</v>
      </c>
      <c r="AY191" s="14" t="s">
        <v>149</v>
      </c>
      <c r="AZ191" s="124">
        <f>AT198*AV198^2/(8*AX196)</f>
        <v>216.1388430792623</v>
      </c>
      <c r="BB191" s="271" t="e">
        <f>BB188*BD198*BC198/BC198</f>
        <v>#VALUE!</v>
      </c>
      <c r="BC191" s="272"/>
      <c r="BD191" s="118" t="e">
        <f t="shared" si="77"/>
        <v>#VALUE!</v>
      </c>
      <c r="BE191" s="118" t="e">
        <f>BD191^3+BB182*BD191+BC182</f>
        <v>#VALUE!</v>
      </c>
      <c r="BF191" s="118" t="e">
        <f>3*BD191^2+BB182</f>
        <v>#VALUE!</v>
      </c>
      <c r="BG191" s="118" t="e">
        <f t="shared" si="72"/>
        <v>#VALUE!</v>
      </c>
      <c r="BH191" s="14" t="s">
        <v>149</v>
      </c>
      <c r="BI191" s="124" t="e">
        <f>BC198*BE198^2/(8*BG196)</f>
        <v>#VALUE!</v>
      </c>
      <c r="BK191" s="271" t="e">
        <f>BK188*BM198*BL198/BL198</f>
        <v>#VALUE!</v>
      </c>
      <c r="BL191" s="272"/>
      <c r="BM191" s="118" t="e">
        <f t="shared" si="78"/>
        <v>#VALUE!</v>
      </c>
      <c r="BN191" s="118" t="e">
        <f>BM191^3+BK182*BM191+BL182</f>
        <v>#VALUE!</v>
      </c>
      <c r="BO191" s="118" t="e">
        <f>3*BM191^2+BK182</f>
        <v>#VALUE!</v>
      </c>
      <c r="BP191" s="118" t="e">
        <f t="shared" si="73"/>
        <v>#VALUE!</v>
      </c>
      <c r="BQ191" s="14" t="s">
        <v>149</v>
      </c>
      <c r="BR191" s="124" t="e">
        <f>BL198*BN198^2/(8*BP196)</f>
        <v>#VALUE!</v>
      </c>
      <c r="BT191" s="271" t="e">
        <f>BT188*BV198*BU198/BU198</f>
        <v>#VALUE!</v>
      </c>
      <c r="BU191" s="272"/>
      <c r="BV191" s="118" t="e">
        <f t="shared" si="79"/>
        <v>#VALUE!</v>
      </c>
      <c r="BW191" s="118" t="e">
        <f>BV191^3+BT182*BV191+BU182</f>
        <v>#VALUE!</v>
      </c>
      <c r="BX191" s="118" t="e">
        <f>3*BV191^2+BT182</f>
        <v>#VALUE!</v>
      </c>
      <c r="BY191" s="118" t="e">
        <f t="shared" si="74"/>
        <v>#VALUE!</v>
      </c>
      <c r="BZ191" s="14" t="s">
        <v>149</v>
      </c>
      <c r="CA191" s="124" t="e">
        <f>BU198*BW198^2/(8*BY196)</f>
        <v>#VALUE!</v>
      </c>
    </row>
    <row r="192" spans="36:79" ht="13.5" customHeight="1" x14ac:dyDescent="0.15">
      <c r="AJ192" s="125"/>
      <c r="AK192" s="126"/>
      <c r="AL192" s="118">
        <f t="shared" si="75"/>
        <v>0.79335135827643943</v>
      </c>
      <c r="AM192" s="118">
        <f>AL192^3+AJ182*AL192+AK182</f>
        <v>1.6529702509537891E-8</v>
      </c>
      <c r="AN192" s="118">
        <f>3*AL192^2+AJ182</f>
        <v>1.3944754225569234</v>
      </c>
      <c r="AO192" s="118">
        <f t="shared" si="70"/>
        <v>0.79335134642273286</v>
      </c>
      <c r="AP192" s="116"/>
      <c r="AQ192" s="117"/>
      <c r="AS192" s="125"/>
      <c r="AT192" s="126"/>
      <c r="AU192" s="118">
        <f t="shared" si="76"/>
        <v>0.70232632800913075</v>
      </c>
      <c r="AV192" s="118">
        <f>AU192^3+AS182*AU192+AT182</f>
        <v>0</v>
      </c>
      <c r="AW192" s="118">
        <f>3*AU192^2+AS182</f>
        <v>1.1526861326807381</v>
      </c>
      <c r="AX192" s="118">
        <f t="shared" si="71"/>
        <v>0.70232632800913075</v>
      </c>
      <c r="AY192" s="116"/>
      <c r="AZ192" s="117"/>
      <c r="BB192" s="125"/>
      <c r="BC192" s="126"/>
      <c r="BD192" s="118" t="e">
        <f t="shared" si="77"/>
        <v>#VALUE!</v>
      </c>
      <c r="BE192" s="118" t="e">
        <f>BD192^3+BB182*BD192+BC182</f>
        <v>#VALUE!</v>
      </c>
      <c r="BF192" s="118" t="e">
        <f>3*BD192^2+BB182</f>
        <v>#VALUE!</v>
      </c>
      <c r="BG192" s="118" t="e">
        <f t="shared" si="72"/>
        <v>#VALUE!</v>
      </c>
      <c r="BH192" s="116"/>
      <c r="BI192" s="117"/>
      <c r="BK192" s="125"/>
      <c r="BL192" s="126"/>
      <c r="BM192" s="118" t="e">
        <f t="shared" si="78"/>
        <v>#VALUE!</v>
      </c>
      <c r="BN192" s="118" t="e">
        <f>BM192^3+BK182*BM192+BL182</f>
        <v>#VALUE!</v>
      </c>
      <c r="BO192" s="118" t="e">
        <f>3*BM192^2+BK182</f>
        <v>#VALUE!</v>
      </c>
      <c r="BP192" s="118" t="e">
        <f t="shared" si="73"/>
        <v>#VALUE!</v>
      </c>
      <c r="BQ192" s="116"/>
      <c r="BR192" s="117"/>
      <c r="BT192" s="125"/>
      <c r="BU192" s="126"/>
      <c r="BV192" s="118" t="e">
        <f t="shared" si="79"/>
        <v>#VALUE!</v>
      </c>
      <c r="BW192" s="118" t="e">
        <f>BV192^3+BT182*BV192+BU182</f>
        <v>#VALUE!</v>
      </c>
      <c r="BX192" s="118" t="e">
        <f>3*BV192^2+BT182</f>
        <v>#VALUE!</v>
      </c>
      <c r="BY192" s="118" t="e">
        <f t="shared" si="74"/>
        <v>#VALUE!</v>
      </c>
      <c r="BZ192" s="116"/>
      <c r="CA192" s="117"/>
    </row>
    <row r="193" spans="36:79" ht="13.5" customHeight="1" x14ac:dyDescent="0.15">
      <c r="AJ193" s="125"/>
      <c r="AK193" s="126"/>
      <c r="AL193" s="118">
        <f t="shared" si="75"/>
        <v>0.79335134642273286</v>
      </c>
      <c r="AM193" s="118">
        <f>AL193^3+AJ182*AL193+AK182</f>
        <v>4.5796699765787707E-16</v>
      </c>
      <c r="AN193" s="118">
        <f>3*AL193^2+AJ182</f>
        <v>1.3944753661319986</v>
      </c>
      <c r="AO193" s="118">
        <f t="shared" si="70"/>
        <v>0.79335134642273253</v>
      </c>
      <c r="AP193" s="112" t="s">
        <v>147</v>
      </c>
      <c r="AQ193" s="113">
        <v>60</v>
      </c>
      <c r="AS193" s="125"/>
      <c r="AT193" s="126"/>
      <c r="AU193" s="118">
        <f t="shared" si="76"/>
        <v>0.70232632800913075</v>
      </c>
      <c r="AV193" s="118">
        <f>AU193^3+AS182*AU193+AT182</f>
        <v>0</v>
      </c>
      <c r="AW193" s="118">
        <f>3*AU193^2+AS182</f>
        <v>1.1526861326807381</v>
      </c>
      <c r="AX193" s="118">
        <f t="shared" si="71"/>
        <v>0.70232632800913075</v>
      </c>
      <c r="AY193" s="112" t="s">
        <v>147</v>
      </c>
      <c r="AZ193" s="113">
        <v>60</v>
      </c>
      <c r="BB193" s="125"/>
      <c r="BC193" s="126"/>
      <c r="BD193" s="118" t="e">
        <f t="shared" si="77"/>
        <v>#VALUE!</v>
      </c>
      <c r="BE193" s="118" t="e">
        <f>BD193^3+BB182*BD193+BC182</f>
        <v>#VALUE!</v>
      </c>
      <c r="BF193" s="118" t="e">
        <f>3*BD193^2+BB182</f>
        <v>#VALUE!</v>
      </c>
      <c r="BG193" s="118" t="e">
        <f t="shared" si="72"/>
        <v>#VALUE!</v>
      </c>
      <c r="BH193" s="112" t="s">
        <v>147</v>
      </c>
      <c r="BI193" s="113">
        <v>60</v>
      </c>
      <c r="BK193" s="125"/>
      <c r="BL193" s="126"/>
      <c r="BM193" s="118" t="e">
        <f t="shared" si="78"/>
        <v>#VALUE!</v>
      </c>
      <c r="BN193" s="118" t="e">
        <f>BM193^3+BK182*BM193+BL182</f>
        <v>#VALUE!</v>
      </c>
      <c r="BO193" s="118" t="e">
        <f>3*BM193^2+BK182</f>
        <v>#VALUE!</v>
      </c>
      <c r="BP193" s="118" t="e">
        <f t="shared" si="73"/>
        <v>#VALUE!</v>
      </c>
      <c r="BQ193" s="112" t="s">
        <v>147</v>
      </c>
      <c r="BR193" s="113">
        <v>60</v>
      </c>
      <c r="BT193" s="125"/>
      <c r="BU193" s="126"/>
      <c r="BV193" s="118" t="e">
        <f t="shared" si="79"/>
        <v>#VALUE!</v>
      </c>
      <c r="BW193" s="118" t="e">
        <f>BV193^3+BT182*BV193+BU182</f>
        <v>#VALUE!</v>
      </c>
      <c r="BX193" s="118" t="e">
        <f>3*BV193^2+BT182</f>
        <v>#VALUE!</v>
      </c>
      <c r="BY193" s="118" t="e">
        <f t="shared" si="74"/>
        <v>#VALUE!</v>
      </c>
      <c r="BZ193" s="112" t="s">
        <v>147</v>
      </c>
      <c r="CA193" s="113">
        <v>60</v>
      </c>
    </row>
    <row r="194" spans="36:79" ht="13.5" customHeight="1" x14ac:dyDescent="0.15">
      <c r="AJ194" s="125"/>
      <c r="AK194" s="126"/>
      <c r="AL194" s="118">
        <f t="shared" si="75"/>
        <v>0.79335134642273253</v>
      </c>
      <c r="AM194" s="118">
        <f>AL194^3+AJ182*AL194+AK182</f>
        <v>0</v>
      </c>
      <c r="AN194" s="118">
        <f>3*AL194^2+AJ182</f>
        <v>1.3944753661319971</v>
      </c>
      <c r="AO194" s="118">
        <f t="shared" si="70"/>
        <v>0.79335134642273253</v>
      </c>
      <c r="AP194" s="128" t="s">
        <v>155</v>
      </c>
      <c r="AQ194" s="32"/>
      <c r="AS194" s="125"/>
      <c r="AT194" s="126"/>
      <c r="AU194" s="118">
        <f t="shared" si="76"/>
        <v>0.70232632800913075</v>
      </c>
      <c r="AV194" s="118">
        <f>AU194^3+AS182*AU194+AT182</f>
        <v>0</v>
      </c>
      <c r="AW194" s="118">
        <f>3*AU194^2+AS182</f>
        <v>1.1526861326807381</v>
      </c>
      <c r="AX194" s="118">
        <f t="shared" si="71"/>
        <v>0.70232632800913075</v>
      </c>
      <c r="AY194" s="128" t="s">
        <v>154</v>
      </c>
      <c r="AZ194" s="32"/>
      <c r="BB194" s="125"/>
      <c r="BC194" s="126"/>
      <c r="BD194" s="118" t="e">
        <f t="shared" si="77"/>
        <v>#VALUE!</v>
      </c>
      <c r="BE194" s="118" t="e">
        <f>BD194^3+BB182*BD194+BC182</f>
        <v>#VALUE!</v>
      </c>
      <c r="BF194" s="118" t="e">
        <f>3*BD194^2+BB182</f>
        <v>#VALUE!</v>
      </c>
      <c r="BG194" s="118" t="e">
        <f t="shared" si="72"/>
        <v>#VALUE!</v>
      </c>
      <c r="BH194" s="128" t="s">
        <v>153</v>
      </c>
      <c r="BI194" s="32"/>
      <c r="BK194" s="125"/>
      <c r="BL194" s="126"/>
      <c r="BM194" s="118" t="e">
        <f t="shared" si="78"/>
        <v>#VALUE!</v>
      </c>
      <c r="BN194" s="118" t="e">
        <f>BM194^3+BK182*BM194+BL182</f>
        <v>#VALUE!</v>
      </c>
      <c r="BO194" s="118" t="e">
        <f>3*BM194^2+BK182</f>
        <v>#VALUE!</v>
      </c>
      <c r="BP194" s="118" t="e">
        <f t="shared" si="73"/>
        <v>#VALUE!</v>
      </c>
      <c r="BQ194" s="128" t="s">
        <v>152</v>
      </c>
      <c r="BR194" s="32"/>
      <c r="BT194" s="125"/>
      <c r="BU194" s="126"/>
      <c r="BV194" s="118" t="e">
        <f t="shared" si="79"/>
        <v>#VALUE!</v>
      </c>
      <c r="BW194" s="118" t="e">
        <f>BV194^3+BT182*BV194+BU182</f>
        <v>#VALUE!</v>
      </c>
      <c r="BX194" s="118" t="e">
        <f>3*BV194^2+BT182</f>
        <v>#VALUE!</v>
      </c>
      <c r="BY194" s="118" t="e">
        <f t="shared" si="74"/>
        <v>#VALUE!</v>
      </c>
      <c r="BZ194" s="128" t="s">
        <v>151</v>
      </c>
      <c r="CA194" s="32"/>
    </row>
    <row r="195" spans="36:79" ht="13.5" customHeight="1" x14ac:dyDescent="0.15">
      <c r="AJ195" s="125"/>
      <c r="AK195" s="126"/>
      <c r="AL195" s="18">
        <f t="shared" si="75"/>
        <v>0.79335134642273253</v>
      </c>
      <c r="AM195" s="18">
        <f>AL195^3+AJ182*AL195+AK182</f>
        <v>0</v>
      </c>
      <c r="AN195" s="18">
        <f>3*AL195^2+AJ182</f>
        <v>1.3944753661319971</v>
      </c>
      <c r="AO195" s="18">
        <f t="shared" si="70"/>
        <v>0.79335134642273253</v>
      </c>
      <c r="AP195" s="273" t="str">
        <f>M57</f>
        <v>無 風 時　60[℃]</v>
      </c>
      <c r="AQ195" s="274"/>
      <c r="AS195" s="125"/>
      <c r="AT195" s="126"/>
      <c r="AU195" s="18">
        <f t="shared" si="76"/>
        <v>0.70232632800913075</v>
      </c>
      <c r="AV195" s="18">
        <f>AU195^3+AS182*AU195+AT182</f>
        <v>0</v>
      </c>
      <c r="AW195" s="18">
        <f>3*AU195^2+AS182</f>
        <v>1.1526861326807381</v>
      </c>
      <c r="AX195" s="18">
        <f t="shared" si="71"/>
        <v>0.70232632800913075</v>
      </c>
      <c r="AY195" s="273" t="str">
        <f>M57</f>
        <v>無 風 時　60[℃]</v>
      </c>
      <c r="AZ195" s="274"/>
      <c r="BB195" s="125"/>
      <c r="BC195" s="126"/>
      <c r="BD195" s="18" t="e">
        <f t="shared" si="77"/>
        <v>#VALUE!</v>
      </c>
      <c r="BE195" s="18" t="e">
        <f>BD195^3+BB182*BD195+BC182</f>
        <v>#VALUE!</v>
      </c>
      <c r="BF195" s="18" t="e">
        <f>3*BD195^2+BB182</f>
        <v>#VALUE!</v>
      </c>
      <c r="BG195" s="18" t="e">
        <f t="shared" si="72"/>
        <v>#VALUE!</v>
      </c>
      <c r="BH195" s="273" t="str">
        <f>M57</f>
        <v>無 風 時　60[℃]</v>
      </c>
      <c r="BI195" s="274"/>
      <c r="BK195" s="125"/>
      <c r="BL195" s="126"/>
      <c r="BM195" s="18" t="e">
        <f t="shared" si="78"/>
        <v>#VALUE!</v>
      </c>
      <c r="BN195" s="18" t="e">
        <f>BM195^3+BK182*BM195+BL182</f>
        <v>#VALUE!</v>
      </c>
      <c r="BO195" s="18" t="e">
        <f>3*BM195^2+BK182</f>
        <v>#VALUE!</v>
      </c>
      <c r="BP195" s="18" t="e">
        <f t="shared" si="73"/>
        <v>#VALUE!</v>
      </c>
      <c r="BQ195" s="273" t="str">
        <f>M57</f>
        <v>無 風 時　60[℃]</v>
      </c>
      <c r="BR195" s="274"/>
      <c r="BT195" s="125"/>
      <c r="BU195" s="126"/>
      <c r="BV195" s="18" t="e">
        <f t="shared" si="79"/>
        <v>#VALUE!</v>
      </c>
      <c r="BW195" s="18" t="e">
        <f>BV195^3+BT182*BV195+BU182</f>
        <v>#VALUE!</v>
      </c>
      <c r="BX195" s="18" t="e">
        <f>3*BV195^2+BT182</f>
        <v>#VALUE!</v>
      </c>
      <c r="BY195" s="18" t="e">
        <f t="shared" si="74"/>
        <v>#VALUE!</v>
      </c>
      <c r="BZ195" s="273" t="str">
        <f>M57</f>
        <v>無 風 時　60[℃]</v>
      </c>
      <c r="CA195" s="274"/>
    </row>
    <row r="196" spans="36:79" ht="13.5" customHeight="1" thickBot="1" x14ac:dyDescent="0.2">
      <c r="AJ196" s="125"/>
      <c r="AK196" s="126"/>
      <c r="AL196" s="114">
        <f>AO195</f>
        <v>0.79335134642273253</v>
      </c>
      <c r="AM196" s="115">
        <f>AL196^3+AJ182*AL196+AK182</f>
        <v>0</v>
      </c>
      <c r="AN196" s="115">
        <f>3*AL196^2+AJ182</f>
        <v>1.3944753661319971</v>
      </c>
      <c r="AO196" s="115">
        <f t="shared" si="70"/>
        <v>0.79335134642273253</v>
      </c>
      <c r="AP196" s="275"/>
      <c r="AQ196" s="276"/>
      <c r="AS196" s="125"/>
      <c r="AT196" s="126"/>
      <c r="AU196" s="114">
        <f>AX195</f>
        <v>0.70232632800913075</v>
      </c>
      <c r="AV196" s="115">
        <f>AU196^3+AS182*AU196+AT182</f>
        <v>0</v>
      </c>
      <c r="AW196" s="115">
        <f>3*AU196^2+AS182</f>
        <v>1.1526861326807381</v>
      </c>
      <c r="AX196" s="115">
        <f t="shared" si="71"/>
        <v>0.70232632800913075</v>
      </c>
      <c r="AY196" s="275"/>
      <c r="AZ196" s="276"/>
      <c r="BB196" s="125"/>
      <c r="BC196" s="126"/>
      <c r="BD196" s="114" t="e">
        <f>BG195</f>
        <v>#VALUE!</v>
      </c>
      <c r="BE196" s="115" t="e">
        <f>BD196^3+BB182*BD196+BC182</f>
        <v>#VALUE!</v>
      </c>
      <c r="BF196" s="115" t="e">
        <f>3*BD196^2+BB182</f>
        <v>#VALUE!</v>
      </c>
      <c r="BG196" s="115" t="e">
        <f t="shared" si="72"/>
        <v>#VALUE!</v>
      </c>
      <c r="BH196" s="275"/>
      <c r="BI196" s="276"/>
      <c r="BK196" s="125"/>
      <c r="BL196" s="126"/>
      <c r="BM196" s="114" t="e">
        <f>BP195</f>
        <v>#VALUE!</v>
      </c>
      <c r="BN196" s="115" t="e">
        <f>BM196^3+BK182*BM196+BL182</f>
        <v>#VALUE!</v>
      </c>
      <c r="BO196" s="115" t="e">
        <f>3*BM196^2+BK182</f>
        <v>#VALUE!</v>
      </c>
      <c r="BP196" s="115" t="e">
        <f t="shared" si="73"/>
        <v>#VALUE!</v>
      </c>
      <c r="BQ196" s="275"/>
      <c r="BR196" s="276"/>
      <c r="BT196" s="125"/>
      <c r="BU196" s="126"/>
      <c r="BV196" s="114" t="e">
        <f>BY195</f>
        <v>#VALUE!</v>
      </c>
      <c r="BW196" s="115" t="e">
        <f>BV196^3+BT182*BV196+BU182</f>
        <v>#VALUE!</v>
      </c>
      <c r="BX196" s="115" t="e">
        <f>3*BV196^2+BT182</f>
        <v>#VALUE!</v>
      </c>
      <c r="BY196" s="115" t="e">
        <f t="shared" si="74"/>
        <v>#VALUE!</v>
      </c>
      <c r="BZ196" s="275"/>
      <c r="CA196" s="276"/>
    </row>
    <row r="197" spans="36:79" ht="13.5" customHeight="1" x14ac:dyDescent="0.15">
      <c r="AJ197" s="62"/>
      <c r="AK197" s="12" t="s">
        <v>53</v>
      </c>
      <c r="AL197" s="12" t="s">
        <v>54</v>
      </c>
      <c r="AM197" s="12" t="s">
        <v>55</v>
      </c>
      <c r="AN197" s="12" t="s">
        <v>56</v>
      </c>
      <c r="AO197" s="63" t="s">
        <v>57</v>
      </c>
      <c r="AP197" s="12" t="s">
        <v>58</v>
      </c>
      <c r="AQ197" s="13" t="s">
        <v>59</v>
      </c>
      <c r="AS197" s="62"/>
      <c r="AT197" s="12" t="s">
        <v>53</v>
      </c>
      <c r="AU197" s="12" t="s">
        <v>54</v>
      </c>
      <c r="AV197" s="12" t="s">
        <v>55</v>
      </c>
      <c r="AW197" s="12" t="s">
        <v>56</v>
      </c>
      <c r="AX197" s="63" t="s">
        <v>57</v>
      </c>
      <c r="AY197" s="12" t="s">
        <v>58</v>
      </c>
      <c r="AZ197" s="13" t="s">
        <v>59</v>
      </c>
      <c r="BB197" s="62"/>
      <c r="BC197" s="12" t="s">
        <v>53</v>
      </c>
      <c r="BD197" s="12" t="s">
        <v>54</v>
      </c>
      <c r="BE197" s="12" t="s">
        <v>55</v>
      </c>
      <c r="BF197" s="12" t="s">
        <v>56</v>
      </c>
      <c r="BG197" s="63" t="s">
        <v>57</v>
      </c>
      <c r="BH197" s="12" t="s">
        <v>58</v>
      </c>
      <c r="BI197" s="13" t="s">
        <v>59</v>
      </c>
      <c r="BK197" s="62"/>
      <c r="BL197" s="12" t="s">
        <v>53</v>
      </c>
      <c r="BM197" s="12" t="s">
        <v>54</v>
      </c>
      <c r="BN197" s="12" t="s">
        <v>55</v>
      </c>
      <c r="BO197" s="12" t="s">
        <v>56</v>
      </c>
      <c r="BP197" s="63" t="s">
        <v>57</v>
      </c>
      <c r="BQ197" s="12" t="s">
        <v>58</v>
      </c>
      <c r="BR197" s="13" t="s">
        <v>59</v>
      </c>
      <c r="BT197" s="62"/>
      <c r="BU197" s="12" t="s">
        <v>53</v>
      </c>
      <c r="BV197" s="12" t="s">
        <v>54</v>
      </c>
      <c r="BW197" s="12" t="s">
        <v>55</v>
      </c>
      <c r="BX197" s="12" t="s">
        <v>56</v>
      </c>
      <c r="BY197" s="63" t="s">
        <v>57</v>
      </c>
      <c r="BZ197" s="12" t="s">
        <v>58</v>
      </c>
      <c r="CA197" s="13" t="s">
        <v>59</v>
      </c>
    </row>
    <row r="198" spans="36:79" ht="13.5" customHeight="1" thickBot="1" x14ac:dyDescent="0.2">
      <c r="AJ198" s="107"/>
      <c r="AK198" s="108">
        <f>M23+U23</f>
        <v>0.4</v>
      </c>
      <c r="AL198" s="108">
        <f>IF(C33="",L19*(F19/40)^2,C33)</f>
        <v>0.5</v>
      </c>
      <c r="AM198" s="108">
        <f>F19</f>
        <v>40</v>
      </c>
      <c r="AN198" s="108">
        <f>AK78*1600/(8*L19)</f>
        <v>160</v>
      </c>
      <c r="AO198" s="109">
        <f>V23</f>
        <v>12000</v>
      </c>
      <c r="AP198" s="108">
        <f>L23</f>
        <v>37.164999999999999</v>
      </c>
      <c r="AQ198" s="110">
        <f>W23</f>
        <v>170</v>
      </c>
      <c r="AS198" s="107"/>
      <c r="AT19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198" s="108">
        <f>IF(I33="",L19*(F19/40)^2,I33)</f>
        <v>0.5</v>
      </c>
      <c r="AV198" s="108">
        <f>F19</f>
        <v>40</v>
      </c>
      <c r="AW198" s="108">
        <f>AT198*1600/(8*L19)</f>
        <v>303.60000000000002</v>
      </c>
      <c r="AX198" s="109">
        <f>IF(B24="使用電線-2",V24,IF(B25="使用電線-2",V25,IF(B26="使用電線-2",V26,IF(B27="使用電線-2",V27,IF(B28="使用電線-2",V28,IF(B29="使用電線-2",V29,""))))))</f>
        <v>21000</v>
      </c>
      <c r="AY198" s="108">
        <f>IF(B24="使用電線-2",L24,IF(B25="使用電線-2",L25,IF(B26="使用電線-2",L26,IF(B27="使用電線-2",L27,IF(B28="使用電線-2",L28,IF(B29="使用電線-2",L29,""))))))</f>
        <v>37.164999999999999</v>
      </c>
      <c r="AZ198" s="110">
        <f>IF(B24="使用電線-2",W24,IF(B25="使用電線-2",W25,IF(B26="使用電線-2",W26,IF(B27="使用電線-2",W27,IF(B28="使用電線-2",W28,IF(B29="使用電線-2",W29,""))))))</f>
        <v>115</v>
      </c>
      <c r="BB198" s="107"/>
      <c r="BC198" s="108" t="str">
        <f>IF(B25="使用電線-3",M25+U25,IF(B26="使用電線-3",M26+U26,IF(B27="使用電線-3",M27+U27,IF(B28="使用電線-3",M28+U28,IF(B29="使用電線-3",M29+U29,"")))))</f>
        <v/>
      </c>
      <c r="BD198" s="108">
        <f>IF(N33="",L19*(F19/40)^2,N33)</f>
        <v>0.5</v>
      </c>
      <c r="BE198" s="108">
        <f>F19</f>
        <v>40</v>
      </c>
      <c r="BF198" s="108" t="e">
        <f>BC198*1600/(8*L19)</f>
        <v>#VALUE!</v>
      </c>
      <c r="BG198" s="109" t="str">
        <f>IF(B25="使用電線-3",V25,IF(B26="使用電線-3",V26,IF(B27="使用電線-3",V27,IF(B28="使用電線-3",V28,IF(B29="使用電線-3",V29,"")))))</f>
        <v/>
      </c>
      <c r="BH198" s="108" t="str">
        <f>IF(B25="使用電線-3",L25,IF(B26="使用電線-3",L26,IF(B27="使用電線-3",L27,IF(B28="使用電線-3",L28,IF(B29="使用電線-3",L29,"")))))</f>
        <v/>
      </c>
      <c r="BI198" s="110" t="str">
        <f>IF(B25="使用電線-3",W25,IF(B26="使用電線-3",W26,IF(B27="使用電線-3",W27,IF(B28="使用電線-3",W28,IF(B29="使用電線-3",W29,"")))))</f>
        <v/>
      </c>
      <c r="BK198" s="107"/>
      <c r="BL198" s="108" t="str">
        <f>IF(B26="使用電線-4",M26+U26,IF(B27="使用電線-4",M27+U27,IF(B28="使用電線-4",M28+U28,IF(B29="使用電線-4",M29+U29,""))))</f>
        <v/>
      </c>
      <c r="BM198" s="108">
        <f>IF(C47="",L19*(F19/40)^2,C47)</f>
        <v>0.5</v>
      </c>
      <c r="BN198" s="108">
        <f>F19</f>
        <v>40</v>
      </c>
      <c r="BO198" s="127" t="e">
        <f>BL198*1600/(8*L19)</f>
        <v>#VALUE!</v>
      </c>
      <c r="BP198" s="109" t="str">
        <f>IF(B26="使用電線-4",V26,IF(B27="使用電線-4",V27,IF(B28="使用電線-4",V28,IF(B29="使用電線-4",V29,""))))</f>
        <v/>
      </c>
      <c r="BQ198" s="108" t="str">
        <f>IF(B26="使用電線-4",L26,IF(B27="使用電線-4",L27,IF(B28="使用電線-4",L28,IF(B29="使用電線-4",L29,""))))</f>
        <v/>
      </c>
      <c r="BR198" s="110" t="str">
        <f>IF(B26="使用電線-4",W26,IF(B27="使用電線-4",W27,IF(B28="使用電線-4",W28,IF(B29="使用電線-4",W29,""))))</f>
        <v/>
      </c>
      <c r="BT198" s="107"/>
      <c r="BU198" s="108" t="str">
        <f>IF(B27="使用電線-5",M27+U27,IF(B28="使用電線-5",M28+U28,IF(B29="使用電線-5",M29+U29,"")))</f>
        <v/>
      </c>
      <c r="BV198" s="108">
        <f>IF(I47="",L19*(F19/40)^2,I47)</f>
        <v>0.5</v>
      </c>
      <c r="BW198" s="108">
        <f>F19</f>
        <v>40</v>
      </c>
      <c r="BX198" s="127" t="e">
        <f>BU198*1600/(8*L19)</f>
        <v>#VALUE!</v>
      </c>
      <c r="BY198" s="109" t="str">
        <f>IF(B27="使用電線-5",V27,IF(B28="使用電線-5",V28,IF(B29="使用電線-5",V29,"")))</f>
        <v/>
      </c>
      <c r="BZ198" s="108" t="str">
        <f>IF(B27="使用電線-5",L27,IF(B28="使用電線-5",L28,IF(B29="使用電線-5",L29,"")))</f>
        <v/>
      </c>
      <c r="CA198" s="110" t="str">
        <f>IF(B27="使用電線-5",W27,IF(B28="使用電線-5",W28,IF(B29="使用電線-5",W29,"")))</f>
        <v/>
      </c>
    </row>
    <row r="199" spans="36:79" ht="13.5" customHeight="1" x14ac:dyDescent="0.15"/>
    <row r="200" spans="36:79" ht="13.5" customHeight="1" thickBot="1" x14ac:dyDescent="0.2"/>
    <row r="201" spans="36:79" ht="13.5" customHeight="1" x14ac:dyDescent="0.15">
      <c r="AJ201" s="2" t="s">
        <v>144</v>
      </c>
      <c r="AK201" s="111" t="s">
        <v>145</v>
      </c>
      <c r="AL201" s="12" t="s">
        <v>7</v>
      </c>
      <c r="AM201" s="12" t="s">
        <v>0</v>
      </c>
      <c r="AN201" s="12" t="s">
        <v>1</v>
      </c>
      <c r="AO201" s="12" t="s">
        <v>2</v>
      </c>
      <c r="AP201" s="12" t="s">
        <v>5</v>
      </c>
      <c r="AQ201" s="13" t="s">
        <v>6</v>
      </c>
      <c r="AS201" s="2" t="s">
        <v>144</v>
      </c>
      <c r="AT201" s="111" t="s">
        <v>145</v>
      </c>
      <c r="AU201" s="12" t="s">
        <v>7</v>
      </c>
      <c r="AV201" s="12" t="s">
        <v>0</v>
      </c>
      <c r="AW201" s="12" t="s">
        <v>1</v>
      </c>
      <c r="AX201" s="12" t="s">
        <v>2</v>
      </c>
      <c r="AY201" s="12" t="s">
        <v>5</v>
      </c>
      <c r="AZ201" s="13" t="s">
        <v>6</v>
      </c>
      <c r="BB201" s="2" t="s">
        <v>144</v>
      </c>
      <c r="BC201" s="111" t="s">
        <v>145</v>
      </c>
      <c r="BD201" s="12" t="s">
        <v>7</v>
      </c>
      <c r="BE201" s="12" t="s">
        <v>0</v>
      </c>
      <c r="BF201" s="12" t="s">
        <v>1</v>
      </c>
      <c r="BG201" s="12" t="s">
        <v>2</v>
      </c>
      <c r="BH201" s="12" t="s">
        <v>5</v>
      </c>
      <c r="BI201" s="13" t="s">
        <v>6</v>
      </c>
      <c r="BK201" s="2" t="s">
        <v>144</v>
      </c>
      <c r="BL201" s="111" t="s">
        <v>145</v>
      </c>
      <c r="BM201" s="12" t="s">
        <v>7</v>
      </c>
      <c r="BN201" s="12" t="s">
        <v>0</v>
      </c>
      <c r="BO201" s="12" t="s">
        <v>1</v>
      </c>
      <c r="BP201" s="12" t="s">
        <v>2</v>
      </c>
      <c r="BQ201" s="12" t="s">
        <v>5</v>
      </c>
      <c r="BR201" s="13" t="s">
        <v>6</v>
      </c>
      <c r="BT201" s="2" t="s">
        <v>144</v>
      </c>
      <c r="BU201" s="111" t="s">
        <v>145</v>
      </c>
      <c r="BV201" s="12" t="s">
        <v>7</v>
      </c>
      <c r="BW201" s="12" t="s">
        <v>0</v>
      </c>
      <c r="BX201" s="12" t="s">
        <v>1</v>
      </c>
      <c r="BY201" s="12" t="s">
        <v>2</v>
      </c>
      <c r="BZ201" s="12" t="s">
        <v>5</v>
      </c>
      <c r="CA201" s="13" t="s">
        <v>6</v>
      </c>
    </row>
    <row r="202" spans="36:79" ht="13.5" customHeight="1" x14ac:dyDescent="0.15">
      <c r="AJ202" s="16">
        <f>-AJ205+AJ208</f>
        <v>-0.79974371048029069</v>
      </c>
      <c r="AK202" s="17">
        <f>-AJ211</f>
        <v>-0.1076281447598547</v>
      </c>
      <c r="AL202" s="18">
        <f>IF(AND(AP205&lt;0,AQ205&lt;0),AQ202*1.2,IF(AND(AP205&gt;0,AQ205&gt;0),AP202*0.8,10))</f>
        <v>10</v>
      </c>
      <c r="AM202" s="18">
        <f>AL202^3+AJ202*AL202+AK202</f>
        <v>991.8949347504373</v>
      </c>
      <c r="AN202" s="18">
        <f>3*AL202^2+AJ202</f>
        <v>299.2002562895197</v>
      </c>
      <c r="AO202" s="18">
        <f t="shared" ref="AO202:AO216" si="80">AL202-AM202/AN202</f>
        <v>6.6848459722219129</v>
      </c>
      <c r="AP202" s="18">
        <f>-SQRT(ABS(-4*3*AJ202))/6</f>
        <v>-0.51631505578160664</v>
      </c>
      <c r="AQ202" s="19">
        <f>SQRT(ABS(-4*3*AJ202))/6</f>
        <v>0.51631505578160664</v>
      </c>
      <c r="AS202" s="16">
        <f>-AS205+AS208</f>
        <v>-0.53410068036362934</v>
      </c>
      <c r="AT202" s="17">
        <f>-AS211</f>
        <v>-0.11669965981818531</v>
      </c>
      <c r="AU202" s="18">
        <f>IF(AND(AY205&lt;0,AZ205&lt;0),AZ202*1.2,IF(AND(AY205&gt;0,AZ205&gt;0),AY202*0.8,10))</f>
        <v>10</v>
      </c>
      <c r="AV202" s="18">
        <f>AU202^3+AS202*AU202+AT202</f>
        <v>994.54229353654546</v>
      </c>
      <c r="AW202" s="18">
        <f>3*AU202^2+AS202</f>
        <v>299.46589931963638</v>
      </c>
      <c r="AX202" s="18">
        <f t="shared" ref="AX202:AX216" si="81">AU202-AV202/AW202</f>
        <v>6.6789464316435705</v>
      </c>
      <c r="AY202" s="18">
        <f>-SQRT(ABS(-4*3*AS202))/6</f>
        <v>-0.42194023287808163</v>
      </c>
      <c r="AZ202" s="19">
        <f>SQRT(ABS(-4*3*AS202))/6</f>
        <v>0.42194023287808163</v>
      </c>
      <c r="BB202" s="16" t="e">
        <f>-BB205+BB208</f>
        <v>#VALUE!</v>
      </c>
      <c r="BC202" s="17" t="e">
        <f>-BB211</f>
        <v>#VALUE!</v>
      </c>
      <c r="BD202" s="18" t="e">
        <f>IF(AND(BH205&lt;0,BI205&lt;0),BI202*1.2,IF(AND(BH205&gt;0,BI205&gt;0),BH202*0.8,10))</f>
        <v>#VALUE!</v>
      </c>
      <c r="BE202" s="18" t="e">
        <f>BD202^3+BB202*BD202+BC202</f>
        <v>#VALUE!</v>
      </c>
      <c r="BF202" s="18" t="e">
        <f>3*BD202^2+BB202</f>
        <v>#VALUE!</v>
      </c>
      <c r="BG202" s="18" t="e">
        <f t="shared" ref="BG202:BG216" si="82">BD202-BE202/BF202</f>
        <v>#VALUE!</v>
      </c>
      <c r="BH202" s="18" t="e">
        <f>-SQRT(ABS(-4*3*BB202))/6</f>
        <v>#VALUE!</v>
      </c>
      <c r="BI202" s="19" t="e">
        <f>SQRT(ABS(-4*3*BB202))/6</f>
        <v>#VALUE!</v>
      </c>
      <c r="BK202" s="16" t="e">
        <f>-BK205+BK208</f>
        <v>#VALUE!</v>
      </c>
      <c r="BL202" s="17" t="e">
        <f>-BK211</f>
        <v>#VALUE!</v>
      </c>
      <c r="BM202" s="18" t="e">
        <f>IF(AND(BQ205&lt;0,BR205&lt;0),BR202*1.2,IF(AND(BQ205&gt;0,BR205&gt;0),BQ202*0.8,10))</f>
        <v>#VALUE!</v>
      </c>
      <c r="BN202" s="18" t="e">
        <f>BM202^3+BK202*BM202+BL202</f>
        <v>#VALUE!</v>
      </c>
      <c r="BO202" s="18" t="e">
        <f>3*BM202^2+BK202</f>
        <v>#VALUE!</v>
      </c>
      <c r="BP202" s="18" t="e">
        <f t="shared" ref="BP202:BP216" si="83">BM202-BN202/BO202</f>
        <v>#VALUE!</v>
      </c>
      <c r="BQ202" s="18" t="e">
        <f>-SQRT(ABS(-4*3*BK202))/6</f>
        <v>#VALUE!</v>
      </c>
      <c r="BR202" s="19" t="e">
        <f>SQRT(ABS(-4*3*BK202))/6</f>
        <v>#VALUE!</v>
      </c>
      <c r="BT202" s="16" t="e">
        <f>-BT205+BT208</f>
        <v>#VALUE!</v>
      </c>
      <c r="BU202" s="17" t="e">
        <f>-BT211</f>
        <v>#VALUE!</v>
      </c>
      <c r="BV202" s="18" t="e">
        <f>IF(AND(BZ205&lt;0,CA205&lt;0),CA202*1.2,IF(AND(BZ205&gt;0,CA205&gt;0),BZ202*0.8,10))</f>
        <v>#VALUE!</v>
      </c>
      <c r="BW202" s="18" t="e">
        <f>BV202^3+BT202*BV202+BU202</f>
        <v>#VALUE!</v>
      </c>
      <c r="BX202" s="18" t="e">
        <f>3*BV202^2+BT202</f>
        <v>#VALUE!</v>
      </c>
      <c r="BY202" s="18" t="e">
        <f t="shared" ref="BY202:BY216" si="84">BV202-BW202/BX202</f>
        <v>#VALUE!</v>
      </c>
      <c r="BZ202" s="18" t="e">
        <f>-SQRT(ABS(-4*3*BT202))/6</f>
        <v>#VALUE!</v>
      </c>
      <c r="CA202" s="19" t="e">
        <f>SQRT(ABS(-4*3*BT202))/6</f>
        <v>#VALUE!</v>
      </c>
    </row>
    <row r="203" spans="36:79" ht="13.5" customHeight="1" x14ac:dyDescent="0.15">
      <c r="AJ203" s="267"/>
      <c r="AK203" s="268"/>
      <c r="AL203" s="18">
        <f t="shared" ref="AL203:AL215" si="85">AO202</f>
        <v>6.6848459722219129</v>
      </c>
      <c r="AM203" s="18">
        <f>AL203^3+AJ202*AL203+AK202</f>
        <v>293.27302778812492</v>
      </c>
      <c r="AN203" s="18">
        <f>3*AL203^2+AJ202</f>
        <v>133.26175330651429</v>
      </c>
      <c r="AO203" s="18">
        <f t="shared" si="80"/>
        <v>4.4841168019132347</v>
      </c>
      <c r="AP203" s="6"/>
      <c r="AQ203" s="7"/>
      <c r="AS203" s="267"/>
      <c r="AT203" s="268"/>
      <c r="AU203" s="18">
        <f t="shared" ref="AU203:AU215" si="86">AX202</f>
        <v>6.6789464316435705</v>
      </c>
      <c r="AV203" s="18">
        <f>AU203^3+AS202*AU203+AT202</f>
        <v>294.25268650440131</v>
      </c>
      <c r="AW203" s="18">
        <f>3*AU203^2+AS202</f>
        <v>133.29087562992953</v>
      </c>
      <c r="AX203" s="18">
        <f t="shared" si="81"/>
        <v>4.4713483112638368</v>
      </c>
      <c r="AY203" s="6"/>
      <c r="AZ203" s="7"/>
      <c r="BB203" s="267"/>
      <c r="BC203" s="268"/>
      <c r="BD203" s="18" t="e">
        <f t="shared" ref="BD203:BD215" si="87">BG202</f>
        <v>#VALUE!</v>
      </c>
      <c r="BE203" s="18" t="e">
        <f>BD203^3+BB202*BD203+BC202</f>
        <v>#VALUE!</v>
      </c>
      <c r="BF203" s="18" t="e">
        <f>3*BD203^2+BB202</f>
        <v>#VALUE!</v>
      </c>
      <c r="BG203" s="18" t="e">
        <f t="shared" si="82"/>
        <v>#VALUE!</v>
      </c>
      <c r="BH203" s="6"/>
      <c r="BI203" s="7"/>
      <c r="BK203" s="267"/>
      <c r="BL203" s="268"/>
      <c r="BM203" s="18" t="e">
        <f t="shared" ref="BM203:BM215" si="88">BP202</f>
        <v>#VALUE!</v>
      </c>
      <c r="BN203" s="18" t="e">
        <f>BM203^3+BK202*BM203+BL202</f>
        <v>#VALUE!</v>
      </c>
      <c r="BO203" s="18" t="e">
        <f>3*BM203^2+BK202</f>
        <v>#VALUE!</v>
      </c>
      <c r="BP203" s="18" t="e">
        <f t="shared" si="83"/>
        <v>#VALUE!</v>
      </c>
      <c r="BQ203" s="6"/>
      <c r="BR203" s="7"/>
      <c r="BT203" s="267"/>
      <c r="BU203" s="268"/>
      <c r="BV203" s="18" t="e">
        <f t="shared" ref="BV203:BV215" si="89">BY202</f>
        <v>#VALUE!</v>
      </c>
      <c r="BW203" s="18" t="e">
        <f>BV203^3+BT202*BV203+BU202</f>
        <v>#VALUE!</v>
      </c>
      <c r="BX203" s="18" t="e">
        <f>3*BV203^2+BT202</f>
        <v>#VALUE!</v>
      </c>
      <c r="BY203" s="18" t="e">
        <f t="shared" si="84"/>
        <v>#VALUE!</v>
      </c>
      <c r="BZ203" s="6"/>
      <c r="CA203" s="7"/>
    </row>
    <row r="204" spans="36:79" ht="13.5" customHeight="1" x14ac:dyDescent="0.15">
      <c r="AJ204" s="269" t="s">
        <v>8</v>
      </c>
      <c r="AK204" s="270"/>
      <c r="AL204" s="18">
        <f t="shared" si="85"/>
        <v>4.4841168019132347</v>
      </c>
      <c r="AM204" s="18">
        <f>AL204^3+AJ202*AL204+AK202</f>
        <v>86.469725080880409</v>
      </c>
      <c r="AN204" s="18">
        <f>3*AL204^2+AJ202</f>
        <v>59.522166769121434</v>
      </c>
      <c r="AO204" s="18">
        <f t="shared" si="80"/>
        <v>3.0313853276662543</v>
      </c>
      <c r="AP204" s="14" t="s">
        <v>3</v>
      </c>
      <c r="AQ204" s="15" t="s">
        <v>4</v>
      </c>
      <c r="AS204" s="269" t="s">
        <v>8</v>
      </c>
      <c r="AT204" s="270"/>
      <c r="AU204" s="18">
        <f t="shared" si="86"/>
        <v>4.4713483112638368</v>
      </c>
      <c r="AV204" s="18">
        <f>AU204^3+AS202*AU204+AT202</f>
        <v>86.890618963658156</v>
      </c>
      <c r="AW204" s="18">
        <f>3*AU204^2+AS202</f>
        <v>59.444766481562269</v>
      </c>
      <c r="AX204" s="18">
        <f t="shared" si="81"/>
        <v>3.0096448829122653</v>
      </c>
      <c r="AY204" s="14" t="s">
        <v>3</v>
      </c>
      <c r="AZ204" s="15" t="s">
        <v>4</v>
      </c>
      <c r="BB204" s="269" t="s">
        <v>8</v>
      </c>
      <c r="BC204" s="270"/>
      <c r="BD204" s="18" t="e">
        <f t="shared" si="87"/>
        <v>#VALUE!</v>
      </c>
      <c r="BE204" s="18" t="e">
        <f>BD204^3+BB202*BD204+BC202</f>
        <v>#VALUE!</v>
      </c>
      <c r="BF204" s="18" t="e">
        <f>3*BD204^2+BB202</f>
        <v>#VALUE!</v>
      </c>
      <c r="BG204" s="18" t="e">
        <f t="shared" si="82"/>
        <v>#VALUE!</v>
      </c>
      <c r="BH204" s="14" t="s">
        <v>3</v>
      </c>
      <c r="BI204" s="15" t="s">
        <v>4</v>
      </c>
      <c r="BK204" s="269" t="s">
        <v>8</v>
      </c>
      <c r="BL204" s="270"/>
      <c r="BM204" s="18" t="e">
        <f t="shared" si="88"/>
        <v>#VALUE!</v>
      </c>
      <c r="BN204" s="18" t="e">
        <f>BM204^3+BK202*BM204+BL202</f>
        <v>#VALUE!</v>
      </c>
      <c r="BO204" s="18" t="e">
        <f>3*BM204^2+BK202</f>
        <v>#VALUE!</v>
      </c>
      <c r="BP204" s="18" t="e">
        <f t="shared" si="83"/>
        <v>#VALUE!</v>
      </c>
      <c r="BQ204" s="14" t="s">
        <v>3</v>
      </c>
      <c r="BR204" s="15" t="s">
        <v>4</v>
      </c>
      <c r="BT204" s="269" t="s">
        <v>8</v>
      </c>
      <c r="BU204" s="270"/>
      <c r="BV204" s="18" t="e">
        <f t="shared" si="89"/>
        <v>#VALUE!</v>
      </c>
      <c r="BW204" s="18" t="e">
        <f>BV204^3+BT202*BV204+BU202</f>
        <v>#VALUE!</v>
      </c>
      <c r="BX204" s="18" t="e">
        <f>3*BV204^2+BT202</f>
        <v>#VALUE!</v>
      </c>
      <c r="BY204" s="18" t="e">
        <f t="shared" si="84"/>
        <v>#VALUE!</v>
      </c>
      <c r="BZ204" s="14" t="s">
        <v>3</v>
      </c>
      <c r="CA204" s="15" t="s">
        <v>4</v>
      </c>
    </row>
    <row r="205" spans="36:79" ht="13.5" customHeight="1" x14ac:dyDescent="0.15">
      <c r="AJ205" s="269">
        <f>(AL218^2)+3*(AM218^2)*AQ218*(AQ213-15)/(8*10^7)</f>
        <v>1.0150000000000001</v>
      </c>
      <c r="AK205" s="270"/>
      <c r="AL205" s="18">
        <f t="shared" si="85"/>
        <v>3.0313853276662543</v>
      </c>
      <c r="AM205" s="18">
        <f>AL205^3+AJ202*AL205+AK202</f>
        <v>25.324340617285429</v>
      </c>
      <c r="AN205" s="18">
        <f>3*AL205^2+AJ202</f>
        <v>26.768147303890444</v>
      </c>
      <c r="AO205" s="18">
        <f t="shared" si="80"/>
        <v>2.0853228180055718</v>
      </c>
      <c r="AP205" s="18">
        <f>AP202^3+AJ202*AP202+AK202</f>
        <v>0.16765166756522554</v>
      </c>
      <c r="AQ205" s="19">
        <f>AQ202^3+AJ202*AQ202+AK202</f>
        <v>-0.38290795708493497</v>
      </c>
      <c r="AS205" s="269">
        <f>(AU218^2)+3*(AV218^2)*AZ218*(AZ213-15)/(8*10^7)</f>
        <v>0.76749999999999996</v>
      </c>
      <c r="AT205" s="270"/>
      <c r="AU205" s="18">
        <f t="shared" si="86"/>
        <v>3.0096448829122653</v>
      </c>
      <c r="AV205" s="18">
        <f>AU205^3+AS202*AU205+AT202</f>
        <v>25.537096910297482</v>
      </c>
      <c r="AW205" s="18">
        <f>3*AU205^2+AS202</f>
        <v>26.639786283356322</v>
      </c>
      <c r="AX205" s="18">
        <f t="shared" si="81"/>
        <v>2.051037458713362</v>
      </c>
      <c r="AY205" s="18">
        <f>AY202^3+AS202*AY202+AT202</f>
        <v>3.353938381712912E-2</v>
      </c>
      <c r="AZ205" s="19">
        <f>AZ202^3+AS202*AZ202+AT202</f>
        <v>-0.26693870345349974</v>
      </c>
      <c r="BB205" s="269" t="e">
        <f>(BD218^2)+3*(BE218^2)*BI218*(BI213-15)/(8*10^7)</f>
        <v>#VALUE!</v>
      </c>
      <c r="BC205" s="270"/>
      <c r="BD205" s="18" t="e">
        <f t="shared" si="87"/>
        <v>#VALUE!</v>
      </c>
      <c r="BE205" s="18" t="e">
        <f>BD205^3+BB202*BD205+BC202</f>
        <v>#VALUE!</v>
      </c>
      <c r="BF205" s="18" t="e">
        <f>3*BD205^2+BB202</f>
        <v>#VALUE!</v>
      </c>
      <c r="BG205" s="18" t="e">
        <f t="shared" si="82"/>
        <v>#VALUE!</v>
      </c>
      <c r="BH205" s="18" t="e">
        <f>BH202^3+BB202*BH202+BC202</f>
        <v>#VALUE!</v>
      </c>
      <c r="BI205" s="19" t="e">
        <f>BI202^3+BB202*BI202+BC202</f>
        <v>#VALUE!</v>
      </c>
      <c r="BK205" s="269" t="e">
        <f>(BM218^2)+3*(BN218^2)*BR218*(BR213-15)/(8*10^7)</f>
        <v>#VALUE!</v>
      </c>
      <c r="BL205" s="270"/>
      <c r="BM205" s="18" t="e">
        <f t="shared" si="88"/>
        <v>#VALUE!</v>
      </c>
      <c r="BN205" s="18" t="e">
        <f>BM205^3+BK202*BM205+BL202</f>
        <v>#VALUE!</v>
      </c>
      <c r="BO205" s="18" t="e">
        <f>3*BM205^2+BK202</f>
        <v>#VALUE!</v>
      </c>
      <c r="BP205" s="18" t="e">
        <f t="shared" si="83"/>
        <v>#VALUE!</v>
      </c>
      <c r="BQ205" s="18" t="e">
        <f>BQ202^3+BK202*BQ202+BL202</f>
        <v>#VALUE!</v>
      </c>
      <c r="BR205" s="19" t="e">
        <f>BR202^3+BK202*BR202+BL202</f>
        <v>#VALUE!</v>
      </c>
      <c r="BT205" s="269" t="e">
        <f>(BV218^2)+3*(BW218^2)*CA218*(CA213-15)/(8*10^7)</f>
        <v>#VALUE!</v>
      </c>
      <c r="BU205" s="270"/>
      <c r="BV205" s="18" t="e">
        <f t="shared" si="89"/>
        <v>#VALUE!</v>
      </c>
      <c r="BW205" s="18" t="e">
        <f>BV205^3+BT202*BV205+BU202</f>
        <v>#VALUE!</v>
      </c>
      <c r="BX205" s="18" t="e">
        <f>3*BV205^2+BT202</f>
        <v>#VALUE!</v>
      </c>
      <c r="BY205" s="18" t="e">
        <f t="shared" si="84"/>
        <v>#VALUE!</v>
      </c>
      <c r="BZ205" s="18" t="e">
        <f>BZ202^3+BT202*BZ202+BU202</f>
        <v>#VALUE!</v>
      </c>
      <c r="CA205" s="19" t="e">
        <f>CA202^3+BT202*CA202+BU202</f>
        <v>#VALUE!</v>
      </c>
    </row>
    <row r="206" spans="36:79" ht="13.5" customHeight="1" x14ac:dyDescent="0.15">
      <c r="AJ206" s="267"/>
      <c r="AK206" s="268"/>
      <c r="AL206" s="18">
        <f t="shared" si="85"/>
        <v>2.0853228180055718</v>
      </c>
      <c r="AM206" s="18">
        <f>AL206^3+AJ202*AL206+AK202</f>
        <v>7.2928229116083223</v>
      </c>
      <c r="AN206" s="18">
        <f>3*AL206^2+AJ202</f>
        <v>12.245970055403806</v>
      </c>
      <c r="AO206" s="18">
        <f t="shared" si="80"/>
        <v>1.4897944214298997</v>
      </c>
      <c r="AP206" s="31"/>
      <c r="AQ206" s="32"/>
      <c r="AS206" s="267"/>
      <c r="AT206" s="268"/>
      <c r="AU206" s="18">
        <f t="shared" si="86"/>
        <v>2.051037458713362</v>
      </c>
      <c r="AV206" s="18">
        <f>AU206^3+AS202*AU206+AT202</f>
        <v>7.4160512192486454</v>
      </c>
      <c r="AW206" s="18">
        <f>3*AU206^2+AS202</f>
        <v>12.086163290772468</v>
      </c>
      <c r="AX206" s="18">
        <f t="shared" si="81"/>
        <v>1.4374389956750009</v>
      </c>
      <c r="AY206" s="31"/>
      <c r="AZ206" s="32"/>
      <c r="BB206" s="267"/>
      <c r="BC206" s="268"/>
      <c r="BD206" s="18" t="e">
        <f t="shared" si="87"/>
        <v>#VALUE!</v>
      </c>
      <c r="BE206" s="18" t="e">
        <f>BD206^3+BB202*BD206+BC202</f>
        <v>#VALUE!</v>
      </c>
      <c r="BF206" s="18" t="e">
        <f>3*BD206^2+BB202</f>
        <v>#VALUE!</v>
      </c>
      <c r="BG206" s="18" t="e">
        <f t="shared" si="82"/>
        <v>#VALUE!</v>
      </c>
      <c r="BH206" s="31"/>
      <c r="BI206" s="32"/>
      <c r="BK206" s="267"/>
      <c r="BL206" s="268"/>
      <c r="BM206" s="18" t="e">
        <f t="shared" si="88"/>
        <v>#VALUE!</v>
      </c>
      <c r="BN206" s="18" t="e">
        <f>BM206^3+BK202*BM206+BL202</f>
        <v>#VALUE!</v>
      </c>
      <c r="BO206" s="18" t="e">
        <f>3*BM206^2+BK202</f>
        <v>#VALUE!</v>
      </c>
      <c r="BP206" s="18" t="e">
        <f t="shared" si="83"/>
        <v>#VALUE!</v>
      </c>
      <c r="BQ206" s="31"/>
      <c r="BR206" s="32"/>
      <c r="BT206" s="267"/>
      <c r="BU206" s="268"/>
      <c r="BV206" s="18" t="e">
        <f t="shared" si="89"/>
        <v>#VALUE!</v>
      </c>
      <c r="BW206" s="18" t="e">
        <f>BV206^3+BT202*BV206+BU202</f>
        <v>#VALUE!</v>
      </c>
      <c r="BX206" s="18" t="e">
        <f>3*BV206^2+BT202</f>
        <v>#VALUE!</v>
      </c>
      <c r="BY206" s="18" t="e">
        <f t="shared" si="84"/>
        <v>#VALUE!</v>
      </c>
      <c r="BZ206" s="31"/>
      <c r="CA206" s="32"/>
    </row>
    <row r="207" spans="36:79" ht="13.5" customHeight="1" x14ac:dyDescent="0.15">
      <c r="AJ207" s="269" t="s">
        <v>9</v>
      </c>
      <c r="AK207" s="270"/>
      <c r="AL207" s="18">
        <f t="shared" si="85"/>
        <v>1.4897944214298997</v>
      </c>
      <c r="AM207" s="18">
        <f>AL207^3+AJ202*AL207+AK202</f>
        <v>2.0074981107474237</v>
      </c>
      <c r="AN207" s="18">
        <f>3*AL207^2+AJ202</f>
        <v>5.8587185438906575</v>
      </c>
      <c r="AO207" s="18">
        <f t="shared" si="80"/>
        <v>1.1471430215191123</v>
      </c>
      <c r="AP207" s="31"/>
      <c r="AQ207" s="32"/>
      <c r="AS207" s="269" t="s">
        <v>9</v>
      </c>
      <c r="AT207" s="270"/>
      <c r="AU207" s="18">
        <f t="shared" si="86"/>
        <v>1.4374389956750009</v>
      </c>
      <c r="AV207" s="18">
        <f>AU207^3+AS202*AU207+AT202</f>
        <v>2.0856440158790805</v>
      </c>
      <c r="AW207" s="18">
        <f>3*AU207^2+AS202</f>
        <v>5.6645919184978375</v>
      </c>
      <c r="AX207" s="18">
        <f t="shared" si="81"/>
        <v>1.0692493633259577</v>
      </c>
      <c r="AY207" s="31"/>
      <c r="AZ207" s="32"/>
      <c r="BB207" s="269" t="s">
        <v>9</v>
      </c>
      <c r="BC207" s="270"/>
      <c r="BD207" s="18" t="e">
        <f t="shared" si="87"/>
        <v>#VALUE!</v>
      </c>
      <c r="BE207" s="18" t="e">
        <f>BD207^3+BB202*BD207+BC202</f>
        <v>#VALUE!</v>
      </c>
      <c r="BF207" s="18" t="e">
        <f>3*BD207^2+BB202</f>
        <v>#VALUE!</v>
      </c>
      <c r="BG207" s="18" t="e">
        <f t="shared" si="82"/>
        <v>#VALUE!</v>
      </c>
      <c r="BH207" s="31"/>
      <c r="BI207" s="32"/>
      <c r="BK207" s="269" t="s">
        <v>9</v>
      </c>
      <c r="BL207" s="270"/>
      <c r="BM207" s="18" t="e">
        <f t="shared" si="88"/>
        <v>#VALUE!</v>
      </c>
      <c r="BN207" s="18" t="e">
        <f>BM207^3+BK202*BM207+BL202</f>
        <v>#VALUE!</v>
      </c>
      <c r="BO207" s="18" t="e">
        <f>3*BM207^2+BK202</f>
        <v>#VALUE!</v>
      </c>
      <c r="BP207" s="18" t="e">
        <f t="shared" si="83"/>
        <v>#VALUE!</v>
      </c>
      <c r="BQ207" s="31"/>
      <c r="BR207" s="32"/>
      <c r="BT207" s="269" t="s">
        <v>9</v>
      </c>
      <c r="BU207" s="270"/>
      <c r="BV207" s="18" t="e">
        <f t="shared" si="89"/>
        <v>#VALUE!</v>
      </c>
      <c r="BW207" s="18" t="e">
        <f>BV207^3+BT202*BV207+BU202</f>
        <v>#VALUE!</v>
      </c>
      <c r="BX207" s="18" t="e">
        <f>3*BV207^2+BT202</f>
        <v>#VALUE!</v>
      </c>
      <c r="BY207" s="18" t="e">
        <f t="shared" si="84"/>
        <v>#VALUE!</v>
      </c>
      <c r="BZ207" s="31"/>
      <c r="CA207" s="32"/>
    </row>
    <row r="208" spans="36:79" ht="13.5" customHeight="1" x14ac:dyDescent="0.15">
      <c r="AJ208" s="277">
        <f>3*(AM218^2)*AN218/(8*AO218*AP218)</f>
        <v>0.2152562895197094</v>
      </c>
      <c r="AK208" s="278"/>
      <c r="AL208" s="118">
        <f t="shared" si="85"/>
        <v>1.1471430215191123</v>
      </c>
      <c r="AM208" s="118">
        <f>AL208^3+AJ202*AL208+AK202</f>
        <v>0.48451951334120547</v>
      </c>
      <c r="AN208" s="118">
        <f>3*AL208^2+AJ202</f>
        <v>3.1480676249797046</v>
      </c>
      <c r="AO208" s="118">
        <f t="shared" si="80"/>
        <v>0.99323288645829733</v>
      </c>
      <c r="AP208" s="116"/>
      <c r="AQ208" s="117"/>
      <c r="AS208" s="277">
        <f>3*(AV218^2)*AW218/(8*AX218*AY218)</f>
        <v>0.23339931963637062</v>
      </c>
      <c r="AT208" s="278"/>
      <c r="AU208" s="118">
        <f t="shared" si="86"/>
        <v>1.0692493633259577</v>
      </c>
      <c r="AV208" s="118">
        <f>AU208^3+AS202*AU208+AT202</f>
        <v>0.53468012423564648</v>
      </c>
      <c r="AW208" s="118">
        <f>3*AU208^2+AS202</f>
        <v>2.8957819225552681</v>
      </c>
      <c r="AX208" s="118">
        <f t="shared" si="81"/>
        <v>0.88460834458382842</v>
      </c>
      <c r="AY208" s="116"/>
      <c r="AZ208" s="117"/>
      <c r="BB208" s="277" t="e">
        <f>3*(BE218^2)*BF218/(8*BG218*BH218)</f>
        <v>#VALUE!</v>
      </c>
      <c r="BC208" s="278"/>
      <c r="BD208" s="118" t="e">
        <f t="shared" si="87"/>
        <v>#VALUE!</v>
      </c>
      <c r="BE208" s="118" t="e">
        <f>BD208^3+BB202*BD208+BC202</f>
        <v>#VALUE!</v>
      </c>
      <c r="BF208" s="118" t="e">
        <f>3*BD208^2+BB202</f>
        <v>#VALUE!</v>
      </c>
      <c r="BG208" s="118" t="e">
        <f t="shared" si="82"/>
        <v>#VALUE!</v>
      </c>
      <c r="BH208" s="116"/>
      <c r="BI208" s="117"/>
      <c r="BK208" s="277" t="e">
        <f>3*(BN218^2)*BO218/(8*BP218*BQ218)</f>
        <v>#VALUE!</v>
      </c>
      <c r="BL208" s="278"/>
      <c r="BM208" s="118" t="e">
        <f t="shared" si="88"/>
        <v>#VALUE!</v>
      </c>
      <c r="BN208" s="118" t="e">
        <f>BM208^3+BK202*BM208+BL202</f>
        <v>#VALUE!</v>
      </c>
      <c r="BO208" s="118" t="e">
        <f>3*BM208^2+BK202</f>
        <v>#VALUE!</v>
      </c>
      <c r="BP208" s="118" t="e">
        <f t="shared" si="83"/>
        <v>#VALUE!</v>
      </c>
      <c r="BQ208" s="116"/>
      <c r="BR208" s="117"/>
      <c r="BT208" s="277" t="e">
        <f>3*(BW218^2)*BX218/(8*BY218*BZ218)</f>
        <v>#VALUE!</v>
      </c>
      <c r="BU208" s="278"/>
      <c r="BV208" s="118" t="e">
        <f t="shared" si="89"/>
        <v>#VALUE!</v>
      </c>
      <c r="BW208" s="118" t="e">
        <f>BV208^3+BT202*BV208+BU202</f>
        <v>#VALUE!</v>
      </c>
      <c r="BX208" s="118" t="e">
        <f>3*BV208^2+BT202</f>
        <v>#VALUE!</v>
      </c>
      <c r="BY208" s="118" t="e">
        <f t="shared" si="84"/>
        <v>#VALUE!</v>
      </c>
      <c r="BZ208" s="116"/>
      <c r="CA208" s="117"/>
    </row>
    <row r="209" spans="36:79" ht="13.5" customHeight="1" x14ac:dyDescent="0.15">
      <c r="AJ209" s="121"/>
      <c r="AK209" s="122"/>
      <c r="AL209" s="118">
        <f t="shared" si="85"/>
        <v>0.99323288645829733</v>
      </c>
      <c r="AM209" s="118">
        <f>AL209^3+AJ202*AL209+AK202</f>
        <v>7.7875832212870214E-2</v>
      </c>
      <c r="AN209" s="118">
        <f>3*AL209^2+AJ202</f>
        <v>2.1597909897465524</v>
      </c>
      <c r="AO209" s="118">
        <f t="shared" si="80"/>
        <v>0.95717577140291465</v>
      </c>
      <c r="AP209" s="119"/>
      <c r="AQ209" s="120"/>
      <c r="AS209" s="121"/>
      <c r="AT209" s="122"/>
      <c r="AU209" s="118">
        <f t="shared" si="86"/>
        <v>0.88460834458382842</v>
      </c>
      <c r="AV209" s="118">
        <f>AU209^3+AS202*AU209+AT202</f>
        <v>0.10306469074515467</v>
      </c>
      <c r="AW209" s="118">
        <f>3*AU209^2+AS202</f>
        <v>1.8134950895583946</v>
      </c>
      <c r="AX209" s="118">
        <f t="shared" si="81"/>
        <v>0.82777626858948317</v>
      </c>
      <c r="AY209" s="119"/>
      <c r="AZ209" s="120"/>
      <c r="BB209" s="121"/>
      <c r="BC209" s="122"/>
      <c r="BD209" s="118" t="e">
        <f t="shared" si="87"/>
        <v>#VALUE!</v>
      </c>
      <c r="BE209" s="118" t="e">
        <f>BD209^3+BB202*BD209+BC202</f>
        <v>#VALUE!</v>
      </c>
      <c r="BF209" s="118" t="e">
        <f>3*BD209^2+BB202</f>
        <v>#VALUE!</v>
      </c>
      <c r="BG209" s="118" t="e">
        <f t="shared" si="82"/>
        <v>#VALUE!</v>
      </c>
      <c r="BH209" s="119"/>
      <c r="BI209" s="120"/>
      <c r="BK209" s="121"/>
      <c r="BL209" s="122"/>
      <c r="BM209" s="118" t="e">
        <f t="shared" si="88"/>
        <v>#VALUE!</v>
      </c>
      <c r="BN209" s="118" t="e">
        <f>BM209^3+BK202*BM209+BL202</f>
        <v>#VALUE!</v>
      </c>
      <c r="BO209" s="118" t="e">
        <f>3*BM209^2+BK202</f>
        <v>#VALUE!</v>
      </c>
      <c r="BP209" s="118" t="e">
        <f t="shared" si="83"/>
        <v>#VALUE!</v>
      </c>
      <c r="BQ209" s="119"/>
      <c r="BR209" s="120"/>
      <c r="BT209" s="121"/>
      <c r="BU209" s="122"/>
      <c r="BV209" s="118" t="e">
        <f t="shared" si="89"/>
        <v>#VALUE!</v>
      </c>
      <c r="BW209" s="118" t="e">
        <f>BV209^3+BT202*BV209+BU202</f>
        <v>#VALUE!</v>
      </c>
      <c r="BX209" s="118" t="e">
        <f>3*BV209^2+BT202</f>
        <v>#VALUE!</v>
      </c>
      <c r="BY209" s="118" t="e">
        <f t="shared" si="84"/>
        <v>#VALUE!</v>
      </c>
      <c r="BZ209" s="119"/>
      <c r="CA209" s="120"/>
    </row>
    <row r="210" spans="36:79" ht="13.5" customHeight="1" x14ac:dyDescent="0.15">
      <c r="AJ210" s="269" t="s">
        <v>10</v>
      </c>
      <c r="AK210" s="270"/>
      <c r="AL210" s="118">
        <f t="shared" si="85"/>
        <v>0.95717577140291465</v>
      </c>
      <c r="AM210" s="118">
        <f>AL210^3+AJ202*AL210+AK202</f>
        <v>3.8270741339660047E-3</v>
      </c>
      <c r="AN210" s="118">
        <f>3*AL210^2+AJ202</f>
        <v>1.9488126616020034</v>
      </c>
      <c r="AO210" s="118">
        <f t="shared" si="80"/>
        <v>0.9552119735431347</v>
      </c>
      <c r="AP210" s="14" t="s">
        <v>148</v>
      </c>
      <c r="AQ210" s="123">
        <f>AO216</f>
        <v>0.95520626190024427</v>
      </c>
      <c r="AS210" s="269" t="s">
        <v>10</v>
      </c>
      <c r="AT210" s="270"/>
      <c r="AU210" s="118">
        <f t="shared" si="86"/>
        <v>0.82777626858948317</v>
      </c>
      <c r="AV210" s="118">
        <f>AU210^3+AS202*AU210+AT202</f>
        <v>8.3879882405312745E-3</v>
      </c>
      <c r="AW210" s="118">
        <f>3*AU210^2+AS202</f>
        <v>1.5215399721561549</v>
      </c>
      <c r="AX210" s="118">
        <f t="shared" si="81"/>
        <v>0.82226344053762146</v>
      </c>
      <c r="AY210" s="14" t="s">
        <v>148</v>
      </c>
      <c r="AZ210" s="123">
        <f>AX216</f>
        <v>0.8222130405330017</v>
      </c>
      <c r="BB210" s="269" t="s">
        <v>10</v>
      </c>
      <c r="BC210" s="270"/>
      <c r="BD210" s="118" t="e">
        <f t="shared" si="87"/>
        <v>#VALUE!</v>
      </c>
      <c r="BE210" s="118" t="e">
        <f>BD210^3+BB202*BD210+BC202</f>
        <v>#VALUE!</v>
      </c>
      <c r="BF210" s="118" t="e">
        <f>3*BD210^2+BB202</f>
        <v>#VALUE!</v>
      </c>
      <c r="BG210" s="118" t="e">
        <f t="shared" si="82"/>
        <v>#VALUE!</v>
      </c>
      <c r="BH210" s="14" t="s">
        <v>148</v>
      </c>
      <c r="BI210" s="123" t="e">
        <f>BG216</f>
        <v>#VALUE!</v>
      </c>
      <c r="BK210" s="269" t="s">
        <v>10</v>
      </c>
      <c r="BL210" s="270"/>
      <c r="BM210" s="118" t="e">
        <f t="shared" si="88"/>
        <v>#VALUE!</v>
      </c>
      <c r="BN210" s="118" t="e">
        <f>BM210^3+BK202*BM210+BL202</f>
        <v>#VALUE!</v>
      </c>
      <c r="BO210" s="118" t="e">
        <f>3*BM210^2+BK202</f>
        <v>#VALUE!</v>
      </c>
      <c r="BP210" s="118" t="e">
        <f t="shared" si="83"/>
        <v>#VALUE!</v>
      </c>
      <c r="BQ210" s="14" t="s">
        <v>148</v>
      </c>
      <c r="BR210" s="123" t="e">
        <f>BP216</f>
        <v>#VALUE!</v>
      </c>
      <c r="BT210" s="269" t="s">
        <v>10</v>
      </c>
      <c r="BU210" s="270"/>
      <c r="BV210" s="118" t="e">
        <f t="shared" si="89"/>
        <v>#VALUE!</v>
      </c>
      <c r="BW210" s="118" t="e">
        <f>BV210^3+BT202*BV210+BU202</f>
        <v>#VALUE!</v>
      </c>
      <c r="BX210" s="118" t="e">
        <f>3*BV210^2+BT202</f>
        <v>#VALUE!</v>
      </c>
      <c r="BY210" s="118" t="e">
        <f t="shared" si="84"/>
        <v>#VALUE!</v>
      </c>
      <c r="BZ210" s="14" t="s">
        <v>148</v>
      </c>
      <c r="CA210" s="123" t="e">
        <f>BY216</f>
        <v>#VALUE!</v>
      </c>
    </row>
    <row r="211" spans="36:79" ht="13.5" customHeight="1" x14ac:dyDescent="0.15">
      <c r="AJ211" s="271">
        <f>AJ208*AL218*AK218/AK218</f>
        <v>0.1076281447598547</v>
      </c>
      <c r="AK211" s="272"/>
      <c r="AL211" s="118">
        <f t="shared" si="85"/>
        <v>0.9552119735431347</v>
      </c>
      <c r="AM211" s="118">
        <f>AL211^3+AJ202*AL211+AK202</f>
        <v>1.1066477537582942E-5</v>
      </c>
      <c r="AN211" s="118">
        <f>3*AL211^2+AJ202</f>
        <v>1.9375460327202203</v>
      </c>
      <c r="AO211" s="118">
        <f t="shared" si="80"/>
        <v>0.95520626194849345</v>
      </c>
      <c r="AP211" s="14" t="s">
        <v>149</v>
      </c>
      <c r="AQ211" s="124">
        <f>IF(AQ220=1,0,AK218*AM218^2/(8*AO216))</f>
        <v>83.751544761496447</v>
      </c>
      <c r="AS211" s="271">
        <f>AS208*AU218*AT218/AT218</f>
        <v>0.11669965981818531</v>
      </c>
      <c r="AT211" s="272"/>
      <c r="AU211" s="118">
        <f t="shared" si="86"/>
        <v>0.82226344053762146</v>
      </c>
      <c r="AV211" s="118">
        <f>AU211^3+AS202*AU211+AT202</f>
        <v>7.53039821430046E-5</v>
      </c>
      <c r="AW211" s="118">
        <f>3*AU211^2+AS202</f>
        <v>1.4942508165706703</v>
      </c>
      <c r="AX211" s="118">
        <f t="shared" si="81"/>
        <v>0.82221304472635071</v>
      </c>
      <c r="AY211" s="14" t="s">
        <v>149</v>
      </c>
      <c r="AZ211" s="124">
        <f>IF(OR(B24="",B24="---〃---"),0,IF(OR(AZ220=1,AZ221=1,AZ222=1,AZ223=1,AZ224=1,AZ225=1),0,AT218*AV218^2/(8*AX216)))</f>
        <v>0</v>
      </c>
      <c r="BB211" s="271" t="e">
        <f>BB208*BD218*BC218/BC218</f>
        <v>#VALUE!</v>
      </c>
      <c r="BC211" s="272"/>
      <c r="BD211" s="118" t="e">
        <f t="shared" si="87"/>
        <v>#VALUE!</v>
      </c>
      <c r="BE211" s="118" t="e">
        <f>BD211^3+BB202*BD211+BC202</f>
        <v>#VALUE!</v>
      </c>
      <c r="BF211" s="118" t="e">
        <f>3*BD211^2+BB202</f>
        <v>#VALUE!</v>
      </c>
      <c r="BG211" s="118" t="e">
        <f t="shared" si="82"/>
        <v>#VALUE!</v>
      </c>
      <c r="BH211" s="14" t="s">
        <v>149</v>
      </c>
      <c r="BI211" s="124">
        <f>IF(OR(B25="",B25="---〃---"),0,IF(OR(BI220=1,BI221=1,BI222=1,BI223=1,BI224=1),0,BC218*BE218^2/(8*BG216)))</f>
        <v>0</v>
      </c>
      <c r="BK211" s="271" t="e">
        <f>BK208*BM218*BL218/BL218</f>
        <v>#VALUE!</v>
      </c>
      <c r="BL211" s="272"/>
      <c r="BM211" s="118" t="e">
        <f t="shared" si="88"/>
        <v>#VALUE!</v>
      </c>
      <c r="BN211" s="118" t="e">
        <f>BM211^3+BK202*BM211+BL202</f>
        <v>#VALUE!</v>
      </c>
      <c r="BO211" s="118" t="e">
        <f>3*BM211^2+BK202</f>
        <v>#VALUE!</v>
      </c>
      <c r="BP211" s="118" t="e">
        <f t="shared" si="83"/>
        <v>#VALUE!</v>
      </c>
      <c r="BQ211" s="14" t="s">
        <v>149</v>
      </c>
      <c r="BR211" s="124">
        <f>IF(OR(B26="",B26="---〃---"),0,IF(OR(BR220=1,BR221=1,BR222=1,BR223=1),0,BL218*BN218^2/(8*BP216)))</f>
        <v>0</v>
      </c>
      <c r="BT211" s="271" t="e">
        <f>BT208*BV218*BU218/BU218</f>
        <v>#VALUE!</v>
      </c>
      <c r="BU211" s="272"/>
      <c r="BV211" s="118" t="e">
        <f t="shared" si="89"/>
        <v>#VALUE!</v>
      </c>
      <c r="BW211" s="118" t="e">
        <f>BV211^3+BT202*BV211+BU202</f>
        <v>#VALUE!</v>
      </c>
      <c r="BX211" s="118" t="e">
        <f>3*BV211^2+BT202</f>
        <v>#VALUE!</v>
      </c>
      <c r="BY211" s="118" t="e">
        <f t="shared" si="84"/>
        <v>#VALUE!</v>
      </c>
      <c r="BZ211" s="14" t="s">
        <v>149</v>
      </c>
      <c r="CA211" s="124">
        <f>IF(OR(B27="",B27="---〃---"),0,IF(OR(CA220=1,CA221=1,CA222=1),0,BU218*BW218^2/(8*BY216)))</f>
        <v>0</v>
      </c>
    </row>
    <row r="212" spans="36:79" ht="13.5" customHeight="1" x14ac:dyDescent="0.15">
      <c r="AJ212" s="125"/>
      <c r="AK212" s="126"/>
      <c r="AL212" s="118">
        <f t="shared" si="85"/>
        <v>0.95520626194849345</v>
      </c>
      <c r="AM212" s="118">
        <f>AL212^3+AJ202*AL212+AK202</f>
        <v>9.3483346064182626E-11</v>
      </c>
      <c r="AN212" s="118">
        <f>3*AL212^2+AJ202</f>
        <v>1.9375132981165508</v>
      </c>
      <c r="AO212" s="118">
        <f t="shared" si="80"/>
        <v>0.95520626190024427</v>
      </c>
      <c r="AP212" s="116"/>
      <c r="AQ212" s="117"/>
      <c r="AS212" s="125"/>
      <c r="AT212" s="126"/>
      <c r="AU212" s="118">
        <f t="shared" si="86"/>
        <v>0.82221304472635071</v>
      </c>
      <c r="AV212" s="118">
        <f>AU212^3+AS202*AU212+AT202</f>
        <v>6.2648726761871387E-9</v>
      </c>
      <c r="AW212" s="118">
        <f>3*AU212^2+AS202</f>
        <v>1.4940021923908984</v>
      </c>
      <c r="AX212" s="118">
        <f t="shared" si="81"/>
        <v>0.8222130405330017</v>
      </c>
      <c r="AY212" s="116"/>
      <c r="AZ212" s="117"/>
      <c r="BB212" s="125"/>
      <c r="BC212" s="126"/>
      <c r="BD212" s="118" t="e">
        <f t="shared" si="87"/>
        <v>#VALUE!</v>
      </c>
      <c r="BE212" s="118" t="e">
        <f>BD212^3+BB202*BD212+BC202</f>
        <v>#VALUE!</v>
      </c>
      <c r="BF212" s="118" t="e">
        <f>3*BD212^2+BB202</f>
        <v>#VALUE!</v>
      </c>
      <c r="BG212" s="118" t="e">
        <f t="shared" si="82"/>
        <v>#VALUE!</v>
      </c>
      <c r="BH212" s="116"/>
      <c r="BI212" s="117"/>
      <c r="BK212" s="125"/>
      <c r="BL212" s="126"/>
      <c r="BM212" s="118" t="e">
        <f t="shared" si="88"/>
        <v>#VALUE!</v>
      </c>
      <c r="BN212" s="118" t="e">
        <f>BM212^3+BK202*BM212+BL202</f>
        <v>#VALUE!</v>
      </c>
      <c r="BO212" s="118" t="e">
        <f>3*BM212^2+BK202</f>
        <v>#VALUE!</v>
      </c>
      <c r="BP212" s="118" t="e">
        <f t="shared" si="83"/>
        <v>#VALUE!</v>
      </c>
      <c r="BQ212" s="116"/>
      <c r="BR212" s="117"/>
      <c r="BT212" s="125"/>
      <c r="BU212" s="126"/>
      <c r="BV212" s="118" t="e">
        <f t="shared" si="89"/>
        <v>#VALUE!</v>
      </c>
      <c r="BW212" s="118" t="e">
        <f>BV212^3+BT202*BV212+BU202</f>
        <v>#VALUE!</v>
      </c>
      <c r="BX212" s="118" t="e">
        <f>3*BV212^2+BT202</f>
        <v>#VALUE!</v>
      </c>
      <c r="BY212" s="118" t="e">
        <f t="shared" si="84"/>
        <v>#VALUE!</v>
      </c>
      <c r="BZ212" s="116"/>
      <c r="CA212" s="117"/>
    </row>
    <row r="213" spans="36:79" ht="13.5" customHeight="1" x14ac:dyDescent="0.15">
      <c r="AJ213" s="125"/>
      <c r="AK213" s="126"/>
      <c r="AL213" s="118">
        <f t="shared" si="85"/>
        <v>0.95520626190024427</v>
      </c>
      <c r="AM213" s="118">
        <f>AL213^3+AJ202*AL213+AK202</f>
        <v>0</v>
      </c>
      <c r="AN213" s="118">
        <f>3*AL213^2+AJ202</f>
        <v>1.9375132978400231</v>
      </c>
      <c r="AO213" s="118">
        <f t="shared" si="80"/>
        <v>0.95520626190024427</v>
      </c>
      <c r="AP213" s="112" t="s">
        <v>147</v>
      </c>
      <c r="AQ213" s="113">
        <v>90</v>
      </c>
      <c r="AS213" s="125"/>
      <c r="AT213" s="126"/>
      <c r="AU213" s="118">
        <f t="shared" si="86"/>
        <v>0.8222130405330017</v>
      </c>
      <c r="AV213" s="118">
        <f>AU213^3+AS202*AU213+AT202</f>
        <v>0</v>
      </c>
      <c r="AW213" s="118">
        <f>3*AU213^2+AS202</f>
        <v>1.4940021717039413</v>
      </c>
      <c r="AX213" s="118">
        <f t="shared" si="81"/>
        <v>0.8222130405330017</v>
      </c>
      <c r="AY213" s="112" t="s">
        <v>147</v>
      </c>
      <c r="AZ213" s="113">
        <v>90</v>
      </c>
      <c r="BB213" s="125"/>
      <c r="BC213" s="126"/>
      <c r="BD213" s="118" t="e">
        <f t="shared" si="87"/>
        <v>#VALUE!</v>
      </c>
      <c r="BE213" s="118" t="e">
        <f>BD213^3+BB202*BD213+BC202</f>
        <v>#VALUE!</v>
      </c>
      <c r="BF213" s="118" t="e">
        <f>3*BD213^2+BB202</f>
        <v>#VALUE!</v>
      </c>
      <c r="BG213" s="118" t="e">
        <f t="shared" si="82"/>
        <v>#VALUE!</v>
      </c>
      <c r="BH213" s="112" t="s">
        <v>147</v>
      </c>
      <c r="BI213" s="113">
        <v>90</v>
      </c>
      <c r="BK213" s="125"/>
      <c r="BL213" s="126"/>
      <c r="BM213" s="118" t="e">
        <f t="shared" si="88"/>
        <v>#VALUE!</v>
      </c>
      <c r="BN213" s="118" t="e">
        <f>BM213^3+BK202*BM213+BL202</f>
        <v>#VALUE!</v>
      </c>
      <c r="BO213" s="118" t="e">
        <f>3*BM213^2+BK202</f>
        <v>#VALUE!</v>
      </c>
      <c r="BP213" s="118" t="e">
        <f t="shared" si="83"/>
        <v>#VALUE!</v>
      </c>
      <c r="BQ213" s="112" t="s">
        <v>147</v>
      </c>
      <c r="BR213" s="113">
        <v>90</v>
      </c>
      <c r="BT213" s="125"/>
      <c r="BU213" s="126"/>
      <c r="BV213" s="118" t="e">
        <f t="shared" si="89"/>
        <v>#VALUE!</v>
      </c>
      <c r="BW213" s="118" t="e">
        <f>BV213^3+BT202*BV213+BU202</f>
        <v>#VALUE!</v>
      </c>
      <c r="BX213" s="118" t="e">
        <f>3*BV213^2+BT202</f>
        <v>#VALUE!</v>
      </c>
      <c r="BY213" s="118" t="e">
        <f t="shared" si="84"/>
        <v>#VALUE!</v>
      </c>
      <c r="BZ213" s="112" t="s">
        <v>147</v>
      </c>
      <c r="CA213" s="113">
        <v>90</v>
      </c>
    </row>
    <row r="214" spans="36:79" ht="13.5" customHeight="1" x14ac:dyDescent="0.15">
      <c r="AJ214" s="125"/>
      <c r="AK214" s="126"/>
      <c r="AL214" s="118">
        <f t="shared" si="85"/>
        <v>0.95520626190024427</v>
      </c>
      <c r="AM214" s="118">
        <f>AL214^3+AJ202*AL214+AK202</f>
        <v>0</v>
      </c>
      <c r="AN214" s="118">
        <f>3*AL214^2+AJ202</f>
        <v>1.9375132978400231</v>
      </c>
      <c r="AO214" s="118">
        <f t="shared" si="80"/>
        <v>0.95520626190024427</v>
      </c>
      <c r="AP214" s="128" t="s">
        <v>155</v>
      </c>
      <c r="AQ214" s="32"/>
      <c r="AS214" s="125"/>
      <c r="AT214" s="126"/>
      <c r="AU214" s="118">
        <f t="shared" si="86"/>
        <v>0.8222130405330017</v>
      </c>
      <c r="AV214" s="118">
        <f>AU214^3+AS202*AU214+AT202</f>
        <v>0</v>
      </c>
      <c r="AW214" s="118">
        <f>3*AU214^2+AS202</f>
        <v>1.4940021717039413</v>
      </c>
      <c r="AX214" s="118">
        <f t="shared" si="81"/>
        <v>0.8222130405330017</v>
      </c>
      <c r="AY214" s="128" t="s">
        <v>154</v>
      </c>
      <c r="AZ214" s="32"/>
      <c r="BB214" s="125"/>
      <c r="BC214" s="126"/>
      <c r="BD214" s="118" t="e">
        <f t="shared" si="87"/>
        <v>#VALUE!</v>
      </c>
      <c r="BE214" s="118" t="e">
        <f>BD214^3+BB202*BD214+BC202</f>
        <v>#VALUE!</v>
      </c>
      <c r="BF214" s="118" t="e">
        <f>3*BD214^2+BB202</f>
        <v>#VALUE!</v>
      </c>
      <c r="BG214" s="118" t="e">
        <f t="shared" si="82"/>
        <v>#VALUE!</v>
      </c>
      <c r="BH214" s="128" t="s">
        <v>153</v>
      </c>
      <c r="BI214" s="32"/>
      <c r="BK214" s="125"/>
      <c r="BL214" s="126"/>
      <c r="BM214" s="118" t="e">
        <f t="shared" si="88"/>
        <v>#VALUE!</v>
      </c>
      <c r="BN214" s="118" t="e">
        <f>BM214^3+BK202*BM214+BL202</f>
        <v>#VALUE!</v>
      </c>
      <c r="BO214" s="118" t="e">
        <f>3*BM214^2+BK202</f>
        <v>#VALUE!</v>
      </c>
      <c r="BP214" s="118" t="e">
        <f t="shared" si="83"/>
        <v>#VALUE!</v>
      </c>
      <c r="BQ214" s="128" t="s">
        <v>152</v>
      </c>
      <c r="BR214" s="32"/>
      <c r="BT214" s="125"/>
      <c r="BU214" s="126"/>
      <c r="BV214" s="118" t="e">
        <f t="shared" si="89"/>
        <v>#VALUE!</v>
      </c>
      <c r="BW214" s="118" t="e">
        <f>BV214^3+BT202*BV214+BU202</f>
        <v>#VALUE!</v>
      </c>
      <c r="BX214" s="118" t="e">
        <f>3*BV214^2+BT202</f>
        <v>#VALUE!</v>
      </c>
      <c r="BY214" s="118" t="e">
        <f t="shared" si="84"/>
        <v>#VALUE!</v>
      </c>
      <c r="BZ214" s="128" t="s">
        <v>151</v>
      </c>
      <c r="CA214" s="32"/>
    </row>
    <row r="215" spans="36:79" ht="13.5" customHeight="1" x14ac:dyDescent="0.15">
      <c r="AJ215" s="125"/>
      <c r="AK215" s="126"/>
      <c r="AL215" s="18">
        <f t="shared" si="85"/>
        <v>0.95520626190024427</v>
      </c>
      <c r="AM215" s="18">
        <f>AL215^3+AJ202*AL215+AK202</f>
        <v>0</v>
      </c>
      <c r="AN215" s="18">
        <f>3*AL215^2+AJ202</f>
        <v>1.9375132978400231</v>
      </c>
      <c r="AO215" s="18">
        <f t="shared" si="80"/>
        <v>0.95520626190024427</v>
      </c>
      <c r="AP215" s="273" t="str">
        <f>M58</f>
        <v>無 風 時　90[℃]</v>
      </c>
      <c r="AQ215" s="274"/>
      <c r="AS215" s="125"/>
      <c r="AT215" s="126"/>
      <c r="AU215" s="18">
        <f t="shared" si="86"/>
        <v>0.8222130405330017</v>
      </c>
      <c r="AV215" s="18">
        <f>AU215^3+AS202*AU215+AT202</f>
        <v>0</v>
      </c>
      <c r="AW215" s="18">
        <f>3*AU215^2+AS202</f>
        <v>1.4940021717039413</v>
      </c>
      <c r="AX215" s="18">
        <f t="shared" si="81"/>
        <v>0.8222130405330017</v>
      </c>
      <c r="AY215" s="273" t="str">
        <f>M58</f>
        <v>無 風 時　90[℃]</v>
      </c>
      <c r="AZ215" s="274"/>
      <c r="BB215" s="125"/>
      <c r="BC215" s="126"/>
      <c r="BD215" s="18" t="e">
        <f t="shared" si="87"/>
        <v>#VALUE!</v>
      </c>
      <c r="BE215" s="18" t="e">
        <f>BD215^3+BB202*BD215+BC202</f>
        <v>#VALUE!</v>
      </c>
      <c r="BF215" s="18" t="e">
        <f>3*BD215^2+BB202</f>
        <v>#VALUE!</v>
      </c>
      <c r="BG215" s="18" t="e">
        <f t="shared" si="82"/>
        <v>#VALUE!</v>
      </c>
      <c r="BH215" s="273" t="str">
        <f>M58</f>
        <v>無 風 時　90[℃]</v>
      </c>
      <c r="BI215" s="274"/>
      <c r="BK215" s="125"/>
      <c r="BL215" s="126"/>
      <c r="BM215" s="18" t="e">
        <f t="shared" si="88"/>
        <v>#VALUE!</v>
      </c>
      <c r="BN215" s="18" t="e">
        <f>BM215^3+BK202*BM215+BL202</f>
        <v>#VALUE!</v>
      </c>
      <c r="BO215" s="18" t="e">
        <f>3*BM215^2+BK202</f>
        <v>#VALUE!</v>
      </c>
      <c r="BP215" s="18" t="e">
        <f t="shared" si="83"/>
        <v>#VALUE!</v>
      </c>
      <c r="BQ215" s="273" t="str">
        <f>M58</f>
        <v>無 風 時　90[℃]</v>
      </c>
      <c r="BR215" s="274"/>
      <c r="BT215" s="125"/>
      <c r="BU215" s="126"/>
      <c r="BV215" s="18" t="e">
        <f t="shared" si="89"/>
        <v>#VALUE!</v>
      </c>
      <c r="BW215" s="18" t="e">
        <f>BV215^3+BT202*BV215+BU202</f>
        <v>#VALUE!</v>
      </c>
      <c r="BX215" s="18" t="e">
        <f>3*BV215^2+BT202</f>
        <v>#VALUE!</v>
      </c>
      <c r="BY215" s="18" t="e">
        <f t="shared" si="84"/>
        <v>#VALUE!</v>
      </c>
      <c r="BZ215" s="273" t="str">
        <f>M58</f>
        <v>無 風 時　90[℃]</v>
      </c>
      <c r="CA215" s="274"/>
    </row>
    <row r="216" spans="36:79" ht="13.5" customHeight="1" thickBot="1" x14ac:dyDescent="0.2">
      <c r="AJ216" s="125"/>
      <c r="AK216" s="126"/>
      <c r="AL216" s="114">
        <f>AO215</f>
        <v>0.95520626190024427</v>
      </c>
      <c r="AM216" s="115">
        <f>AL216^3+AJ202*AL216+AK202</f>
        <v>0</v>
      </c>
      <c r="AN216" s="115">
        <f>3*AL216^2+AJ202</f>
        <v>1.9375132978400231</v>
      </c>
      <c r="AO216" s="115">
        <f t="shared" si="80"/>
        <v>0.95520626190024427</v>
      </c>
      <c r="AP216" s="275"/>
      <c r="AQ216" s="276"/>
      <c r="AS216" s="125"/>
      <c r="AT216" s="126"/>
      <c r="AU216" s="114">
        <f>AX215</f>
        <v>0.8222130405330017</v>
      </c>
      <c r="AV216" s="115">
        <f>AU216^3+AS202*AU216+AT202</f>
        <v>0</v>
      </c>
      <c r="AW216" s="115">
        <f>3*AU216^2+AS202</f>
        <v>1.4940021717039413</v>
      </c>
      <c r="AX216" s="115">
        <f t="shared" si="81"/>
        <v>0.8222130405330017</v>
      </c>
      <c r="AY216" s="275"/>
      <c r="AZ216" s="276"/>
      <c r="BB216" s="125"/>
      <c r="BC216" s="126"/>
      <c r="BD216" s="114" t="e">
        <f>BG215</f>
        <v>#VALUE!</v>
      </c>
      <c r="BE216" s="115" t="e">
        <f>BD216^3+BB202*BD216+BC202</f>
        <v>#VALUE!</v>
      </c>
      <c r="BF216" s="115" t="e">
        <f>3*BD216^2+BB202</f>
        <v>#VALUE!</v>
      </c>
      <c r="BG216" s="115" t="e">
        <f t="shared" si="82"/>
        <v>#VALUE!</v>
      </c>
      <c r="BH216" s="275"/>
      <c r="BI216" s="276"/>
      <c r="BK216" s="125"/>
      <c r="BL216" s="126"/>
      <c r="BM216" s="114" t="e">
        <f>BP215</f>
        <v>#VALUE!</v>
      </c>
      <c r="BN216" s="115" t="e">
        <f>BM216^3+BK202*BM216+BL202</f>
        <v>#VALUE!</v>
      </c>
      <c r="BO216" s="115" t="e">
        <f>3*BM216^2+BK202</f>
        <v>#VALUE!</v>
      </c>
      <c r="BP216" s="115" t="e">
        <f t="shared" si="83"/>
        <v>#VALUE!</v>
      </c>
      <c r="BQ216" s="275"/>
      <c r="BR216" s="276"/>
      <c r="BT216" s="125"/>
      <c r="BU216" s="126"/>
      <c r="BV216" s="114" t="e">
        <f>BY215</f>
        <v>#VALUE!</v>
      </c>
      <c r="BW216" s="115" t="e">
        <f>BV216^3+BT202*BV216+BU202</f>
        <v>#VALUE!</v>
      </c>
      <c r="BX216" s="115" t="e">
        <f>3*BV216^2+BT202</f>
        <v>#VALUE!</v>
      </c>
      <c r="BY216" s="115" t="e">
        <f t="shared" si="84"/>
        <v>#VALUE!</v>
      </c>
      <c r="BZ216" s="275"/>
      <c r="CA216" s="276"/>
    </row>
    <row r="217" spans="36:79" ht="13.5" customHeight="1" x14ac:dyDescent="0.15">
      <c r="AJ217" s="62"/>
      <c r="AK217" s="12" t="s">
        <v>53</v>
      </c>
      <c r="AL217" s="12" t="s">
        <v>54</v>
      </c>
      <c r="AM217" s="12" t="s">
        <v>55</v>
      </c>
      <c r="AN217" s="12" t="s">
        <v>56</v>
      </c>
      <c r="AO217" s="63" t="s">
        <v>57</v>
      </c>
      <c r="AP217" s="12" t="s">
        <v>58</v>
      </c>
      <c r="AQ217" s="13" t="s">
        <v>59</v>
      </c>
      <c r="AS217" s="62"/>
      <c r="AT217" s="12" t="s">
        <v>53</v>
      </c>
      <c r="AU217" s="12" t="s">
        <v>54</v>
      </c>
      <c r="AV217" s="12" t="s">
        <v>55</v>
      </c>
      <c r="AW217" s="12" t="s">
        <v>56</v>
      </c>
      <c r="AX217" s="63" t="s">
        <v>57</v>
      </c>
      <c r="AY217" s="12" t="s">
        <v>58</v>
      </c>
      <c r="AZ217" s="13" t="s">
        <v>59</v>
      </c>
      <c r="BB217" s="62"/>
      <c r="BC217" s="12" t="s">
        <v>53</v>
      </c>
      <c r="BD217" s="12" t="s">
        <v>54</v>
      </c>
      <c r="BE217" s="12" t="s">
        <v>55</v>
      </c>
      <c r="BF217" s="12" t="s">
        <v>56</v>
      </c>
      <c r="BG217" s="63" t="s">
        <v>57</v>
      </c>
      <c r="BH217" s="12" t="s">
        <v>58</v>
      </c>
      <c r="BI217" s="13" t="s">
        <v>59</v>
      </c>
      <c r="BK217" s="62"/>
      <c r="BL217" s="12" t="s">
        <v>53</v>
      </c>
      <c r="BM217" s="12" t="s">
        <v>54</v>
      </c>
      <c r="BN217" s="12" t="s">
        <v>55</v>
      </c>
      <c r="BO217" s="12" t="s">
        <v>56</v>
      </c>
      <c r="BP217" s="63" t="s">
        <v>57</v>
      </c>
      <c r="BQ217" s="12" t="s">
        <v>58</v>
      </c>
      <c r="BR217" s="13" t="s">
        <v>59</v>
      </c>
      <c r="BT217" s="62"/>
      <c r="BU217" s="12" t="s">
        <v>53</v>
      </c>
      <c r="BV217" s="12" t="s">
        <v>54</v>
      </c>
      <c r="BW217" s="12" t="s">
        <v>55</v>
      </c>
      <c r="BX217" s="12" t="s">
        <v>56</v>
      </c>
      <c r="BY217" s="63" t="s">
        <v>57</v>
      </c>
      <c r="BZ217" s="12" t="s">
        <v>58</v>
      </c>
      <c r="CA217" s="13" t="s">
        <v>59</v>
      </c>
    </row>
    <row r="218" spans="36:79" ht="13.5" customHeight="1" thickBot="1" x14ac:dyDescent="0.2">
      <c r="AJ218" s="107"/>
      <c r="AK218" s="108">
        <f>M23+U23</f>
        <v>0.4</v>
      </c>
      <c r="AL218" s="108">
        <f>IF(C33="",L19*(F19/40)^2,C33)</f>
        <v>0.5</v>
      </c>
      <c r="AM218" s="108">
        <f>F19</f>
        <v>40</v>
      </c>
      <c r="AN218" s="108">
        <f>AK78*1600/(8*L19)</f>
        <v>160</v>
      </c>
      <c r="AO218" s="109">
        <f>V23</f>
        <v>12000</v>
      </c>
      <c r="AP218" s="108">
        <f>L23</f>
        <v>37.164999999999999</v>
      </c>
      <c r="AQ218" s="110">
        <f>W23</f>
        <v>170</v>
      </c>
      <c r="AS218" s="107"/>
      <c r="AT218" s="108">
        <f>IF(B24="使用電線-2",M24+U24,IF(B25="使用電線-2",M25+U25,IF(B26="使用電線-2",M26+U26,IF(B27="使用電線-2",M27+U27,IF(B28="使用電線-2",M28+U28,IF(B29="使用電線-2",M29+U29,""))))))</f>
        <v>0.75900000000000001</v>
      </c>
      <c r="AU218" s="108">
        <f>IF(I33="",L19*(F19/40)^2,I33)</f>
        <v>0.5</v>
      </c>
      <c r="AV218" s="108">
        <f>F19</f>
        <v>40</v>
      </c>
      <c r="AW218" s="108">
        <f>AT218*1600/(8*L19)</f>
        <v>303.60000000000002</v>
      </c>
      <c r="AX218" s="109">
        <f>IF(B24="使用電線-2",V24,IF(B25="使用電線-2",V25,IF(B26="使用電線-2",V26,IF(B27="使用電線-2",V27,IF(B28="使用電線-2",V28,IF(B29="使用電線-2",V29,""))))))</f>
        <v>21000</v>
      </c>
      <c r="AY218" s="108">
        <f>IF(B24="使用電線-2",L24,IF(B25="使用電線-2",L25,IF(B26="使用電線-2",L26,IF(B27="使用電線-2",L27,IF(B28="使用電線-2",L28,IF(B29="使用電線-2",L29,""))))))</f>
        <v>37.164999999999999</v>
      </c>
      <c r="AZ218" s="110">
        <f>IF(B24="使用電線-2",W24,IF(B25="使用電線-2",W25,IF(B26="使用電線-2",W26,IF(B27="使用電線-2",W27,IF(B28="使用電線-2",W28,IF(B29="使用電線-2",W29,""))))))</f>
        <v>115</v>
      </c>
      <c r="BB218" s="107"/>
      <c r="BC218" s="108" t="str">
        <f>IF(B25="使用電線-3",M25+U25,IF(B26="使用電線-3",M26+U26,IF(B27="使用電線-3",M27+U27,IF(B28="使用電線-3",M28+U28,IF(B29="使用電線-3",M29+U29,"")))))</f>
        <v/>
      </c>
      <c r="BD218" s="108">
        <f>IF(N33="",L19*(F19/40)^2,N33)</f>
        <v>0.5</v>
      </c>
      <c r="BE218" s="108">
        <f>F19</f>
        <v>40</v>
      </c>
      <c r="BF218" s="108" t="e">
        <f>BC218*1600/(8*L19)</f>
        <v>#VALUE!</v>
      </c>
      <c r="BG218" s="109" t="str">
        <f>IF(B25="使用電線-3",V25,IF(B26="使用電線-3",V26,IF(B27="使用電線-3",V27,IF(B28="使用電線-3",V28,IF(B29="使用電線-3",V29,"")))))</f>
        <v/>
      </c>
      <c r="BH218" s="108" t="str">
        <f>IF(B25="使用電線-3",L25,IF(B26="使用電線-3",L26,IF(B27="使用電線-3",L27,IF(B28="使用電線-3",L28,IF(B29="使用電線-3",L29,"")))))</f>
        <v/>
      </c>
      <c r="BI218" s="110" t="str">
        <f>IF(B25="使用電線-3",W25,IF(B26="使用電線-3",W26,IF(B27="使用電線-3",W27,IF(B28="使用電線-3",W28,IF(B29="使用電線-3",W29,"")))))</f>
        <v/>
      </c>
      <c r="BK218" s="107"/>
      <c r="BL218" s="108" t="str">
        <f>IF(B26="使用電線-4",M26+U26,IF(B27="使用電線-4",M27+U27,IF(B28="使用電線-4",M28+U28,IF(B29="使用電線-4",M29+U29,""))))</f>
        <v/>
      </c>
      <c r="BM218" s="108">
        <f>IF(C47="",L19*(F19/40)^2,C47)</f>
        <v>0.5</v>
      </c>
      <c r="BN218" s="108">
        <f>F19</f>
        <v>40</v>
      </c>
      <c r="BO218" s="127" t="e">
        <f>BL218*1600/(8*L19)</f>
        <v>#VALUE!</v>
      </c>
      <c r="BP218" s="109" t="str">
        <f>IF(B26="使用電線-4",V26,IF(B27="使用電線-4",V27,IF(B28="使用電線-4",V28,IF(B29="使用電線-4",V29,""))))</f>
        <v/>
      </c>
      <c r="BQ218" s="108" t="str">
        <f>IF(B26="使用電線-4",L26,IF(B27="使用電線-4",L27,IF(B28="使用電線-4",L28,IF(B29="使用電線-4",L29,""))))</f>
        <v/>
      </c>
      <c r="BR218" s="110" t="str">
        <f>IF(B26="使用電線-4",W26,IF(B27="使用電線-4",W27,IF(B28="使用電線-4",W28,IF(B29="使用電線-4",W29,""))))</f>
        <v/>
      </c>
      <c r="BT218" s="107"/>
      <c r="BU218" s="108" t="str">
        <f>IF(B27="使用電線-5",M27+U27,IF(B28="使用電線-5",M28+U28,IF(B29="使用電線-5",M29+U29,"")))</f>
        <v/>
      </c>
      <c r="BV218" s="108">
        <f>IF(I47="",L19*(F19/40)^2,I47)</f>
        <v>0.5</v>
      </c>
      <c r="BW218" s="108">
        <f>F19</f>
        <v>40</v>
      </c>
      <c r="BX218" s="127" t="e">
        <f>BU218*1600/(8*L19)</f>
        <v>#VALUE!</v>
      </c>
      <c r="BY218" s="109" t="str">
        <f>IF(B27="使用電線-5",V27,IF(B28="使用電線-5",V28,IF(B29="使用電線-5",V29,"")))</f>
        <v/>
      </c>
      <c r="BZ218" s="108" t="str">
        <f>IF(B27="使用電線-5",L27,IF(B28="使用電線-5",L28,IF(B29="使用電線-5",L29,"")))</f>
        <v/>
      </c>
      <c r="CA218" s="110" t="str">
        <f>IF(B27="使用電線-5",W27,IF(B28="使用電線-5",W28,IF(B29="使用電線-5",W29,"")))</f>
        <v/>
      </c>
    </row>
    <row r="219" spans="36:79" ht="13.5" customHeight="1" x14ac:dyDescent="0.15"/>
    <row r="220" spans="36:79" ht="13.5" customHeight="1" x14ac:dyDescent="0.15">
      <c r="AQ220" s="166">
        <f>IF(B23="",0,IF(AND(B23="使用電線-1",OR(D23=AF3,AND(VALUE(LEFT(D23,2))&gt;13,VALUE(LEFT(D23,2))&lt;26))),1,0))</f>
        <v>0</v>
      </c>
      <c r="AZ220" s="166">
        <f>IF(B24="",0,IF(AND(B24="使用電線-2",OR(D24=AF3,AND(VALUE(LEFT(D24,2))&gt;13,VALUE(LEFT(D24,2))&lt;26))),1,0))</f>
        <v>1</v>
      </c>
      <c r="BI220" s="166">
        <f>IF(B25="",0,IF(AND(B25="使用電線-3",OR(D25=AF3,AND(VALUE(LEFT(D25,2))&gt;13,VALUE(LEFT(D25,2))&lt;26))),1,0))</f>
        <v>0</v>
      </c>
      <c r="BR220" s="166">
        <f>IF(B26="",0,IF(AND(B26="使用電線-4",OR(D26=AF3,AND(VALUE(LEFT(D26,2))&gt;13,VALUE(LEFT(D26,2))&lt;26))),1,0))</f>
        <v>0</v>
      </c>
      <c r="CA220" s="166">
        <f>IF(B27="",0,IF(AND(B27="使用電線-5",OR(D27=AF3,AND(VALUE(LEFT(D27,2))&gt;13,VALUE(LEFT(D27,2))&lt;26))),1,0))</f>
        <v>0</v>
      </c>
    </row>
    <row r="221" spans="36:79" ht="13.5" customHeight="1" x14ac:dyDescent="0.15">
      <c r="AZ221" s="166">
        <f>IF(B25="",0,IF(AND(B25="使用電線-2",OR(D25=AF3,AND(VALUE(LEFT(D25,2))&gt;13,VALUE(LEFT(D25,2))&lt;26))),1,0))</f>
        <v>0</v>
      </c>
      <c r="BI221" s="166">
        <f>IF(B26="",0,IF(AND(B26="使用電線-3",OR(D26=AF3,AND(VALUE(LEFT(D26,2))&gt;13,VALUE(LEFT(D26,2))&lt;26))),1,0))</f>
        <v>0</v>
      </c>
      <c r="BR221" s="166">
        <f>IF(B27="",0,IF(AND(B27="使用電線-4",OR(D27=AF3,AND(VALUE(LEFT(D27,2))&gt;13,VALUE(LEFT(D27,2))&lt;26))),1,0))</f>
        <v>0</v>
      </c>
      <c r="CA221" s="166">
        <f>IF(B28="",0,IF(AND(B28="使用電線-5",OR(D28=AF3,AND(VALUE(LEFT(D28,2))&gt;13,VALUE(LEFT(D28,2))&lt;26))),1,0))</f>
        <v>0</v>
      </c>
    </row>
    <row r="222" spans="36:79" ht="13.5" customHeight="1" x14ac:dyDescent="0.15">
      <c r="AZ222" s="166">
        <f>IF(B26="",0,IF(AND(B26="使用電線-2",OR(D26=AF3,AND(VALUE(LEFT(D26,2))&gt;13,VALUE(LEFT(D26,2))&lt;26))),1,0))</f>
        <v>0</v>
      </c>
      <c r="BI222" s="166">
        <f>IF(B27="",0,IF(AND(B27="使用電線-3",OR(D27=AF3,AND(VALUE(LEFT(D27,2))&gt;13,VALUE(LEFT(D27,2))&lt;26))),1,0))</f>
        <v>0</v>
      </c>
      <c r="BR222" s="166">
        <f>IF(B28="",0,IF(AND(B28="使用電線-4",OR(D28=AF3,AND(VALUE(LEFT(D28,2))&gt;13,VALUE(LEFT(D28,2))&lt;26))),1,0))</f>
        <v>0</v>
      </c>
      <c r="CA222" s="166">
        <f>IF(B29="",0,IF(AND(B29="使用電線-5",OR(D29=AF3,AND(VALUE(LEFT(D29,2))&gt;13,VALUE(LEFT(D29,2))&lt;26))),1,0))</f>
        <v>0</v>
      </c>
    </row>
    <row r="223" spans="36:79" ht="13.5" customHeight="1" x14ac:dyDescent="0.15">
      <c r="AZ223" s="166">
        <f>IF(B27="",0,IF(AND(B27="使用電線-2",OR(D27=AF3,AND(VALUE(LEFT(D27,2))&gt;13,VALUE(LEFT(D27,2))&lt;26))),1,0))</f>
        <v>0</v>
      </c>
      <c r="BI223" s="166">
        <f>IF(B28="",0,IF(AND(B28="使用電線-3",OR(D28=AF3,AND(VALUE(LEFT(D28,2))&gt;13,VALUE(LEFT(D28,2))&lt;26))),1,0))</f>
        <v>0</v>
      </c>
      <c r="BR223" s="166">
        <f>IF(B29="",0,IF(AND(B29="使用電線-4",OR(D29=AF3,AND(VALUE(LEFT(D29,2))&gt;13,VALUE(LEFT(D29,2))&lt;26))),1,0))</f>
        <v>0</v>
      </c>
    </row>
    <row r="224" spans="36:79" ht="13.5" customHeight="1" x14ac:dyDescent="0.15">
      <c r="AZ224" s="166">
        <f>IF(B28="",0,IF(AND(B28="使用電線-2",OR(D28=AF3,AND(VALUE(LEFT(D28,2))&gt;13,VALUE(LEFT(D28,2))&lt;26))),1,0))</f>
        <v>0</v>
      </c>
      <c r="BI224" s="166">
        <f>IF(B29="",0,IF(AND(B29="使用電線-3",OR(D29=AF3,AND(VALUE(LEFT(D29,2))&gt;13,VALUE(LEFT(D29,2))&lt;26))),1,0))</f>
        <v>0</v>
      </c>
    </row>
    <row r="225" spans="52:52" ht="13.5" customHeight="1" x14ac:dyDescent="0.15">
      <c r="AZ225" s="166">
        <f>IF(B29="",0,IF(AND(B29="使用電線-2",OR(D29=AF3,AND(VALUE(LEFT(D29,2))&gt;13,VALUE(LEFT(D29,2))&lt;26))),1,0))</f>
        <v>0</v>
      </c>
    </row>
    <row r="226" spans="52:52" ht="13.5" customHeight="1" x14ac:dyDescent="0.15"/>
    <row r="227" spans="52:52" ht="15" customHeight="1" x14ac:dyDescent="0.15"/>
    <row r="228" spans="52:52" ht="15" customHeight="1" x14ac:dyDescent="0.15"/>
    <row r="229" spans="52:52" ht="15" customHeight="1" x14ac:dyDescent="0.15"/>
    <row r="230" spans="52:52" ht="15" customHeight="1" x14ac:dyDescent="0.15"/>
    <row r="231" spans="52:52" ht="15" customHeight="1" x14ac:dyDescent="0.15"/>
    <row r="232" spans="52:52" ht="15" customHeight="1" x14ac:dyDescent="0.15"/>
    <row r="233" spans="52:52" ht="15" customHeight="1" x14ac:dyDescent="0.15"/>
    <row r="234" spans="52:52" ht="15" customHeight="1" x14ac:dyDescent="0.15"/>
    <row r="235" spans="52:52" ht="15" customHeight="1" x14ac:dyDescent="0.15"/>
    <row r="236" spans="52:52" ht="15" customHeight="1" x14ac:dyDescent="0.15"/>
    <row r="237" spans="52:52" ht="15" customHeight="1" x14ac:dyDescent="0.15"/>
    <row r="238" spans="52:52" ht="15" customHeight="1" x14ac:dyDescent="0.15"/>
    <row r="239" spans="52:52" ht="15" customHeight="1" x14ac:dyDescent="0.15"/>
    <row r="240" spans="52:52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</sheetData>
  <sheetProtection password="B220" sheet="1" objects="1" scenarios="1" formatCells="0"/>
  <mergeCells count="509">
    <mergeCell ref="B6:C6"/>
    <mergeCell ref="B26:C26"/>
    <mergeCell ref="B27:C27"/>
    <mergeCell ref="B28:C28"/>
    <mergeCell ref="B19:C19"/>
    <mergeCell ref="B23:C23"/>
    <mergeCell ref="AF57:AF58"/>
    <mergeCell ref="B2:B3"/>
    <mergeCell ref="C2:N3"/>
    <mergeCell ref="C4:N4"/>
    <mergeCell ref="P4:Q4"/>
    <mergeCell ref="B58:C58"/>
    <mergeCell ref="B54:C54"/>
    <mergeCell ref="B55:C55"/>
    <mergeCell ref="B56:C56"/>
    <mergeCell ref="B57:C57"/>
    <mergeCell ref="O50:O51"/>
    <mergeCell ref="M50:N51"/>
    <mergeCell ref="M38:N39"/>
    <mergeCell ref="P36:P37"/>
    <mergeCell ref="M32:N32"/>
    <mergeCell ref="B32:C32"/>
    <mergeCell ref="F32:F33"/>
    <mergeCell ref="G32:I32"/>
    <mergeCell ref="G33:H33"/>
    <mergeCell ref="F36:F37"/>
    <mergeCell ref="D34:D35"/>
    <mergeCell ref="E34:E35"/>
    <mergeCell ref="F34:F35"/>
    <mergeCell ref="F50:F51"/>
    <mergeCell ref="F38:F39"/>
    <mergeCell ref="E48:E49"/>
    <mergeCell ref="B44:C44"/>
    <mergeCell ref="B46:C46"/>
    <mergeCell ref="B38:C39"/>
    <mergeCell ref="B40:C40"/>
    <mergeCell ref="B41:C41"/>
    <mergeCell ref="B42:C42"/>
    <mergeCell ref="B43:C43"/>
    <mergeCell ref="B50:C51"/>
    <mergeCell ref="L1:N1"/>
    <mergeCell ref="O1:Q1"/>
    <mergeCell ref="Q32:Q33"/>
    <mergeCell ref="O34:O35"/>
    <mergeCell ref="P34:P35"/>
    <mergeCell ref="Q34:Q35"/>
    <mergeCell ref="M34:N35"/>
    <mergeCell ref="O20:Q20"/>
    <mergeCell ref="P38:P39"/>
    <mergeCell ref="Q38:Q39"/>
    <mergeCell ref="B52:C53"/>
    <mergeCell ref="B20:C22"/>
    <mergeCell ref="B48:C49"/>
    <mergeCell ref="B24:C24"/>
    <mergeCell ref="B25:C25"/>
    <mergeCell ref="B36:C37"/>
    <mergeCell ref="B30:C30"/>
    <mergeCell ref="B29:C29"/>
    <mergeCell ref="F48:F49"/>
    <mergeCell ref="D38:D39"/>
    <mergeCell ref="E38:E39"/>
    <mergeCell ref="D52:D53"/>
    <mergeCell ref="D50:D51"/>
    <mergeCell ref="E52:E53"/>
    <mergeCell ref="E50:E51"/>
    <mergeCell ref="F46:F47"/>
    <mergeCell ref="D19:E19"/>
    <mergeCell ref="D48:D49"/>
    <mergeCell ref="D20:E22"/>
    <mergeCell ref="D25:E25"/>
    <mergeCell ref="D26:E26"/>
    <mergeCell ref="D30:E30"/>
    <mergeCell ref="D27:E27"/>
    <mergeCell ref="D29:E29"/>
    <mergeCell ref="D36:D37"/>
    <mergeCell ref="E36:E37"/>
    <mergeCell ref="D28:E28"/>
    <mergeCell ref="J19:K19"/>
    <mergeCell ref="J20:J22"/>
    <mergeCell ref="L32:L33"/>
    <mergeCell ref="AJ85:AK85"/>
    <mergeCell ref="AJ86:AK86"/>
    <mergeCell ref="AJ64:AK64"/>
    <mergeCell ref="AJ65:AK65"/>
    <mergeCell ref="AJ66:AK66"/>
    <mergeCell ref="AJ67:AK67"/>
    <mergeCell ref="AJ68:AK68"/>
    <mergeCell ref="AJ83:AK83"/>
    <mergeCell ref="AJ84:AK84"/>
    <mergeCell ref="AJ71:AK71"/>
    <mergeCell ref="Q36:Q37"/>
    <mergeCell ref="Q52:Q53"/>
    <mergeCell ref="Q50:Q51"/>
    <mergeCell ref="K48:K49"/>
    <mergeCell ref="L48:L49"/>
    <mergeCell ref="K52:K53"/>
    <mergeCell ref="L52:L53"/>
    <mergeCell ref="O36:O37"/>
    <mergeCell ref="L46:L47"/>
    <mergeCell ref="L38:L39"/>
    <mergeCell ref="J48:J49"/>
    <mergeCell ref="A1:A59"/>
    <mergeCell ref="AJ70:AK70"/>
    <mergeCell ref="I20:I22"/>
    <mergeCell ref="K20:N20"/>
    <mergeCell ref="B34:C35"/>
    <mergeCell ref="G54:I54"/>
    <mergeCell ref="G19:I19"/>
    <mergeCell ref="M40:N40"/>
    <mergeCell ref="G57:I57"/>
    <mergeCell ref="G44:I44"/>
    <mergeCell ref="G48:I49"/>
    <mergeCell ref="G50:I51"/>
    <mergeCell ref="G52:I53"/>
    <mergeCell ref="G55:I55"/>
    <mergeCell ref="J38:J39"/>
    <mergeCell ref="K38:K39"/>
    <mergeCell ref="G56:I56"/>
    <mergeCell ref="O48:O49"/>
    <mergeCell ref="M48:N49"/>
    <mergeCell ref="O38:O39"/>
    <mergeCell ref="O52:O53"/>
    <mergeCell ref="M52:N53"/>
    <mergeCell ref="M55:N55"/>
    <mergeCell ref="K50:K51"/>
    <mergeCell ref="M58:N58"/>
    <mergeCell ref="M46:N47"/>
    <mergeCell ref="J52:J53"/>
    <mergeCell ref="G43:I43"/>
    <mergeCell ref="AJ63:AK63"/>
    <mergeCell ref="F20:G22"/>
    <mergeCell ref="H20:H22"/>
    <mergeCell ref="D23:E23"/>
    <mergeCell ref="D24:E24"/>
    <mergeCell ref="J50:J51"/>
    <mergeCell ref="G46:I46"/>
    <mergeCell ref="G58:I58"/>
    <mergeCell ref="M43:N43"/>
    <mergeCell ref="M44:N44"/>
    <mergeCell ref="J36:J37"/>
    <mergeCell ref="K36:K37"/>
    <mergeCell ref="L36:L37"/>
    <mergeCell ref="L50:L51"/>
    <mergeCell ref="M56:N56"/>
    <mergeCell ref="M57:N57"/>
    <mergeCell ref="M36:N37"/>
    <mergeCell ref="J34:J35"/>
    <mergeCell ref="K34:K35"/>
    <mergeCell ref="F52:F53"/>
    <mergeCell ref="AP115:AQ116"/>
    <mergeCell ref="AJ123:AK123"/>
    <mergeCell ref="AJ91:AK91"/>
    <mergeCell ref="AP95:AQ96"/>
    <mergeCell ref="AJ103:AK103"/>
    <mergeCell ref="AJ104:AK104"/>
    <mergeCell ref="AJ105:AK105"/>
    <mergeCell ref="AJ106:AK106"/>
    <mergeCell ref="G34:I35"/>
    <mergeCell ref="G36:I37"/>
    <mergeCell ref="G38:I39"/>
    <mergeCell ref="AJ87:AK87"/>
    <mergeCell ref="AJ88:AK88"/>
    <mergeCell ref="AJ90:AK90"/>
    <mergeCell ref="G40:I40"/>
    <mergeCell ref="G41:I41"/>
    <mergeCell ref="G42:I42"/>
    <mergeCell ref="AP75:AQ76"/>
    <mergeCell ref="L34:L35"/>
    <mergeCell ref="G47:H47"/>
    <mergeCell ref="Q48:Q49"/>
    <mergeCell ref="M54:N54"/>
    <mergeCell ref="M41:N41"/>
    <mergeCell ref="M42:N42"/>
    <mergeCell ref="AJ124:AK124"/>
    <mergeCell ref="AJ125:AK125"/>
    <mergeCell ref="AJ126:AK126"/>
    <mergeCell ref="AJ127:AK127"/>
    <mergeCell ref="AJ128:AK128"/>
    <mergeCell ref="AJ130:AK130"/>
    <mergeCell ref="AJ107:AK107"/>
    <mergeCell ref="AJ108:AK108"/>
    <mergeCell ref="AJ110:AK110"/>
    <mergeCell ref="AJ111:AK111"/>
    <mergeCell ref="AJ147:AK147"/>
    <mergeCell ref="AJ148:AK148"/>
    <mergeCell ref="AJ150:AK150"/>
    <mergeCell ref="AJ151:AK151"/>
    <mergeCell ref="AP155:AQ156"/>
    <mergeCell ref="AJ163:AK163"/>
    <mergeCell ref="AJ131:AK131"/>
    <mergeCell ref="AP135:AQ136"/>
    <mergeCell ref="AJ143:AK143"/>
    <mergeCell ref="AJ144:AK144"/>
    <mergeCell ref="AJ145:AK145"/>
    <mergeCell ref="AJ146:AK146"/>
    <mergeCell ref="AJ183:AK183"/>
    <mergeCell ref="AJ184:AK184"/>
    <mergeCell ref="AJ185:AK185"/>
    <mergeCell ref="AJ186:AK186"/>
    <mergeCell ref="AJ164:AK164"/>
    <mergeCell ref="AJ165:AK165"/>
    <mergeCell ref="AJ166:AK166"/>
    <mergeCell ref="AJ167:AK167"/>
    <mergeCell ref="AJ168:AK168"/>
    <mergeCell ref="AJ170:AK170"/>
    <mergeCell ref="AJ211:AK211"/>
    <mergeCell ref="AP215:AQ216"/>
    <mergeCell ref="AS63:AT63"/>
    <mergeCell ref="AS64:AT64"/>
    <mergeCell ref="AS65:AT65"/>
    <mergeCell ref="AS66:AT66"/>
    <mergeCell ref="AS67:AT67"/>
    <mergeCell ref="AS68:AT68"/>
    <mergeCell ref="AS70:AT70"/>
    <mergeCell ref="AS71:AT71"/>
    <mergeCell ref="AJ204:AK204"/>
    <mergeCell ref="AJ205:AK205"/>
    <mergeCell ref="AJ206:AK206"/>
    <mergeCell ref="AJ207:AK207"/>
    <mergeCell ref="AJ208:AK208"/>
    <mergeCell ref="AJ210:AK210"/>
    <mergeCell ref="AJ187:AK187"/>
    <mergeCell ref="AJ188:AK188"/>
    <mergeCell ref="AJ190:AK190"/>
    <mergeCell ref="AJ191:AK191"/>
    <mergeCell ref="AP195:AQ196"/>
    <mergeCell ref="AJ203:AK203"/>
    <mergeCell ref="AJ171:AK171"/>
    <mergeCell ref="AP175:AQ176"/>
    <mergeCell ref="AY95:AZ96"/>
    <mergeCell ref="AS103:AT103"/>
    <mergeCell ref="AS104:AT104"/>
    <mergeCell ref="AY75:AZ76"/>
    <mergeCell ref="AS83:AT83"/>
    <mergeCell ref="AS84:AT84"/>
    <mergeCell ref="AS85:AT85"/>
    <mergeCell ref="AS86:AT86"/>
    <mergeCell ref="AS87:AT87"/>
    <mergeCell ref="AS105:AT105"/>
    <mergeCell ref="AS106:AT106"/>
    <mergeCell ref="AS107:AT107"/>
    <mergeCell ref="AS108:AT108"/>
    <mergeCell ref="AS110:AT110"/>
    <mergeCell ref="AS111:AT111"/>
    <mergeCell ref="AS88:AT88"/>
    <mergeCell ref="AS90:AT90"/>
    <mergeCell ref="AS91:AT91"/>
    <mergeCell ref="AY135:AZ136"/>
    <mergeCell ref="AS143:AT143"/>
    <mergeCell ref="AS144:AT144"/>
    <mergeCell ref="AY115:AZ116"/>
    <mergeCell ref="AS123:AT123"/>
    <mergeCell ref="AS124:AT124"/>
    <mergeCell ref="AS125:AT125"/>
    <mergeCell ref="AS126:AT126"/>
    <mergeCell ref="AS127:AT127"/>
    <mergeCell ref="AS145:AT145"/>
    <mergeCell ref="AS146:AT146"/>
    <mergeCell ref="AS147:AT147"/>
    <mergeCell ref="AS148:AT148"/>
    <mergeCell ref="AS150:AT150"/>
    <mergeCell ref="AS151:AT151"/>
    <mergeCell ref="AS128:AT128"/>
    <mergeCell ref="AS130:AT130"/>
    <mergeCell ref="AS131:AT131"/>
    <mergeCell ref="AS171:AT171"/>
    <mergeCell ref="AY175:AZ176"/>
    <mergeCell ref="AS183:AT183"/>
    <mergeCell ref="AS184:AT184"/>
    <mergeCell ref="AY155:AZ156"/>
    <mergeCell ref="AS163:AT163"/>
    <mergeCell ref="AS164:AT164"/>
    <mergeCell ref="AS165:AT165"/>
    <mergeCell ref="AS166:AT166"/>
    <mergeCell ref="AS167:AT167"/>
    <mergeCell ref="AS208:AT208"/>
    <mergeCell ref="AS210:AT210"/>
    <mergeCell ref="AS211:AT211"/>
    <mergeCell ref="AY215:AZ216"/>
    <mergeCell ref="BB63:BC63"/>
    <mergeCell ref="BB64:BC64"/>
    <mergeCell ref="BB65:BC65"/>
    <mergeCell ref="BB66:BC66"/>
    <mergeCell ref="BB67:BC67"/>
    <mergeCell ref="BB68:BC68"/>
    <mergeCell ref="AY195:AZ196"/>
    <mergeCell ref="AS203:AT203"/>
    <mergeCell ref="AS204:AT204"/>
    <mergeCell ref="AS205:AT205"/>
    <mergeCell ref="AS206:AT206"/>
    <mergeCell ref="AS207:AT207"/>
    <mergeCell ref="AS185:AT185"/>
    <mergeCell ref="AS186:AT186"/>
    <mergeCell ref="AS187:AT187"/>
    <mergeCell ref="AS188:AT188"/>
    <mergeCell ref="AS190:AT190"/>
    <mergeCell ref="AS191:AT191"/>
    <mergeCell ref="AS168:AT168"/>
    <mergeCell ref="AS170:AT170"/>
    <mergeCell ref="BH95:BI96"/>
    <mergeCell ref="BB103:BC103"/>
    <mergeCell ref="BB70:BC70"/>
    <mergeCell ref="BB71:BC71"/>
    <mergeCell ref="BB86:BC86"/>
    <mergeCell ref="BH75:BI76"/>
    <mergeCell ref="BB83:BC83"/>
    <mergeCell ref="BB84:BC84"/>
    <mergeCell ref="BB85:BC85"/>
    <mergeCell ref="BB104:BC104"/>
    <mergeCell ref="BB105:BC105"/>
    <mergeCell ref="BB106:BC106"/>
    <mergeCell ref="BB107:BC107"/>
    <mergeCell ref="BB108:BC108"/>
    <mergeCell ref="BB110:BC110"/>
    <mergeCell ref="BB87:BC87"/>
    <mergeCell ref="BB88:BC88"/>
    <mergeCell ref="BB90:BC90"/>
    <mergeCell ref="BB91:BC91"/>
    <mergeCell ref="BB130:BC130"/>
    <mergeCell ref="BB131:BC131"/>
    <mergeCell ref="BH135:BI136"/>
    <mergeCell ref="BB143:BC143"/>
    <mergeCell ref="BB111:BC111"/>
    <mergeCell ref="BH115:BI116"/>
    <mergeCell ref="BB123:BC123"/>
    <mergeCell ref="BB124:BC124"/>
    <mergeCell ref="BB125:BC125"/>
    <mergeCell ref="BB126:BC126"/>
    <mergeCell ref="BB211:BC211"/>
    <mergeCell ref="BH215:BI216"/>
    <mergeCell ref="BK63:BL63"/>
    <mergeCell ref="BK64:BL64"/>
    <mergeCell ref="BK65:BL65"/>
    <mergeCell ref="BK66:BL66"/>
    <mergeCell ref="BK67:BL67"/>
    <mergeCell ref="BB191:BC191"/>
    <mergeCell ref="BH195:BI196"/>
    <mergeCell ref="BB203:BC203"/>
    <mergeCell ref="BB204:BC204"/>
    <mergeCell ref="BB205:BC205"/>
    <mergeCell ref="BB206:BC206"/>
    <mergeCell ref="BB184:BC184"/>
    <mergeCell ref="BB185:BC185"/>
    <mergeCell ref="BB186:BC186"/>
    <mergeCell ref="BB187:BC187"/>
    <mergeCell ref="BB188:BC188"/>
    <mergeCell ref="BB190:BC190"/>
    <mergeCell ref="BB167:BC167"/>
    <mergeCell ref="BB168:BC168"/>
    <mergeCell ref="BB170:BC170"/>
    <mergeCell ref="BB171:BC171"/>
    <mergeCell ref="BH175:BI176"/>
    <mergeCell ref="BK68:BL68"/>
    <mergeCell ref="BK70:BL70"/>
    <mergeCell ref="BK71:BL71"/>
    <mergeCell ref="BQ75:BR76"/>
    <mergeCell ref="BK83:BL83"/>
    <mergeCell ref="BK84:BL84"/>
    <mergeCell ref="BB207:BC207"/>
    <mergeCell ref="BB208:BC208"/>
    <mergeCell ref="BB210:BC210"/>
    <mergeCell ref="BB183:BC183"/>
    <mergeCell ref="BB151:BC151"/>
    <mergeCell ref="BH155:BI156"/>
    <mergeCell ref="BB163:BC163"/>
    <mergeCell ref="BB164:BC164"/>
    <mergeCell ref="BB165:BC165"/>
    <mergeCell ref="BB166:BC166"/>
    <mergeCell ref="BB144:BC144"/>
    <mergeCell ref="BB145:BC145"/>
    <mergeCell ref="BB146:BC146"/>
    <mergeCell ref="BB147:BC147"/>
    <mergeCell ref="BB148:BC148"/>
    <mergeCell ref="BB150:BC150"/>
    <mergeCell ref="BB127:BC127"/>
    <mergeCell ref="BB128:BC128"/>
    <mergeCell ref="BK103:BL103"/>
    <mergeCell ref="BK104:BL104"/>
    <mergeCell ref="BK105:BL105"/>
    <mergeCell ref="BK106:BL106"/>
    <mergeCell ref="BK107:BL107"/>
    <mergeCell ref="BK85:BL85"/>
    <mergeCell ref="BK86:BL86"/>
    <mergeCell ref="BK87:BL87"/>
    <mergeCell ref="BK88:BL88"/>
    <mergeCell ref="BK90:BL90"/>
    <mergeCell ref="BK91:BL91"/>
    <mergeCell ref="BK125:BL125"/>
    <mergeCell ref="BK126:BL126"/>
    <mergeCell ref="BK127:BL127"/>
    <mergeCell ref="BK128:BL128"/>
    <mergeCell ref="BK130:BL130"/>
    <mergeCell ref="BK131:BL131"/>
    <mergeCell ref="BK108:BL108"/>
    <mergeCell ref="BK110:BL110"/>
    <mergeCell ref="BK111:BL111"/>
    <mergeCell ref="BK123:BL123"/>
    <mergeCell ref="BK124:BL124"/>
    <mergeCell ref="BK148:BL148"/>
    <mergeCell ref="BK150:BL150"/>
    <mergeCell ref="BK151:BL151"/>
    <mergeCell ref="BQ155:BR156"/>
    <mergeCell ref="BK163:BL163"/>
    <mergeCell ref="BK164:BL164"/>
    <mergeCell ref="BQ135:BR136"/>
    <mergeCell ref="BK143:BL143"/>
    <mergeCell ref="BK144:BL144"/>
    <mergeCell ref="BK145:BL145"/>
    <mergeCell ref="BK146:BL146"/>
    <mergeCell ref="BK147:BL147"/>
    <mergeCell ref="BK183:BL183"/>
    <mergeCell ref="BK184:BL184"/>
    <mergeCell ref="BK185:BL185"/>
    <mergeCell ref="BK186:BL186"/>
    <mergeCell ref="BK187:BL187"/>
    <mergeCell ref="BK165:BL165"/>
    <mergeCell ref="BK166:BL166"/>
    <mergeCell ref="BK167:BL167"/>
    <mergeCell ref="BK168:BL168"/>
    <mergeCell ref="BK170:BL170"/>
    <mergeCell ref="BK171:BL171"/>
    <mergeCell ref="BK205:BL205"/>
    <mergeCell ref="BK206:BL206"/>
    <mergeCell ref="BK207:BL207"/>
    <mergeCell ref="BK208:BL208"/>
    <mergeCell ref="BK210:BL210"/>
    <mergeCell ref="BK211:BL211"/>
    <mergeCell ref="BK188:BL188"/>
    <mergeCell ref="BK190:BL190"/>
    <mergeCell ref="BK191:BL191"/>
    <mergeCell ref="BK203:BL203"/>
    <mergeCell ref="BK204:BL204"/>
    <mergeCell ref="BZ75:CA76"/>
    <mergeCell ref="BT83:BU83"/>
    <mergeCell ref="BT84:BU84"/>
    <mergeCell ref="BT85:BU85"/>
    <mergeCell ref="BT87:BU87"/>
    <mergeCell ref="BT88:BU88"/>
    <mergeCell ref="BQ215:BR216"/>
    <mergeCell ref="BT63:BU63"/>
    <mergeCell ref="BT64:BU64"/>
    <mergeCell ref="BT65:BU65"/>
    <mergeCell ref="BT66:BU66"/>
    <mergeCell ref="BT67:BU67"/>
    <mergeCell ref="BT68:BU68"/>
    <mergeCell ref="BT70:BU70"/>
    <mergeCell ref="BT71:BU71"/>
    <mergeCell ref="BT86:BU86"/>
    <mergeCell ref="BQ195:BR196"/>
    <mergeCell ref="BQ175:BR176"/>
    <mergeCell ref="BQ115:BR116"/>
    <mergeCell ref="BQ95:BR96"/>
    <mergeCell ref="BT106:BU106"/>
    <mergeCell ref="BT107:BU107"/>
    <mergeCell ref="BT108:BU108"/>
    <mergeCell ref="BT110:BU110"/>
    <mergeCell ref="BT111:BU111"/>
    <mergeCell ref="BZ115:CA116"/>
    <mergeCell ref="BT90:BU90"/>
    <mergeCell ref="BT91:BU91"/>
    <mergeCell ref="BZ95:CA96"/>
    <mergeCell ref="BT103:BU103"/>
    <mergeCell ref="BT104:BU104"/>
    <mergeCell ref="BT105:BU105"/>
    <mergeCell ref="BZ155:CA156"/>
    <mergeCell ref="BT130:BU130"/>
    <mergeCell ref="BT131:BU131"/>
    <mergeCell ref="BZ135:CA136"/>
    <mergeCell ref="BT143:BU143"/>
    <mergeCell ref="BT144:BU144"/>
    <mergeCell ref="BT145:BU145"/>
    <mergeCell ref="BT123:BU123"/>
    <mergeCell ref="BT124:BU124"/>
    <mergeCell ref="BT125:BU125"/>
    <mergeCell ref="BT126:BU126"/>
    <mergeCell ref="BT127:BU127"/>
    <mergeCell ref="BT128:BU128"/>
    <mergeCell ref="BT163:BU163"/>
    <mergeCell ref="BT164:BU164"/>
    <mergeCell ref="BT165:BU165"/>
    <mergeCell ref="BT166:BU166"/>
    <mergeCell ref="BT167:BU167"/>
    <mergeCell ref="BT168:BU168"/>
    <mergeCell ref="BT146:BU146"/>
    <mergeCell ref="BT147:BU147"/>
    <mergeCell ref="BT148:BU148"/>
    <mergeCell ref="BT150:BU150"/>
    <mergeCell ref="BT151:BU151"/>
    <mergeCell ref="BT186:BU186"/>
    <mergeCell ref="BT187:BU187"/>
    <mergeCell ref="BT188:BU188"/>
    <mergeCell ref="BT190:BU190"/>
    <mergeCell ref="BT191:BU191"/>
    <mergeCell ref="BZ195:CA196"/>
    <mergeCell ref="BT170:BU170"/>
    <mergeCell ref="BT171:BU171"/>
    <mergeCell ref="BZ175:CA176"/>
    <mergeCell ref="BT183:BU183"/>
    <mergeCell ref="BT184:BU184"/>
    <mergeCell ref="BT185:BU185"/>
    <mergeCell ref="BT203:BU203"/>
    <mergeCell ref="BT204:BU204"/>
    <mergeCell ref="BT210:BU210"/>
    <mergeCell ref="BT211:BU211"/>
    <mergeCell ref="BZ215:CA216"/>
    <mergeCell ref="BT205:BU205"/>
    <mergeCell ref="BT206:BU206"/>
    <mergeCell ref="BT207:BU207"/>
    <mergeCell ref="BT208:BU208"/>
  </mergeCells>
  <phoneticPr fontId="2"/>
  <dataValidations count="5">
    <dataValidation type="list" showInputMessage="1" showErrorMessage="1" sqref="D24:E29 D31:E31">
      <formula1>$AF$3:$AF$44</formula1>
    </dataValidation>
    <dataValidation type="list" errorStyle="warning" showInputMessage="1" showErrorMessage="1" sqref="D23">
      <formula1>$AF$3:$AF$44</formula1>
    </dataValidation>
    <dataValidation type="list" errorStyle="warning" allowBlank="1" showInputMessage="1" showErrorMessage="1" sqref="I23:I29">
      <formula1>$AH$3:$AH$11</formula1>
    </dataValidation>
    <dataValidation type="custom" allowBlank="1" showInputMessage="1" showErrorMessage="1" errorTitle="弛度補正入力" error="使用電線を選択してください。" sqref="I47 I33">
      <formula1>IF(G33="弛度補正",TRUE,FALSE)</formula1>
    </dataValidation>
    <dataValidation type="custom" allowBlank="1" showInputMessage="1" showErrorMessage="1" errorTitle="弛度補正値入力" error="使用電線を選択して下さい!!" sqref="C47 C33 N33">
      <formula1>IF(B33="弛度補正",TRUE,FALSE)</formula1>
    </dataValidation>
  </dataValidations>
  <pageMargins left="0.70866141732283472" right="0.39370078740157483" top="0.43307086614173229" bottom="0.43307086614173229" header="0" footer="0"/>
  <pageSetup paperSize="9" scale="98" orientation="portrait" r:id="rId1"/>
  <headerFooter alignWithMargins="0">
    <oddFooter>&amp;RNo.１</oddFooter>
  </headerFooter>
  <colBreaks count="1" manualBreakCount="1">
    <brk id="18" max="1048575" man="1"/>
  </colBreaks>
  <drawing r:id="rId2"/>
  <legacyDrawing r:id="rId3"/>
  <oleObjects>
    <mc:AlternateContent xmlns:mc="http://schemas.openxmlformats.org/markup-compatibility/2006">
      <mc:Choice Requires="x14">
        <oleObject progId="Equation.3" shapeId="1056" r:id="rId4">
          <objectPr defaultSize="0" autoPict="0" r:id="rId5">
            <anchor moveWithCells="1" sizeWithCells="1">
              <from>
                <xdr:col>12</xdr:col>
                <xdr:colOff>466725</xdr:colOff>
                <xdr:row>8</xdr:row>
                <xdr:rowOff>180975</xdr:rowOff>
              </from>
              <to>
                <xdr:col>14</xdr:col>
                <xdr:colOff>66675</xdr:colOff>
                <xdr:row>10</xdr:row>
                <xdr:rowOff>123825</xdr:rowOff>
              </to>
            </anchor>
          </objectPr>
        </oleObject>
      </mc:Choice>
      <mc:Fallback>
        <oleObject progId="Equation.3" shapeId="1056" r:id="rId4"/>
      </mc:Fallback>
    </mc:AlternateContent>
    <mc:AlternateContent xmlns:mc="http://schemas.openxmlformats.org/markup-compatibility/2006">
      <mc:Choice Requires="x14">
        <oleObject progId="Equation.3" shapeId="1036" r:id="rId6">
          <objectPr defaultSize="0" autoPict="0" r:id="rId7">
            <anchor moveWithCells="1" sizeWithCells="1">
              <from>
                <xdr:col>9</xdr:col>
                <xdr:colOff>0</xdr:colOff>
                <xdr:row>7</xdr:row>
                <xdr:rowOff>28575</xdr:rowOff>
              </from>
              <to>
                <xdr:col>11</xdr:col>
                <xdr:colOff>409575</xdr:colOff>
                <xdr:row>8</xdr:row>
                <xdr:rowOff>171450</xdr:rowOff>
              </to>
            </anchor>
          </objectPr>
        </oleObject>
      </mc:Choice>
      <mc:Fallback>
        <oleObject progId="Equation.3" shapeId="1036" r:id="rId6"/>
      </mc:Fallback>
    </mc:AlternateContent>
    <mc:AlternateContent xmlns:mc="http://schemas.openxmlformats.org/markup-compatibility/2006">
      <mc:Choice Requires="x14">
        <oleObject progId="Equation.3" shapeId="1037" r:id="rId8">
          <objectPr defaultSize="0" autoPict="0" r:id="rId9">
            <anchor moveWithCells="1" sizeWithCells="1">
              <from>
                <xdr:col>12</xdr:col>
                <xdr:colOff>352425</xdr:colOff>
                <xdr:row>7</xdr:row>
                <xdr:rowOff>38100</xdr:rowOff>
              </from>
              <to>
                <xdr:col>14</xdr:col>
                <xdr:colOff>85725</xdr:colOff>
                <xdr:row>8</xdr:row>
                <xdr:rowOff>152400</xdr:rowOff>
              </to>
            </anchor>
          </objectPr>
        </oleObject>
      </mc:Choice>
      <mc:Fallback>
        <oleObject progId="Equation.3" shapeId="1037" r:id="rId8"/>
      </mc:Fallback>
    </mc:AlternateContent>
    <mc:AlternateContent xmlns:mc="http://schemas.openxmlformats.org/markup-compatibility/2006">
      <mc:Choice Requires="x14">
        <oleObject progId="Equation.3" shapeId="1039" r:id="rId10">
          <objectPr defaultSize="0" autoPict="0" r:id="rId11">
            <anchor moveWithCells="1" sizeWithCells="1">
              <from>
                <xdr:col>3</xdr:col>
                <xdr:colOff>38100</xdr:colOff>
                <xdr:row>8</xdr:row>
                <xdr:rowOff>200025</xdr:rowOff>
              </from>
              <to>
                <xdr:col>7</xdr:col>
                <xdr:colOff>133350</xdr:colOff>
                <xdr:row>10</xdr:row>
                <xdr:rowOff>123825</xdr:rowOff>
              </to>
            </anchor>
          </objectPr>
        </oleObject>
      </mc:Choice>
      <mc:Fallback>
        <oleObject progId="Equation.3" shapeId="1039" r:id="rId10"/>
      </mc:Fallback>
    </mc:AlternateContent>
    <mc:AlternateContent xmlns:mc="http://schemas.openxmlformats.org/markup-compatibility/2006">
      <mc:Choice Requires="x14">
        <oleObject progId="Equation.3" shapeId="1041" r:id="rId12">
          <objectPr defaultSize="0" autoPict="0" r:id="rId13">
            <anchor moveWithCells="1" sizeWithCells="1">
              <from>
                <xdr:col>8</xdr:col>
                <xdr:colOff>104775</xdr:colOff>
                <xdr:row>8</xdr:row>
                <xdr:rowOff>161925</xdr:rowOff>
              </from>
              <to>
                <xdr:col>10</xdr:col>
                <xdr:colOff>133350</xdr:colOff>
                <xdr:row>10</xdr:row>
                <xdr:rowOff>114300</xdr:rowOff>
              </to>
            </anchor>
          </objectPr>
        </oleObject>
      </mc:Choice>
      <mc:Fallback>
        <oleObject progId="Equation.3" shapeId="1041" r:id="rId12"/>
      </mc:Fallback>
    </mc:AlternateContent>
    <mc:AlternateContent xmlns:mc="http://schemas.openxmlformats.org/markup-compatibility/2006">
      <mc:Choice Requires="x14">
        <oleObject progId="Equation.3" shapeId="1042" r:id="rId14">
          <objectPr defaultSize="0" autoPict="0" r:id="rId15">
            <anchor moveWithCells="1" sizeWithCells="1">
              <from>
                <xdr:col>10</xdr:col>
                <xdr:colOff>304800</xdr:colOff>
                <xdr:row>8</xdr:row>
                <xdr:rowOff>200025</xdr:rowOff>
              </from>
              <to>
                <xdr:col>12</xdr:col>
                <xdr:colOff>209550</xdr:colOff>
                <xdr:row>10</xdr:row>
                <xdr:rowOff>104775</xdr:rowOff>
              </to>
            </anchor>
          </objectPr>
        </oleObject>
      </mc:Choice>
      <mc:Fallback>
        <oleObject progId="Equation.3" shapeId="1042" r:id="rId14"/>
      </mc:Fallback>
    </mc:AlternateContent>
    <mc:AlternateContent xmlns:mc="http://schemas.openxmlformats.org/markup-compatibility/2006">
      <mc:Choice Requires="x14">
        <oleObject progId="Equation.3" shapeId="1057" r:id="rId16">
          <objectPr defaultSize="0" autoPict="0" r:id="rId17">
            <anchor moveWithCells="1" sizeWithCells="1">
              <from>
                <xdr:col>14</xdr:col>
                <xdr:colOff>257175</xdr:colOff>
                <xdr:row>9</xdr:row>
                <xdr:rowOff>0</xdr:rowOff>
              </from>
              <to>
                <xdr:col>15</xdr:col>
                <xdr:colOff>390525</xdr:colOff>
                <xdr:row>10</xdr:row>
                <xdr:rowOff>123825</xdr:rowOff>
              </to>
            </anchor>
          </objectPr>
        </oleObject>
      </mc:Choice>
      <mc:Fallback>
        <oleObject progId="Equation.3" shapeId="1057" r:id="rId16"/>
      </mc:Fallback>
    </mc:AlternateContent>
    <mc:AlternateContent xmlns:mc="http://schemas.openxmlformats.org/markup-compatibility/2006">
      <mc:Choice Requires="x14">
        <oleObject progId="Equation.3" shapeId="1059" r:id="rId18">
          <objectPr defaultSize="0" autoPict="0" r:id="rId19">
            <anchor moveWithCells="1" sizeWithCells="1">
              <from>
                <xdr:col>2</xdr:col>
                <xdr:colOff>66675</xdr:colOff>
                <xdr:row>7</xdr:row>
                <xdr:rowOff>38100</xdr:rowOff>
              </from>
              <to>
                <xdr:col>6</xdr:col>
                <xdr:colOff>180975</xdr:colOff>
                <xdr:row>8</xdr:row>
                <xdr:rowOff>171450</xdr:rowOff>
              </to>
            </anchor>
          </objectPr>
        </oleObject>
      </mc:Choice>
      <mc:Fallback>
        <oleObject progId="Equation.3" shapeId="1059" r:id="rId1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26"/>
  </sheetPr>
  <dimension ref="A1:CA28212"/>
  <sheetViews>
    <sheetView view="pageBreakPreview" zoomScaleNormal="100" zoomScaleSheetLayoutView="100" workbookViewId="0">
      <selection sqref="A1:A59"/>
    </sheetView>
  </sheetViews>
  <sheetFormatPr defaultRowHeight="13.5" x14ac:dyDescent="0.15"/>
  <cols>
    <col min="1" max="1" width="2.125" style="1" customWidth="1"/>
    <col min="2" max="2" width="6.75" style="1" customWidth="1"/>
    <col min="3" max="3" width="7.125" style="1" customWidth="1"/>
    <col min="4" max="4" width="5.875" style="1" customWidth="1"/>
    <col min="5" max="6" width="5.5" style="1" customWidth="1"/>
    <col min="7" max="7" width="3" style="1" customWidth="1"/>
    <col min="8" max="8" width="3.75" style="1" customWidth="1"/>
    <col min="9" max="9" width="7.125" style="1" customWidth="1"/>
    <col min="10" max="10" width="5.75" style="1" customWidth="1"/>
    <col min="11" max="11" width="5.375" style="1" customWidth="1"/>
    <col min="12" max="12" width="5.5" style="1" customWidth="1"/>
    <col min="13" max="14" width="7" style="1" customWidth="1"/>
    <col min="15" max="15" width="5.75" style="1" customWidth="1"/>
    <col min="16" max="16" width="5.625" style="1" customWidth="1"/>
    <col min="17" max="17" width="5.5" style="1" customWidth="1"/>
    <col min="18" max="18" width="1.25" style="1" customWidth="1"/>
    <col min="19" max="31" width="10" style="1" hidden="1" customWidth="1"/>
    <col min="32" max="32" width="11.25" style="1" customWidth="1"/>
    <col min="33" max="33" width="1.25" style="1" customWidth="1"/>
    <col min="34" max="34" width="10" style="1" customWidth="1"/>
    <col min="35" max="79" width="10" style="1" hidden="1" customWidth="1"/>
    <col min="80" max="80" width="10" style="1" customWidth="1"/>
    <col min="81" max="16384" width="9" style="1"/>
  </cols>
  <sheetData>
    <row r="1" spans="1:50" ht="13.5" customHeight="1" thickBot="1" x14ac:dyDescent="0.2">
      <c r="A1" s="339" t="s">
        <v>127</v>
      </c>
      <c r="B1" s="256" t="s">
        <v>164</v>
      </c>
      <c r="C1" s="256"/>
      <c r="D1" s="176"/>
      <c r="E1" s="176"/>
      <c r="F1" s="176"/>
      <c r="G1" s="176"/>
      <c r="H1" s="176"/>
      <c r="I1" s="176"/>
      <c r="J1" s="176"/>
      <c r="K1" s="176"/>
      <c r="L1" s="377"/>
      <c r="M1" s="377"/>
      <c r="N1" s="377"/>
      <c r="O1" s="378">
        <f ca="1">NOW()</f>
        <v>43058.134259837963</v>
      </c>
      <c r="P1" s="378"/>
      <c r="Q1" s="37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K1" s="246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</row>
    <row r="2" spans="1:50" ht="15" customHeight="1" x14ac:dyDescent="0.15">
      <c r="A2" s="339"/>
      <c r="B2" s="398"/>
      <c r="C2" s="413" t="str">
        <f>'WireDip-01'!C2</f>
        <v xml:space="preserve"> 貴社名を入力して下さい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2"/>
      <c r="O2" s="257"/>
      <c r="P2" s="258"/>
      <c r="Q2" s="259"/>
      <c r="AF2" s="42" t="s">
        <v>248</v>
      </c>
      <c r="AH2" s="490" t="s">
        <v>27</v>
      </c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</row>
    <row r="3" spans="1:50" ht="10.5" customHeight="1" x14ac:dyDescent="0.15">
      <c r="A3" s="339"/>
      <c r="B3" s="399"/>
      <c r="C3" s="403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  <c r="O3" s="260"/>
      <c r="P3" s="261"/>
      <c r="Q3" s="262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66" t="str">
        <f>IF('WireDip-01'!AF3="","",'WireDip-01'!AF3)</f>
        <v>01-600V ＯＷ</v>
      </c>
      <c r="AG3" s="24"/>
      <c r="AH3" s="491" t="str">
        <f>IF('WireDip-01'!AH3="","",'WireDip-01'!AH3)</f>
        <v>MW  22sq</v>
      </c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</row>
    <row r="4" spans="1:50" ht="16.5" customHeight="1" thickBot="1" x14ac:dyDescent="0.2">
      <c r="A4" s="339"/>
      <c r="B4" s="488" t="s">
        <v>178</v>
      </c>
      <c r="C4" s="406" t="str">
        <f>'WireDip-01'!C4</f>
        <v xml:space="preserve"> 物件名を入力して下さい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8"/>
      <c r="O4" s="263" t="s">
        <v>180</v>
      </c>
      <c r="P4" s="409" t="str">
        <f>'WireDip-01'!P4</f>
        <v>サイン</v>
      </c>
      <c r="Q4" s="410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66" t="str">
        <f>IF('WireDip-01'!AF4="","",'WireDip-01'!AF4)</f>
        <v>02-6KV ＯＣ</v>
      </c>
      <c r="AG4" s="25"/>
      <c r="AH4" s="266" t="str">
        <f>IF('WireDip-01'!AH4="","",'WireDip-01'!AH4)</f>
        <v>MW  38sq</v>
      </c>
      <c r="AI4" s="26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</row>
    <row r="5" spans="1:50" ht="15.75" customHeight="1" thickBot="1" x14ac:dyDescent="0.2">
      <c r="A5" s="339"/>
      <c r="B5" s="20" t="s">
        <v>182</v>
      </c>
      <c r="C5" s="183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55" t="s">
        <v>183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66" t="str">
        <f>IF('WireDip-01'!AF5="","",'WireDip-01'!AF5)</f>
        <v>03-6KV ＯＥ</v>
      </c>
      <c r="AG5" s="40"/>
      <c r="AH5" s="266" t="str">
        <f>IF('WireDip-01'!AH5="","",'WireDip-01'!AH5)</f>
        <v>MW  55sq</v>
      </c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</row>
    <row r="6" spans="1:50" ht="18" customHeight="1" x14ac:dyDescent="0.15">
      <c r="A6" s="339"/>
      <c r="B6" s="390" t="s">
        <v>12</v>
      </c>
      <c r="C6" s="39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266" t="str">
        <f>IF('WireDip-01'!AF6="","",'WireDip-01'!AF6)</f>
        <v>04-6KV ＯＰ</v>
      </c>
      <c r="AG6" s="41"/>
      <c r="AH6" s="266" t="str">
        <f>IF('WireDip-01'!AH6="","",'WireDip-01'!AH6)</f>
        <v>MW  90sq</v>
      </c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</row>
    <row r="7" spans="1:50" ht="18" customHeight="1" x14ac:dyDescent="0.15">
      <c r="A7" s="339"/>
      <c r="B7" s="215" t="s">
        <v>11</v>
      </c>
      <c r="C7" s="18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266" t="str">
        <f>IF('WireDip-01'!AF7="","",'WireDip-01'!AF7)</f>
        <v>05-6KV ACSR-OC</v>
      </c>
      <c r="AG7" s="41"/>
      <c r="AH7" s="266" t="str">
        <f>IF('WireDip-01'!AH7="","",'WireDip-01'!AH7)</f>
        <v>MW 110sq</v>
      </c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</row>
    <row r="8" spans="1:50" ht="16.5" customHeight="1" x14ac:dyDescent="0.15">
      <c r="A8" s="339"/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266" t="str">
        <f>IF('WireDip-01'!AF8="","",'WireDip-01'!AF8)</f>
        <v>06-6KV ACSR-OE</v>
      </c>
      <c r="AG8" s="41"/>
      <c r="AH8" s="266" t="str">
        <f>IF('WireDip-01'!AH8="","",'WireDip-01'!AH8)</f>
        <v xml:space="preserve">USER Reg. </v>
      </c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</row>
    <row r="9" spans="1:50" ht="16.5" customHeight="1" x14ac:dyDescent="0.15">
      <c r="A9" s="339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266" t="str">
        <f>IF('WireDip-01'!AF9="","",'WireDip-01'!AF9)</f>
        <v>07-6KV AAAC-OC</v>
      </c>
      <c r="AG9" s="41"/>
      <c r="AH9" s="266" t="str">
        <f>IF('WireDip-01'!AH9="","",'WireDip-01'!AH9)</f>
        <v xml:space="preserve">USER Reg. </v>
      </c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</row>
    <row r="10" spans="1:50" ht="18" customHeight="1" x14ac:dyDescent="0.15">
      <c r="A10" s="339"/>
      <c r="B10" s="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266" t="str">
        <f>IF('WireDip-01'!AF10="","",'WireDip-01'!AF10)</f>
        <v>08-6KV CV-T</v>
      </c>
      <c r="AG10" s="41"/>
      <c r="AH10" s="266" t="str">
        <f>IF('WireDip-01'!AH10="","",'WireDip-01'!AH10)</f>
        <v xml:space="preserve">USER Reg. </v>
      </c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</row>
    <row r="11" spans="1:50" ht="18" customHeight="1" x14ac:dyDescent="0.15">
      <c r="A11" s="339"/>
      <c r="B11" s="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3"/>
      <c r="S11" s="3"/>
      <c r="T11" s="3"/>
      <c r="U11" s="3"/>
      <c r="V11" s="212"/>
      <c r="W11" s="3"/>
      <c r="X11" s="3"/>
      <c r="Y11" s="3"/>
      <c r="Z11" s="3"/>
      <c r="AA11" s="3"/>
      <c r="AB11" s="3"/>
      <c r="AC11" s="3"/>
      <c r="AD11" s="3"/>
      <c r="AE11" s="3"/>
      <c r="AF11" s="266" t="str">
        <f>IF('WireDip-01'!AF11="","",'WireDip-01'!AF11)</f>
        <v>09-600V CV-2C</v>
      </c>
      <c r="AG11" s="41"/>
      <c r="AH11" s="266" t="str">
        <f>IF('WireDip-01'!AH11="","",'WireDip-01'!AH11)</f>
        <v>---〃---</v>
      </c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</row>
    <row r="12" spans="1:50" ht="18" customHeight="1" x14ac:dyDescent="0.15">
      <c r="A12" s="339"/>
      <c r="B12" s="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266" t="str">
        <f>IF('WireDip-01'!AF12="","",'WireDip-01'!AF12)</f>
        <v>10-600V CV-3C</v>
      </c>
      <c r="AG12" s="41"/>
      <c r="AH12" s="41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</row>
    <row r="13" spans="1:50" ht="18" customHeight="1" x14ac:dyDescent="0.15">
      <c r="A13" s="339"/>
      <c r="B13" s="5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266" t="str">
        <f>IF('WireDip-01'!AF13="","",'WireDip-01'!AF13)</f>
        <v>11-600V CV-T</v>
      </c>
      <c r="AG13" s="41"/>
      <c r="AH13" s="41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</row>
    <row r="14" spans="1:50" ht="18" customHeight="1" x14ac:dyDescent="0.15">
      <c r="A14" s="339"/>
      <c r="B14" s="5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266" t="str">
        <f>IF('WireDip-01'!AF14="","",'WireDip-01'!AF14)</f>
        <v>12-CVV- 2C</v>
      </c>
      <c r="AG14" s="41"/>
      <c r="AH14" s="41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</row>
    <row r="15" spans="1:50" ht="18" customHeight="1" x14ac:dyDescent="0.15">
      <c r="A15" s="339"/>
      <c r="B15" s="5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48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266" t="str">
        <f>IF('WireDip-01'!AF15="","",'WireDip-01'!AF15)</f>
        <v>13-CVV- 3C</v>
      </c>
      <c r="AG15" s="41"/>
      <c r="AH15" s="41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</row>
    <row r="16" spans="1:50" ht="18" customHeight="1" x14ac:dyDescent="0.15">
      <c r="A16" s="339"/>
      <c r="B16" s="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3"/>
      <c r="S16" s="3"/>
      <c r="T16" s="95" t="s">
        <v>40</v>
      </c>
      <c r="U16" s="95" t="s">
        <v>41</v>
      </c>
      <c r="V16" s="95" t="s">
        <v>42</v>
      </c>
      <c r="W16" s="3"/>
      <c r="X16" s="3"/>
      <c r="Y16" s="3"/>
      <c r="Z16" s="3"/>
      <c r="AA16" s="3"/>
      <c r="AB16" s="3"/>
      <c r="AC16" s="3"/>
      <c r="AD16" s="3"/>
      <c r="AE16" s="3"/>
      <c r="AF16" s="266" t="str">
        <f>IF('WireDip-01'!AF16="","",'WireDip-01'!AF16)</f>
        <v>14-CVV- 4C</v>
      </c>
      <c r="AG16" s="41"/>
      <c r="AH16" s="41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</row>
    <row r="17" spans="1:50" ht="18" customHeight="1" x14ac:dyDescent="0.15">
      <c r="A17" s="339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3"/>
      <c r="S17" s="170">
        <v>23</v>
      </c>
      <c r="T17" s="99">
        <f>IF(AND(AC23=AC24,AC23=AC25,AC23=AC26,AC23=AC27,AC23=AC28,AC23=AC29),S35,IF(AND(AC23=AC24,AC23=AC25,AC23=AC26,AC23=AC27,AC23=AC28),S36,IF(AND(AC23=AC24,AC23=AC25,AC23=AC26,AC23=AC27),S37,IF(AND(AC23=AC24,AC23=AC25,AC23=AC26),S38,IF(AND(AC23=AC24,AC23=AC25),S39,IF(AC23=AC24,S40,0))))))</f>
        <v>0</v>
      </c>
      <c r="U17" s="99">
        <f>IF(AND(AC23=AC24,AC23=AC25,AC23=AC26,AC23=AC27,AC23=AC28,AC23=AC29),S48,IF(AND(AC23=AC24,AC23=AC25,AC23=AC26,AC23=AC27,AC23=AC28),S49,IF(AND(AC23=AC24,AC23=AC25,AC23=AC26,AC23=AC27),S50,IF(AND(AC23=AC24,AC23=AC25,AC23=AC26),S51,IF(AND(AC23=AC24,AC23=AC25),S52,IF(AC23=AC24,S53,0))))))</f>
        <v>0</v>
      </c>
      <c r="V17" s="99">
        <f>IF(AND(AC23=AC24,AC23=AC25,AC23=AC26,AC23=AC27,AC23=AC28,AC23=AC29),S61,IF(AND(AC23=AC24,AC23=AC25,AC23=AC26,AC23=AC27,AC23=AC28),S62,IF(AND(AC23=AC24,AC23=AC25,AC23=AC26,AC23=AC27),S63,IF(AND(AC23=AC24,AC23=AC25,AC23=AC26),S64,IF(AND(AC23=AC24,AC23=AC25),S65,IF(AC23=AC24,S66,0))))))</f>
        <v>0</v>
      </c>
      <c r="W17" s="3"/>
      <c r="X17" s="3"/>
      <c r="Y17" s="3"/>
      <c r="Z17" s="3"/>
      <c r="AA17" s="3"/>
      <c r="AB17" s="3"/>
      <c r="AC17" s="3"/>
      <c r="AD17" s="3"/>
      <c r="AE17" s="3"/>
      <c r="AF17" s="266" t="str">
        <f>IF('WireDip-01'!AF17="","",'WireDip-01'!AF17)</f>
        <v>15-CVV－5C</v>
      </c>
      <c r="AG17" s="41"/>
      <c r="AH17" s="41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</row>
    <row r="18" spans="1:50" ht="13.5" customHeight="1" thickBot="1" x14ac:dyDescent="0.2">
      <c r="A18" s="339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3"/>
      <c r="S18" s="170">
        <v>23</v>
      </c>
      <c r="T18" s="99">
        <f>IF(D23="",0,IF(I23="",SQRT(((K23+S23)/10)^2+(M23+U23)^2),SQRT(((K23/10)*(H23^0.55)+S23/1000)^2+(M23*H23+U23)^2)))</f>
        <v>0</v>
      </c>
      <c r="U18" s="99">
        <f>IF(D23="",0,IF(I23="",SQRT((50*(K23/1000+0.012))^2+(M23+16.9646*(K23/1000+0.006))^2),SQRT((((K23*H23*0.001/H23)*(H23^0.55)+0.012+Y47)*50)^2+(M23*H23+16.9646*((K23*H23*0.001/H23)*(H23^0.55)+0.006)+Z47)^2)))</f>
        <v>0</v>
      </c>
      <c r="V18" s="99">
        <f>IF(D23="",0,IF(I23="",SQRT(((K23+S23)/20)^2+(M23+U23)^2),SQRT(((K23/20)*(H23^0.55)+S23/1000)^2+(M23*H23+U23)^2)))</f>
        <v>0</v>
      </c>
      <c r="W18" s="3"/>
      <c r="X18" s="3"/>
      <c r="Y18" s="3"/>
      <c r="Z18" s="3"/>
      <c r="AA18" s="3"/>
      <c r="AB18" s="3"/>
      <c r="AC18" s="3"/>
      <c r="AD18" s="3"/>
      <c r="AE18" s="3"/>
      <c r="AF18" s="266" t="str">
        <f>IF('WireDip-01'!AF18="","",'WireDip-01'!AF18)</f>
        <v>16-CVV- 6C</v>
      </c>
      <c r="AG18" s="41"/>
      <c r="AH18" s="41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</row>
    <row r="19" spans="1:50" ht="18" customHeight="1" thickBot="1" x14ac:dyDescent="0.2">
      <c r="A19" s="339"/>
      <c r="B19" s="392" t="s">
        <v>44</v>
      </c>
      <c r="C19" s="393"/>
      <c r="D19" s="364" t="s">
        <v>160</v>
      </c>
      <c r="E19" s="365"/>
      <c r="F19" s="477"/>
      <c r="G19" s="349" t="s">
        <v>184</v>
      </c>
      <c r="H19" s="349"/>
      <c r="I19" s="350"/>
      <c r="J19" s="351" t="s">
        <v>45</v>
      </c>
      <c r="K19" s="352"/>
      <c r="L19" s="214"/>
      <c r="M19" s="213" t="str">
        <f>IF(AND(B23="",B24="",B25="",B26="",B27="",B28="",B29="",OR(C33&lt;&gt;"",I33&lt;&gt;"",N33&lt;&gt;"",C47&lt;&gt;"",I47&lt;&gt;"")),"弛度補正値を消去して下さい!!",IF(AND(D23&lt;&gt;"",F19=""),"径間長を入力して下さい!!",IF(AND(D23&lt;&gt;"",L19=""),"基準弛度を入力して下さい!!","")))</f>
        <v/>
      </c>
      <c r="N19" s="38"/>
      <c r="O19" s="38"/>
      <c r="P19" s="38"/>
      <c r="Q19" s="39"/>
      <c r="R19" s="35"/>
      <c r="S19" s="170">
        <v>24</v>
      </c>
      <c r="T19" s="99" t="str">
        <f>IF(AC23=AC24,"",IF(AND(AC24=AC25,AC24=AC26,AC24=AC27,AC24=AC28,AC24=AC29),T36,IF(AND(AC24=AC25,AC24=AC26,AC24=AC27,AC24=AC28),T36,IF(AND(AC24=AC25,AC24=AC26,AC24=AC27),T38,IF(AND(AC24=AC25,AC24=AC26),T39,IF(AC24=AC25,T40,0))))))</f>
        <v/>
      </c>
      <c r="U19" s="99" t="str">
        <f>IF(AC23=AC24,"",IF(AND(AC24=AC25,AC24=AC26,AC24=AC27,AC24=AC28,AC24=AC29),T49,IF(AND(AC24=AC25,AC24=AC26,AC24=AC27,AC24=AC28),T50,IF(AND(AC24=AC25,AC24=AC26,AC24=AC27),T51,IF(AND(AC24=AC25,AC24=AC26),T52,IF(AC24=AC25,T5,0))))))</f>
        <v/>
      </c>
      <c r="V19" s="99" t="str">
        <f>IF(AC23=AC24,"",IF(AND(AC24=AC25,AC24=AC26,AC24=AC27,AC24=AC28,AC24=AC29),T62,IF(AND(AC24=AC25,AC24=AC26,AC24=AC27,AC24=AC28),T63,IF(AND(AC24=AC25,AC24=AC26,AC24=AC27),T64,IF(AND(AC24=AC25,AC24=AC26),T65,IF(AC24=AC25,T66,0))))))</f>
        <v/>
      </c>
      <c r="W19" s="35"/>
      <c r="X19" s="35"/>
      <c r="Y19" s="35"/>
      <c r="Z19" s="35"/>
      <c r="AA19" s="35"/>
      <c r="AB19" s="35"/>
      <c r="AC19" s="35"/>
      <c r="AD19" s="35"/>
      <c r="AE19" s="35"/>
      <c r="AF19" s="266" t="str">
        <f>IF('WireDip-01'!AF19="","",'WireDip-01'!AF19)</f>
        <v>17-CVV- 7C</v>
      </c>
      <c r="AG19" s="41"/>
      <c r="AH19" s="41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</row>
    <row r="20" spans="1:50" ht="11.25" customHeight="1" x14ac:dyDescent="0.15">
      <c r="A20" s="339"/>
      <c r="B20" s="367" t="s">
        <v>60</v>
      </c>
      <c r="C20" s="368"/>
      <c r="D20" s="316" t="s">
        <v>26</v>
      </c>
      <c r="E20" s="317"/>
      <c r="F20" s="316" t="s">
        <v>185</v>
      </c>
      <c r="G20" s="317"/>
      <c r="H20" s="322" t="s">
        <v>29</v>
      </c>
      <c r="I20" s="340" t="s">
        <v>186</v>
      </c>
      <c r="J20" s="353" t="s">
        <v>61</v>
      </c>
      <c r="K20" s="343" t="s">
        <v>43</v>
      </c>
      <c r="L20" s="344"/>
      <c r="M20" s="344"/>
      <c r="N20" s="345"/>
      <c r="O20" s="381" t="s">
        <v>51</v>
      </c>
      <c r="P20" s="344"/>
      <c r="Q20" s="382"/>
      <c r="R20" s="36"/>
      <c r="S20" s="169">
        <v>24</v>
      </c>
      <c r="T20" s="99">
        <f>IF(D24="",0,IF(I24="",SQRT(((K24+S24)/10)^2+(M24+U24)^2),SQRT((K24*(H24^0.55)/10+S24/1000)^2+(M24*H24+U24)^2)))</f>
        <v>0</v>
      </c>
      <c r="U20" s="99">
        <f>IF(D24="",0,IF(I24="",SQRT((50*(K24/1000+0.012))^2+(M24+16.9646*(K24/1000+0.006))^2),SQRT((((K24*H24*0.001/H24)*(H24^0.55)+0.012+Y48)*50)^2+(M24*H24+16.9646*((K24*H24*0.001/H24)*(H24^0.55)+0.006)+Z48)^2)))</f>
        <v>0</v>
      </c>
      <c r="V20" s="99">
        <f>IF(D24="",0,IF(I24="",SQRT(((K24+S24)/20)^2+(M24+U24)^2),SQRT((K24*(H24^0.55)/20+S24/1000)^2+(M24*H24+U24)^2)))</f>
        <v>0</v>
      </c>
      <c r="W20" s="36"/>
      <c r="X20" s="36"/>
      <c r="Y20" s="254" t="s">
        <v>187</v>
      </c>
      <c r="Z20" s="36"/>
      <c r="AA20" s="36"/>
      <c r="AB20" s="36"/>
      <c r="AC20" s="36"/>
      <c r="AD20" s="36"/>
      <c r="AE20" s="36"/>
      <c r="AF20" s="266" t="str">
        <f>IF('WireDip-01'!AF20="","",'WireDip-01'!AF20)</f>
        <v>18-CVV- 8C</v>
      </c>
      <c r="AG20" s="41"/>
      <c r="AH20" s="41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</row>
    <row r="21" spans="1:50" ht="11.25" customHeight="1" x14ac:dyDescent="0.15">
      <c r="A21" s="339"/>
      <c r="B21" s="369"/>
      <c r="C21" s="370"/>
      <c r="D21" s="318"/>
      <c r="E21" s="319"/>
      <c r="F21" s="318"/>
      <c r="G21" s="319"/>
      <c r="H21" s="323"/>
      <c r="I21" s="341"/>
      <c r="J21" s="354"/>
      <c r="K21" s="49" t="s">
        <v>32</v>
      </c>
      <c r="L21" s="50" t="s">
        <v>34</v>
      </c>
      <c r="M21" s="50" t="s">
        <v>36</v>
      </c>
      <c r="N21" s="50" t="s">
        <v>38</v>
      </c>
      <c r="O21" s="50" t="s">
        <v>40</v>
      </c>
      <c r="P21" s="50" t="s">
        <v>41</v>
      </c>
      <c r="Q21" s="52" t="s">
        <v>42</v>
      </c>
      <c r="R21" s="36"/>
      <c r="S21" s="36"/>
      <c r="T21" s="36"/>
      <c r="U21" s="36"/>
      <c r="V21" s="36"/>
      <c r="W21" s="36"/>
      <c r="X21" s="36"/>
      <c r="Y21" s="50" t="s">
        <v>36</v>
      </c>
      <c r="Z21" s="36"/>
      <c r="AA21" s="36"/>
      <c r="AB21" s="36"/>
      <c r="AC21" s="36"/>
      <c r="AD21" s="36"/>
      <c r="AE21" s="36"/>
      <c r="AF21" s="266" t="str">
        <f>IF('WireDip-01'!AF21="","",'WireDip-01'!AF21)</f>
        <v>19-CVV-10C</v>
      </c>
      <c r="AG21" s="41"/>
      <c r="AH21" s="41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</row>
    <row r="22" spans="1:50" ht="11.25" customHeight="1" x14ac:dyDescent="0.15">
      <c r="A22" s="339"/>
      <c r="B22" s="371"/>
      <c r="C22" s="372"/>
      <c r="D22" s="320"/>
      <c r="E22" s="321"/>
      <c r="F22" s="320"/>
      <c r="G22" s="321"/>
      <c r="H22" s="324"/>
      <c r="I22" s="342"/>
      <c r="J22" s="355"/>
      <c r="K22" s="37" t="s">
        <v>188</v>
      </c>
      <c r="L22" s="51" t="s">
        <v>189</v>
      </c>
      <c r="M22" s="51" t="s">
        <v>190</v>
      </c>
      <c r="N22" s="51" t="s">
        <v>191</v>
      </c>
      <c r="O22" s="51" t="s">
        <v>192</v>
      </c>
      <c r="P22" s="51" t="s">
        <v>193</v>
      </c>
      <c r="Q22" s="30" t="s">
        <v>193</v>
      </c>
      <c r="R22" s="36"/>
      <c r="S22" s="103" t="s">
        <v>32</v>
      </c>
      <c r="T22" s="103" t="s">
        <v>34</v>
      </c>
      <c r="U22" s="103" t="s">
        <v>36</v>
      </c>
      <c r="V22" s="104" t="s">
        <v>194</v>
      </c>
      <c r="W22" s="104" t="s">
        <v>195</v>
      </c>
      <c r="X22" s="100"/>
      <c r="Y22" s="51" t="s">
        <v>190</v>
      </c>
      <c r="Z22" s="100"/>
      <c r="AA22" s="36"/>
      <c r="AB22" s="36"/>
      <c r="AC22" s="43" t="s">
        <v>196</v>
      </c>
      <c r="AD22" s="43" t="s">
        <v>197</v>
      </c>
      <c r="AE22" s="36"/>
      <c r="AF22" s="266" t="str">
        <f>IF('WireDip-01'!AF22="","",'WireDip-01'!AF22)</f>
        <v>20-CVV-12C</v>
      </c>
      <c r="AG22" s="41"/>
      <c r="AH22" s="41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</row>
    <row r="23" spans="1:50" ht="15" customHeight="1" x14ac:dyDescent="0.15">
      <c r="A23" s="339"/>
      <c r="B23" s="394" t="str">
        <f>IF(OR(D23="",F23="",H23="",J23=""),"","使用電線-"&amp;AC23)</f>
        <v/>
      </c>
      <c r="C23" s="395"/>
      <c r="D23" s="325"/>
      <c r="E23" s="326"/>
      <c r="F23" s="478"/>
      <c r="G23" s="479" t="str">
        <f t="shared" ref="G23:G29" si="0">IF(F23=0,"",IF(OR(F23=0.5,F23=1.2,F23=2.6,F23=3.2,F23=4,F23=5),"mm","sq"))</f>
        <v/>
      </c>
      <c r="H23" s="480"/>
      <c r="I23" s="481"/>
      <c r="J23" s="482"/>
      <c r="K23" s="190" t="str">
        <f>IF(B23="","",HLOOKUP(F23,Ｗｉｒｅ,3+(VALUE(LEFT(D23,2))-1)*8,FALSE))</f>
        <v/>
      </c>
      <c r="L23" s="189" t="str">
        <f t="shared" ref="L23:L29" si="1">IF(B23="","",IF(I23="",HLOOKUP(F23,Ｗｉｒｅ,4+(VALUE(LEFT(D23,2))-1)*8),T23))</f>
        <v/>
      </c>
      <c r="M23" s="191" t="str">
        <f>IF(AND(I24="---〃---",I25="---〃---",I26="---〃---",I27="---〃---",I28="---〃---",I29="---〃---"),SUM(Y23:Y29),IF(AND(I24="---〃---",I25="---〃---",I26="---〃---",I27="---〃---",I28="---〃---"),SUM(Y23:Y28),IF(AND(I24="---〃---",I25="---〃---",I26="---〃---",I27="---〃---"),SUM(Y23:Y27),IF(AND(I24="---〃---",I25="---〃---",I26="---〃---"),SUM(Y23:Y26),IF(AND(I24="---〃---",I25="---〃---"),SUM(Y23:Y25),IF(I24="---〃---",SUM(Y23:Y24),Y23))))))</f>
        <v/>
      </c>
      <c r="N23" s="192" t="str">
        <f>IF(B23="","",IF(I23="",HLOOKUP(F23,Ｗｉｒｅ,6+(VALUE(LEFT(D23,2))-1)*8,FALSE),VLOOKUP(I23,Ｍ.Ｗｉｒｅ,5,FALSE)))</f>
        <v/>
      </c>
      <c r="O23" s="191" t="str">
        <f>IF(B23="","",IF(T17=0,T18,T17))</f>
        <v/>
      </c>
      <c r="P23" s="191" t="str">
        <f>IF(B23="","",IF(U17=0,U18,U17))</f>
        <v/>
      </c>
      <c r="Q23" s="193" t="str">
        <f>IF(B23="","",IF(V17=0,V18,V17))</f>
        <v/>
      </c>
      <c r="R23" s="58"/>
      <c r="S23" s="54">
        <f>IF(OR(I23=AH3,I23=AH4,I23=AH5,I23=AH6,I23=AH7,I23=AH8,I23=AH9,I23=AH10),VLOOKUP(I23,Ｍ.Ｗｉｒｅ,2,FALSE),0)</f>
        <v>0</v>
      </c>
      <c r="T23" s="54">
        <f>IF(OR(I23=AH3,I23=AH4,I23=AH5,I23=AH6,I23=AH7,I23=AH8,I23=AH9,I23=AH10),VLOOKUP(I23,Ｍ.Ｗｉｒｅ,3,FALSE),0)</f>
        <v>0</v>
      </c>
      <c r="U23" s="54">
        <f>IF(OR(I23=AH3,I23=AH4,I23=AH5,I23=AH6,I23=AH7,I23=AH8,I23=AH9,I23=AH10),VLOOKUP(I23,Ｍ.Ｗｉｒｅ,4,FALSE),0)</f>
        <v>0</v>
      </c>
      <c r="V23" s="96">
        <f t="shared" ref="V23:V29" si="2">IF(B23="",0,IF(I23="---〃---","",IF(I23="",HLOOKUP(F23,Ｗｉｒｅ,7+(VALUE(LEFT(D23,2))-1)*8,FALSE),VLOOKUP(I23,Ｍ.Ｗｉｒｅ,6,FALSE))))</f>
        <v>0</v>
      </c>
      <c r="W23" s="53">
        <f t="shared" ref="W23:W29" si="3">IF(B23="",0,IF(I23="---〃---","",IF(I23="",HLOOKUP(F23,Ｗｉｒｅ,8+(VALUE(LEFT(D23,2))-1)*8,FALSE),VLOOKUP(I23,Ｍ.Ｗｉｒｅ,7,FALSE))))</f>
        <v>0</v>
      </c>
      <c r="X23" s="101"/>
      <c r="Y23" s="54" t="str">
        <f t="shared" ref="Y23:Y29" si="4">IF(B23="","",HLOOKUP(F23,Ｗｉｒｅ,5+(VALUE(LEFT(D23,2))-1)*8)*H23)</f>
        <v/>
      </c>
      <c r="Z23" s="101"/>
      <c r="AA23" s="58"/>
      <c r="AB23" s="53" t="str">
        <f>IF(AC23="","",1)</f>
        <v/>
      </c>
      <c r="AC23" s="53" t="str">
        <f>IF(AND(D23&lt;&gt;"",OR(AD23=0,AD23=1)),1,"")</f>
        <v/>
      </c>
      <c r="AD23" s="53">
        <f t="shared" ref="AD23:AD29" si="5">IF(I23="",0,IF(I23="---〃---",2,IF(I23&lt;&gt;"",1,"入力ミス")))</f>
        <v>0</v>
      </c>
      <c r="AE23" s="58"/>
      <c r="AF23" s="266" t="str">
        <f>IF('WireDip-01'!AF23="","",'WireDip-01'!AF23)</f>
        <v>21-CVV-15C</v>
      </c>
      <c r="AG23" s="41"/>
      <c r="AH23" s="41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</row>
    <row r="24" spans="1:50" ht="15" customHeight="1" x14ac:dyDescent="0.15">
      <c r="A24" s="339"/>
      <c r="B24" s="373" t="str">
        <f>IF(OR(D24="",F24="",H24="",J24=""),"",IF(AC23=AC24,"---〃---","使用電線-"&amp;AC24))</f>
        <v/>
      </c>
      <c r="C24" s="374"/>
      <c r="D24" s="327"/>
      <c r="E24" s="328"/>
      <c r="F24" s="483"/>
      <c r="G24" s="479" t="str">
        <f t="shared" si="0"/>
        <v/>
      </c>
      <c r="H24" s="484"/>
      <c r="I24" s="485"/>
      <c r="J24" s="486"/>
      <c r="K24" s="194" t="str">
        <f>IF(B24="","",HLOOKUP(F24,Ｗｉｒｅ,3+(VALUE(LEFT(D24,2))-1)*8,FALSE))</f>
        <v/>
      </c>
      <c r="L24" s="189" t="str">
        <f t="shared" si="1"/>
        <v/>
      </c>
      <c r="M24" s="195" t="str">
        <f>IF(I24="---〃---",0.00001,IF(AND(I25="---〃---",I26="---〃---",I27="---〃---",I28="---〃---",I29="---〃---"),SUM(Y24:Y29),IF(AND(I25="---〃---",I26="---〃---",I27="---〃---",I28="---〃---"),SUM(Y24:Y28),IF(AND(I25="---〃---",I26="---〃---",I27="---〃---"),SUM(Y24:Y27),IF(AND(I25="---〃---",I26="---〃---"),SUM(Y24:Y26),IF(I25="---〃---",SUM(Y24:Y25),Y24))))))</f>
        <v/>
      </c>
      <c r="N24" s="196" t="str">
        <f>IF(OR(B24="",I24="---〃---"),"",IF(I24="",HLOOKUP(F24,Ｗｉｒｅ,6+(VALUE(LEFT(D24,2))-1)*8,FALSE),VLOOKUP(I24,Ｍ.Ｗｉｒｅ,5,FALSE)))</f>
        <v/>
      </c>
      <c r="O24" s="195" t="str">
        <f>IF(AND(T19=0,T20=0),"",IF(T19=0,T20,T19))</f>
        <v/>
      </c>
      <c r="P24" s="195" t="str">
        <f>IF(AND(U19=0,U20=0),"",IF(U19=0,U20,U19))</f>
        <v/>
      </c>
      <c r="Q24" s="197" t="str">
        <f>IF(AND(V19=0,V20=0),"",IF(V19=0,V20,V19))</f>
        <v/>
      </c>
      <c r="R24" s="58"/>
      <c r="S24" s="54">
        <f>IF(OR(I24=AH3,I24=AH4,I24=AH5,I24=AH6,I24=AH7,I24=AH8,I24=AH9,I24=AH10),VLOOKUP(I24,Ｍ.Ｗｉｒｅ,2,FALSE),0)</f>
        <v>0</v>
      </c>
      <c r="T24" s="54">
        <f>IF(OR(I24=AH3,I24=AH4,I24=AH5,I24=AH6,I24=AH7,I24=AH8,I24=AH9,I24=AH10),VLOOKUP(I24,Ｍ.Ｗｉｒｅ,3,FALSE),0)</f>
        <v>0</v>
      </c>
      <c r="U24" s="54">
        <f>IF(OR(I24=AH3,I24=AH4,I24=AH5,I24=AH6,I24=AH7,I24=AH8,I24=AH9,I24=AH10),VLOOKUP(I24,Ｍ.Ｗｉｒｅ,4,FALSE),0)</f>
        <v>0</v>
      </c>
      <c r="V24" s="96">
        <f t="shared" si="2"/>
        <v>0</v>
      </c>
      <c r="W24" s="53">
        <f t="shared" si="3"/>
        <v>0</v>
      </c>
      <c r="X24" s="101"/>
      <c r="Y24" s="54" t="str">
        <f t="shared" si="4"/>
        <v/>
      </c>
      <c r="Z24" s="101"/>
      <c r="AA24" s="58"/>
      <c r="AB24" s="53" t="str">
        <f t="shared" ref="AB24:AB29" si="6">IF(AC24="","",AB23+1)</f>
        <v/>
      </c>
      <c r="AC24" s="53" t="str">
        <f t="shared" ref="AC24:AC29" si="7">IF(AND(D24&lt;&gt;"",AD24=2),AC23,IF(AND(D24&lt;&gt;"",OR(AD24=0,AD24=1)),AC23+1,""))</f>
        <v/>
      </c>
      <c r="AD24" s="53">
        <f t="shared" si="5"/>
        <v>0</v>
      </c>
      <c r="AE24" s="58"/>
      <c r="AF24" s="266" t="str">
        <f>IF('WireDip-01'!AF24="","",'WireDip-01'!AF24)</f>
        <v>22-CVV-20C</v>
      </c>
      <c r="AG24" s="41"/>
      <c r="AH24" s="41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</row>
    <row r="25" spans="1:50" ht="15" customHeight="1" x14ac:dyDescent="0.15">
      <c r="A25" s="339"/>
      <c r="B25" s="373" t="str">
        <f>IF(OR(D25="",F25="",H25="",J25=""),"",IF(AC24=AC25,"---〃---","使用電線-"&amp;AC25))</f>
        <v/>
      </c>
      <c r="C25" s="374"/>
      <c r="D25" s="327"/>
      <c r="E25" s="328"/>
      <c r="F25" s="483"/>
      <c r="G25" s="479" t="str">
        <f t="shared" si="0"/>
        <v/>
      </c>
      <c r="H25" s="484"/>
      <c r="I25" s="485"/>
      <c r="J25" s="486"/>
      <c r="K25" s="194" t="str">
        <f>IF(B25="","",HLOOKUP(F25,Ｗｉｒｅ,3+(VALUE(LEFT(D25,2))-1)*8,FALSE))</f>
        <v/>
      </c>
      <c r="L25" s="189" t="str">
        <f t="shared" si="1"/>
        <v/>
      </c>
      <c r="M25" s="195" t="str">
        <f>IF(I25="---〃---",0.00001,IF(AND(I26="---〃---",I27="---〃---",I28="---〃---",I29="---〃---"),SUM(Y25:Y29),IF(AND(I26="---〃---",I27="---〃---",I28="---〃---"),SUM(Y25:Y28),IF(AND(I26="---〃---",I27="---〃---"),SUM(Y25:Y27),IF(I26="---〃---",SUM(Y25:Y26),Y25)))))</f>
        <v/>
      </c>
      <c r="N25" s="196" t="str">
        <f>IF(OR(B25="",I25="---〃---"),"",IF(I25="",HLOOKUP(F25,Ｗｉｒｅ,6+(VALUE(LEFT(D25,2))-1)*8,FALSE),VLOOKUP(I25,Ｍ.Ｗｉｒｅ,5,FALSE)))</f>
        <v/>
      </c>
      <c r="O25" s="195" t="str">
        <f>IF(B25="","",IF(AC24=AC25,"",IF(AND(AC25=AC26,AC25=AC27,AC25=AC28,AC25=AC29),U37,IF(AND(AC25=AC26,AC25=AC27,AC25=AC28),U38,IF(AND(AC25=AC26,AC25=AC27),U39,IF(AC25=AC26,U40,IF(I25="",SQRT(((K25+S25)/10)^2+(M25+U25)^2),SQRT(((K25/10)*(H25^0.55)+S25/1000)^2+(M25*H25+U25)^2))))))))</f>
        <v/>
      </c>
      <c r="P25" s="195" t="str">
        <f>IF(O25="","",IF(AC24=AC25,"",IF(AND(AC25=AC26,AC25=AC27,AC25=AC28,AC25=AC29),U50,IF(AND(AC25=AC26,AC25=AC27,AC25=AC28),U51,IF(AND(AC25=AC26,AC25=AC27),U52,IF(AC25=AC26,U53,IF(I25="",SQRT((50*(K25/1000+0.012))^2+(M25+16.9646*(K25/1000+0.006))^2),SQRT((((K25*H25*0.001/H25)*(H25^0.55)+0.012+Y49)*50)^2+(M25*H25+16.9646*((K25*H25*0.001/H25)*(H25^0.55)+0.006)+Z49)^2))))))))</f>
        <v/>
      </c>
      <c r="Q25" s="197" t="str">
        <f>IF(O25="","",IF(AC24=AC25,"",IF(AND(AC25=AC26,AC25=AC27,AC25=AC28,AC25=AC29),U63,IF(AND(AC25=AC26,AC25=AC27,AC25=AC28),U64,IF(AND(AC25=AC26,AC25=AC27),U65,IF(AC25=AC26,U66,IF(I25="",SQRT(((K25+S25)/20)^2+(M25+U25)^2),SQRT(((K25/20)*(H25^0.55)+S25/1000)^2+(M25*H25+U25)^2))))))))</f>
        <v/>
      </c>
      <c r="R25" s="58"/>
      <c r="S25" s="54">
        <f>IF(OR(I25=AH3,I25=AH4,I25=AH5,I25=AH6,I25=AH7,I25=AH8,I25=AH9,I25=AH10),VLOOKUP(I25,Ｍ.Ｗｉｒｅ,2,FALSE),0)</f>
        <v>0</v>
      </c>
      <c r="T25" s="54">
        <f>IF(OR(I25=AH3,I25=AH4,I25=AH5,I25=AH6,I25=AH7,I25=AH8,I25=AH9,I25=AH10),VLOOKUP(I25,Ｍ.Ｗｉｒｅ,3,FALSE),0)</f>
        <v>0</v>
      </c>
      <c r="U25" s="54">
        <f>IF(OR(I25=AH3,I25=AH4,I25=AH5,I25=AH6,I25=AH7,I25=AH8,I25=AH9,I25=AH10),VLOOKUP(I25,Ｍ.Ｗｉｒｅ,4,FALSE),0)</f>
        <v>0</v>
      </c>
      <c r="V25" s="96">
        <f t="shared" si="2"/>
        <v>0</v>
      </c>
      <c r="W25" s="53">
        <f t="shared" si="3"/>
        <v>0</v>
      </c>
      <c r="X25" s="101"/>
      <c r="Y25" s="54" t="str">
        <f t="shared" si="4"/>
        <v/>
      </c>
      <c r="Z25" s="101"/>
      <c r="AA25" s="58"/>
      <c r="AB25" s="53" t="str">
        <f t="shared" si="6"/>
        <v/>
      </c>
      <c r="AC25" s="53" t="str">
        <f t="shared" si="7"/>
        <v/>
      </c>
      <c r="AD25" s="53">
        <f t="shared" si="5"/>
        <v>0</v>
      </c>
      <c r="AE25" s="58"/>
      <c r="AF25" s="266" t="str">
        <f>IF('WireDip-01'!AF25="","",'WireDip-01'!AF25)</f>
        <v>23-CVV-30C</v>
      </c>
      <c r="AG25" s="41"/>
      <c r="AH25" s="41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</row>
    <row r="26" spans="1:50" ht="15" customHeight="1" x14ac:dyDescent="0.15">
      <c r="A26" s="339"/>
      <c r="B26" s="373" t="str">
        <f>IF(OR(D26="",F26="",H26="",J26=""),"",IF(AC25=AC26,"---〃---","使用電線-"&amp;AC26))</f>
        <v/>
      </c>
      <c r="C26" s="374"/>
      <c r="D26" s="327"/>
      <c r="E26" s="328"/>
      <c r="F26" s="483"/>
      <c r="G26" s="479" t="str">
        <f t="shared" si="0"/>
        <v/>
      </c>
      <c r="H26" s="484"/>
      <c r="I26" s="485"/>
      <c r="J26" s="486"/>
      <c r="K26" s="194" t="str">
        <f>IF(B26="","",HLOOKUP(F26,Ｗｉｒｅ,3+(VALUE(LEFT(D26,2))-1)*8,FALSE))</f>
        <v/>
      </c>
      <c r="L26" s="189" t="str">
        <f t="shared" si="1"/>
        <v/>
      </c>
      <c r="M26" s="195" t="str">
        <f>IF(I26="---〃---",0.00001,IF(AND(I27="---〃---",I28="---〃---",I29="---〃---"),SUM(Y26:Y29),IF(AND(I27="---〃---",I28="---〃---"),SUM(Y26:Y28),IF(I27="---〃---",SUM(Y26:Y27),Y26))))</f>
        <v/>
      </c>
      <c r="N26" s="196" t="str">
        <f>IF(OR(B26="",I26="---〃---"),"",IF(I26="",HLOOKUP(F26,Ｗｉｒｅ,6+(VALUE(LEFT(D26,2))-1)*8,FALSE),VLOOKUP(I26,Ｍ.Ｗｉｒｅ,5,FALSE)))</f>
        <v/>
      </c>
      <c r="O26" s="195" t="str">
        <f>IF(B26="","",IF(AC25=AC26,"",IF(AND(AC26=AC27,AC26=AC28,AC26=AC29),V38,IF(AND(AC26=AC27,AC26=AC28),V39,IF(AC26=AC27,V40,IF(I26="",SQRT(((K26+S26)/10)^2+(M26+U26)^2),SQRT(((K26/10)*(H26^0.55)+S26/1000)^2+(M26*H26+U26)^2)))))))</f>
        <v/>
      </c>
      <c r="P26" s="195" t="str">
        <f>IF(O26="","",IF(AC25=AC26,"",IF(AND(AC26=AC27,AC26=AC28,AC26=AC29),V51,IF(AND(AC26=AC27,AC26=AC28),V52,IF(AC26=AC27,V53,IF(I26="",SQRT((50*(K26/1000+0.012))^2+(M26+16.9646*(K26/1000+0.006))^2),SQRT((((K26*H26*0.001/H26)*(H26^0.55)+0.012+Y50)*50)^2+(M26*H26+16.9646*((K26*H26*0.001/H26)*(H26^0.55)+0.006)+Z50)^2)))))))</f>
        <v/>
      </c>
      <c r="Q26" s="197" t="str">
        <f>IF(O26="","",IF(AC25=AC26,"",IF(AND(AC26=AC27,AC26=AC28,AC26=AC29),V64,IF(AND(AC26=AC27,AC26=AC28),V65,IF(AC26=AC27,V66,IF(I26="",SQRT(((K26+S26)/20)^2+(M26+U26)^2),SQRT(((K26/20)*(H26^0.55)+S26/1000)^2+(M26*H26+U26)^2)))))))</f>
        <v/>
      </c>
      <c r="R26" s="58"/>
      <c r="S26" s="54">
        <f>IF(OR(I26=AH3,I26=AH4,I26=AH5,I26=AH6,I26=AH7,I26=AH8,I26=AH9,I26=AH10),VLOOKUP(I26,Ｍ.Ｗｉｒｅ,2,FALSE),0)</f>
        <v>0</v>
      </c>
      <c r="T26" s="54">
        <f>IF(OR(I26=AH3,I26=AH4,I26=AH5,I26=AH6,I26=AH7,I26=AH8,I26=AH9,I26=AH10),VLOOKUP(I26,Ｍ.Ｗｉｒｅ,3,FALSE),0)</f>
        <v>0</v>
      </c>
      <c r="U26" s="54">
        <f>IF(OR(I26=AH3,I26=AH4,I26=AH5,I26=AH6,I26=AH7,I26=AH8,I26=AH9,I26=AH10),VLOOKUP(I26,Ｍ.Ｗｉｒｅ,4,FALSE),0)</f>
        <v>0</v>
      </c>
      <c r="V26" s="96">
        <f t="shared" si="2"/>
        <v>0</v>
      </c>
      <c r="W26" s="53">
        <f t="shared" si="3"/>
        <v>0</v>
      </c>
      <c r="X26" s="101"/>
      <c r="Y26" s="54" t="str">
        <f t="shared" si="4"/>
        <v/>
      </c>
      <c r="Z26" s="101"/>
      <c r="AA26" s="58"/>
      <c r="AB26" s="53" t="str">
        <f t="shared" si="6"/>
        <v/>
      </c>
      <c r="AC26" s="53" t="str">
        <f t="shared" si="7"/>
        <v/>
      </c>
      <c r="AD26" s="53">
        <f t="shared" si="5"/>
        <v>0</v>
      </c>
      <c r="AE26" s="58"/>
      <c r="AF26" s="266" t="str">
        <f>IF('WireDip-01'!AF26="","",'WireDip-01'!AF26)</f>
        <v xml:space="preserve">24-USER Reg. </v>
      </c>
      <c r="AG26" s="41"/>
      <c r="AH26" s="41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</row>
    <row r="27" spans="1:50" ht="15" customHeight="1" x14ac:dyDescent="0.15">
      <c r="A27" s="339"/>
      <c r="B27" s="373" t="str">
        <f>IF(OR(D27="",F27="",H27="",J27=""),"",IF(AC26=AC27,"---〃---","使用電線-"&amp;AC27))</f>
        <v/>
      </c>
      <c r="C27" s="374"/>
      <c r="D27" s="327"/>
      <c r="E27" s="328"/>
      <c r="F27" s="483"/>
      <c r="G27" s="479" t="str">
        <f t="shared" si="0"/>
        <v/>
      </c>
      <c r="H27" s="484"/>
      <c r="I27" s="485"/>
      <c r="J27" s="486"/>
      <c r="K27" s="194" t="str">
        <f>IF(B27="","",HLOOKUP(F27,Ｗｉｒｅ,3+(VALUE(LEFT(D27,2))-1)*8,FALSE))</f>
        <v/>
      </c>
      <c r="L27" s="189" t="str">
        <f t="shared" si="1"/>
        <v/>
      </c>
      <c r="M27" s="195" t="str">
        <f>IF(I27="---〃---",0.00001,IF(AND(I28="---〃---",I29="---〃---"),SUM(Y27:Y29),IF(I28="---〃---",SUM(Y27:Y28),Y27)))</f>
        <v/>
      </c>
      <c r="N27" s="196" t="str">
        <f>IF(OR(B27="",I27="---〃---"),"",IF(I27="",HLOOKUP(F27,Ｗｉｒｅ,6+(VALUE(LEFT(D27,2))-1)*8,FALSE),VLOOKUP(I27,Ｍ.Ｗｉｒｅ,5,FALSE)))</f>
        <v/>
      </c>
      <c r="O27" s="195" t="str">
        <f>IF(B27="","",IF(AC26=AC27,"",IF(AND(AC27=AC28,AC27=AC29),W39,IF(AC27=AC28,W40,IF(I27="",SQRT(((K27+S27)/10)^2+(M27+U27)^2),SQRT(((K27/10)*(H27^0.55)+S27/1000)^2+(M27*H27+U27)^2))))))</f>
        <v/>
      </c>
      <c r="P27" s="195" t="str">
        <f>IF(O27="","",IF(AC26=AC27,"",IF(AND(AC27=AC28,AC27=AC29),W52,IF(AC27=AC28,W53,IF(I27="",SQRT((50*(K27/1000+0.012))^2+(M27+16.9646*(K27/1000+0.006))^2),SQRT((((K27*H27*0.001/H27)*(H27^0.55)+0.012+Y51)*50)^2+(M27*H27+16.9646*((K27*H27*0.001/H27)*(H27^0.55)+0.006)+Z51)^2))))))</f>
        <v/>
      </c>
      <c r="Q27" s="197" t="str">
        <f>IF(O27="","",IF(AC26=AC27,"",IF(AND(AC27=AC28,AC27=AC29),W65,IF(AC27=AC28,W66,IF(I27="",SQRT(((K27+S27)/20)^2+(M27+U27)^2),SQRT(((K27/20)*(H27^0.55)+S27/1000)^2+(M27*H27+U27)^2))))))</f>
        <v/>
      </c>
      <c r="R27" s="58"/>
      <c r="S27" s="54">
        <f>IF(OR(I27=AH3,I27=AH4,I27=AH5,I27=AH6,I27=AH7,I27=AH8,I27=AH9,I27=AH10),VLOOKUP(I27,Ｍ.Ｗｉｒｅ,2,FALSE),0)</f>
        <v>0</v>
      </c>
      <c r="T27" s="54">
        <f>IF(OR(I27=AH3,I27=AH4,I27=AH5,I27=AH6,I27=AH7,I27=AH8,I27=AH9,I27=AH10),VLOOKUP(I27,Ｍ.Ｗｉｒｅ,3,FALSE),0)</f>
        <v>0</v>
      </c>
      <c r="U27" s="54">
        <f>IF(OR(I27=AH3,I27=AH4,I27=AH5,I27=AH6,I27=AH7,I27=AH8,I27=AH9,I27=AH10),VLOOKUP(I27,Ｍ.Ｗｉｒｅ,4,FALSE),0)</f>
        <v>0</v>
      </c>
      <c r="V27" s="96">
        <f t="shared" si="2"/>
        <v>0</v>
      </c>
      <c r="W27" s="53">
        <f t="shared" si="3"/>
        <v>0</v>
      </c>
      <c r="X27" s="101"/>
      <c r="Y27" s="54" t="str">
        <f t="shared" si="4"/>
        <v/>
      </c>
      <c r="Z27" s="101"/>
      <c r="AA27" s="58"/>
      <c r="AB27" s="53" t="str">
        <f t="shared" si="6"/>
        <v/>
      </c>
      <c r="AC27" s="53" t="str">
        <f t="shared" si="7"/>
        <v/>
      </c>
      <c r="AD27" s="53">
        <f t="shared" si="5"/>
        <v>0</v>
      </c>
      <c r="AE27" s="58"/>
      <c r="AF27" s="266" t="str">
        <f>IF('WireDip-01'!AF27="","",'WireDip-01'!AF27)</f>
        <v xml:space="preserve">25-USER Reg. </v>
      </c>
      <c r="AG27" s="41"/>
      <c r="AH27" s="41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</row>
    <row r="28" spans="1:50" ht="15" customHeight="1" x14ac:dyDescent="0.15">
      <c r="A28" s="339"/>
      <c r="B28" s="373" t="str">
        <f>IF(AC28="","",IF(AC28&gt;5,"計算不可",IF(OR(D28="",F28="",H28="",J28=""),"",IF(AC27=AC28,"---〃---","使用電線-"&amp;AC28))))</f>
        <v/>
      </c>
      <c r="C28" s="374"/>
      <c r="D28" s="327"/>
      <c r="E28" s="328"/>
      <c r="F28" s="483"/>
      <c r="G28" s="479" t="str">
        <f t="shared" si="0"/>
        <v/>
      </c>
      <c r="H28" s="484"/>
      <c r="I28" s="485"/>
      <c r="J28" s="486"/>
      <c r="K28" s="194" t="str">
        <f>IF(OR(B28="",B28="計算不可"),"",HLOOKUP(F28,Ｗｉｒｅ,3+(VALUE(LEFT(D28,2))-1)*8,FALSE))</f>
        <v/>
      </c>
      <c r="L28" s="189" t="str">
        <f t="shared" si="1"/>
        <v/>
      </c>
      <c r="M28" s="195" t="str">
        <f>IF(I28="---〃---",0.00001,IF(I29="---〃---",SUM(Y28:Y29),Y28))</f>
        <v/>
      </c>
      <c r="N28" s="196" t="str">
        <f>IF(OR(B28="",I28="---〃---",B28="計算不可"),"",IF(I28="",HLOOKUP(F28,Ｗｉｒｅ,6+(VALUE(LEFT(D28,2))-1)*8,FALSE),VLOOKUP(I28,Ｍ.Ｗｉｒｅ,5,FALSE)))</f>
        <v/>
      </c>
      <c r="O28" s="195" t="str">
        <f>IF(OR(B28="",B28="計算不可"),"",IF(B28="","",IF(AC27=AC28,"",IF(AC28=AC29,X40,IF(I28="",SQRT(((K28+S28)/10)^2+(M28+U28)^2),SQRT(((K28/10)*(H28^0.55)+S28/1000)^2+(M28*H28+U28)^2))))))</f>
        <v/>
      </c>
      <c r="P28" s="195" t="str">
        <f>IF(O28="","",IF(B28="","",IF(AC27=AC28,"",IF(AC28=AC29,X53,IF(I28="",SQRT((50*(K28/1000+0.012))^2+(M28+16.9646*(K28/1000+0.006))^2),SQRT((((K28*H28*0.001/H28)*(H28^0.55)+0.012+Y52)*50)^2+(M28*H28+16.9646*((K28*H28*0.001/H28)*(H28^0.55)+0.006)+Z52)^2))))))</f>
        <v/>
      </c>
      <c r="Q28" s="197" t="str">
        <f>IF(O28="","",IF(B28="","",IF(AC27=AC28,"",IF(AC28=AC29,X66,IF(I28="",SQRT(((K28+S28)/20)^2+(M28+U28)^2),SQRT(((K28/20)*(H28^0.55)+S28/1000)^2+(M28*H28+U28)^2))))))</f>
        <v/>
      </c>
      <c r="R28" s="58"/>
      <c r="S28" s="54">
        <f>IF(OR(I28=AH3,I28=AH4,I28=AH5,I28=AH6,I28=AH7,I28=AH8,I28=AH9,I28=AH10),VLOOKUP(I28,Ｍ.Ｗｉｒｅ,2,FALSE),0)</f>
        <v>0</v>
      </c>
      <c r="T28" s="54">
        <f>IF(OR(I28=AH3,I28=AH4,I28=AH5,I28=AH6,I28=AH7,I28=AH8,I28=AH9,I28=AH10),VLOOKUP(I28,Ｍ.Ｗｉｒｅ,3,FALSE),0)</f>
        <v>0</v>
      </c>
      <c r="U28" s="54">
        <f>IF(OR(I28=AH3,I28=AH4,I28=AH5,I28=AH6,I28=AH7,I28=AH8,I28=AH9,I28=AH10),VLOOKUP(I28,Ｍ.Ｗｉｒｅ,4,FALSE),0)</f>
        <v>0</v>
      </c>
      <c r="V28" s="96">
        <f t="shared" si="2"/>
        <v>0</v>
      </c>
      <c r="W28" s="53">
        <f t="shared" si="3"/>
        <v>0</v>
      </c>
      <c r="X28" s="101"/>
      <c r="Y28" s="54" t="str">
        <f t="shared" si="4"/>
        <v/>
      </c>
      <c r="Z28" s="101"/>
      <c r="AA28" s="58"/>
      <c r="AB28" s="53" t="str">
        <f t="shared" si="6"/>
        <v/>
      </c>
      <c r="AC28" s="53" t="str">
        <f t="shared" si="7"/>
        <v/>
      </c>
      <c r="AD28" s="53">
        <f t="shared" si="5"/>
        <v>0</v>
      </c>
      <c r="AE28" s="58"/>
      <c r="AF28" s="266" t="str">
        <f>IF('WireDip-01'!AF28="","",'WireDip-01'!AF28)</f>
        <v xml:space="preserve">26-USER Reg. </v>
      </c>
      <c r="AG28" s="3"/>
      <c r="AH28" s="3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</row>
    <row r="29" spans="1:50" ht="15" customHeight="1" x14ac:dyDescent="0.15">
      <c r="A29" s="339"/>
      <c r="B29" s="373" t="str">
        <f>IF(AC29="","",IF(AC29&gt;5,"計算不可",IF(OR(D29="",F29="",H29="",J29=""),"",IF(AC28=AC29,"---〃---","使用電線-"&amp;AC29))))</f>
        <v/>
      </c>
      <c r="C29" s="374"/>
      <c r="D29" s="327"/>
      <c r="E29" s="328"/>
      <c r="F29" s="483"/>
      <c r="G29" s="479" t="str">
        <f t="shared" si="0"/>
        <v/>
      </c>
      <c r="H29" s="484"/>
      <c r="I29" s="485"/>
      <c r="J29" s="486"/>
      <c r="K29" s="194" t="str">
        <f>IF(OR(B29="",B29="計算不可"),"",HLOOKUP(F29,Ｗｉｒｅ,3+(VALUE(LEFT(D29,2))-1)*8,FALSE))</f>
        <v/>
      </c>
      <c r="L29" s="189" t="str">
        <f t="shared" si="1"/>
        <v/>
      </c>
      <c r="M29" s="195" t="str">
        <f>IF(I29="---〃---",0.00001,Y29)</f>
        <v/>
      </c>
      <c r="N29" s="196" t="str">
        <f>IF(OR(B29="",I29="---〃---",B29="計算不可"),"",IF(I29="",HLOOKUP(F29,Ｗｉｒｅ,6+(VALUE(LEFT(D29,2))-1)*8,FALSE),VLOOKUP(I29,Ｍ.Ｗｉｒｅ,5,FALSE)))</f>
        <v/>
      </c>
      <c r="O29" s="195" t="str">
        <f>IF(OR(B29="",B29="計算不可"),"",IF(AC28=AC29,"",IF(I29="",SQRT(((K29+S29)/10)^2+(M29+U29)^2),SQRT(((K29/10)*(H29^0.55)+S29/1000)^2+(M29*H29+U29)^2))))</f>
        <v/>
      </c>
      <c r="P29" s="195" t="str">
        <f>IF(O29="","",IF(AC28=AC29,"",IF(I29="",SQRT((50*(K29/1000+0.012))^2+(M29+16.9646*(K29/1000+0.006))^2),SQRT((((K29*H29*0.001/H29)*(H29^0.55)+0.012+Y53)*50)^2+(M29*H29+16.9646*((K29*H29*0.001/H29)*(H29^0.55)+0.006)+Z53)^2))))</f>
        <v/>
      </c>
      <c r="Q29" s="197" t="str">
        <f>IF(O29="","",IF(AC28=AC29,"",IF(I29="",SQRT(((K29+S29)/20)^2+(M29+U29)^2),SQRT(((K29/20)*(H29^0.55)+S29/1000)^2+(M29*H29+U29)^2))))</f>
        <v/>
      </c>
      <c r="R29" s="58"/>
      <c r="S29" s="54">
        <f>IF(OR(I29=AH3,I29=AH4,I29=AH5,I29=AH6,I29=AH7,I29=AH8,I29=AH9,I29=AH10),VLOOKUP(I29,Ｍ.Ｗｉｒｅ,2,FALSE),0)</f>
        <v>0</v>
      </c>
      <c r="T29" s="54">
        <f>IF(OR(I29=AH3,I29=AH4,I29=AH5,I29=AH6,I29=AH7,I29=AH8,I29=AH9,I29=AH10),VLOOKUP(I29,Ｍ.Ｗｉｒｅ,3,FALSE),0)</f>
        <v>0</v>
      </c>
      <c r="U29" s="54">
        <f>IF(OR(I29=AH3,I29=AH4,I29=AH5,I29=AH6,I29=AH7,I29=AH8,I29=AH9,I29=AH10),VLOOKUP(I29,Ｍ.Ｗｉｒｅ,4,FALSE),0)</f>
        <v>0</v>
      </c>
      <c r="V29" s="96">
        <f t="shared" si="2"/>
        <v>0</v>
      </c>
      <c r="W29" s="53">
        <f t="shared" si="3"/>
        <v>0</v>
      </c>
      <c r="X29" s="101"/>
      <c r="Y29" s="54" t="str">
        <f t="shared" si="4"/>
        <v/>
      </c>
      <c r="Z29" s="101"/>
      <c r="AA29" s="58"/>
      <c r="AB29" s="53" t="str">
        <f t="shared" si="6"/>
        <v/>
      </c>
      <c r="AC29" s="53" t="str">
        <f t="shared" si="7"/>
        <v/>
      </c>
      <c r="AD29" s="53">
        <f t="shared" si="5"/>
        <v>0</v>
      </c>
      <c r="AE29" s="58"/>
      <c r="AF29" s="266" t="str">
        <f>IF('WireDip-01'!AF29="","",'WireDip-01'!AF29)</f>
        <v xml:space="preserve">27-USER Reg. </v>
      </c>
      <c r="AG29" s="3"/>
      <c r="AH29" s="3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</row>
    <row r="30" spans="1:50" ht="15" customHeight="1" x14ac:dyDescent="0.15">
      <c r="A30" s="339"/>
      <c r="B30" s="375"/>
      <c r="C30" s="376"/>
      <c r="D30" s="327"/>
      <c r="E30" s="328"/>
      <c r="F30" s="487"/>
      <c r="G30" s="479"/>
      <c r="H30" s="484"/>
      <c r="I30" s="484"/>
      <c r="J30" s="486"/>
      <c r="K30" s="105"/>
      <c r="L30" s="97"/>
      <c r="M30" s="54"/>
      <c r="N30" s="94"/>
      <c r="O30" s="54"/>
      <c r="P30" s="54"/>
      <c r="Q30" s="98"/>
      <c r="R30" s="58"/>
      <c r="S30" s="36"/>
      <c r="T30" s="36"/>
      <c r="U30" s="36"/>
      <c r="V30" s="36"/>
      <c r="W30" s="36"/>
      <c r="X30" s="101"/>
      <c r="Y30" s="101"/>
      <c r="Z30" s="101"/>
      <c r="AA30" s="58"/>
      <c r="AB30" s="36"/>
      <c r="AC30" s="36"/>
      <c r="AD30" s="36"/>
      <c r="AE30" s="58"/>
      <c r="AF30" s="266" t="str">
        <f>IF('WireDip-01'!AF30="","",'WireDip-01'!AF30)</f>
        <v xml:space="preserve">28-USER Reg. </v>
      </c>
      <c r="AG30" s="3"/>
      <c r="AH30" s="3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</row>
    <row r="31" spans="1:50" ht="15" customHeight="1" x14ac:dyDescent="0.15">
      <c r="A31" s="339"/>
      <c r="B31" s="44"/>
      <c r="C31" s="185"/>
      <c r="D31" s="45"/>
      <c r="E31" s="45"/>
      <c r="F31" s="46"/>
      <c r="G31" s="47"/>
      <c r="H31" s="48"/>
      <c r="I31" s="45"/>
      <c r="J31" s="48"/>
      <c r="K31" s="11"/>
      <c r="L31" s="11"/>
      <c r="M31" s="11"/>
      <c r="N31" s="11"/>
      <c r="O31" s="11"/>
      <c r="P31" s="11"/>
      <c r="Q31" s="23"/>
      <c r="R31" s="3"/>
      <c r="S31" s="36"/>
      <c r="T31" s="36"/>
      <c r="U31" s="36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266" t="str">
        <f>IF('WireDip-01'!AF31="","",'WireDip-01'!AF31)</f>
        <v xml:space="preserve">29-USER Reg. </v>
      </c>
      <c r="AG31" s="3"/>
      <c r="AH31" s="3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</row>
    <row r="32" spans="1:50" ht="12.75" customHeight="1" x14ac:dyDescent="0.15">
      <c r="A32" s="339"/>
      <c r="B32" s="386" t="str">
        <f>IF(AC23="","","使用電線-"&amp;AC23)</f>
        <v/>
      </c>
      <c r="C32" s="387"/>
      <c r="D32" s="29" t="s">
        <v>21</v>
      </c>
      <c r="E32" s="29" t="s">
        <v>22</v>
      </c>
      <c r="F32" s="356" t="s">
        <v>23</v>
      </c>
      <c r="G32" s="411" t="str">
        <f>IF(AC24=2,"使用電線-"&amp;AC24,IF(AC25=2,"使用電線-"&amp;AC25,IF(AC26=2,"使用電線-"&amp;AC26,IF(AC27=2,"使用電線-"&amp;AC27,IF(AC28=2,"使用電線-"&amp;AC28,IF(AC29=2,"使用電線-"&amp;AC29,IF(AC30=2,"使用電線-"&amp;AC30,"")))))))</f>
        <v/>
      </c>
      <c r="H32" s="412"/>
      <c r="I32" s="387"/>
      <c r="J32" s="29" t="s">
        <v>21</v>
      </c>
      <c r="K32" s="29" t="s">
        <v>22</v>
      </c>
      <c r="L32" s="356" t="s">
        <v>23</v>
      </c>
      <c r="M32" s="411" t="str">
        <f>IF(AC25=3,"使用電線-"&amp;AC25,IF(AC26=3,"使用電線-"&amp;AC26,IF(AC27=3,"使用電線-"&amp;AC27,IF(AC28=3,"使用電線-"&amp;AC28,IF(AC29=3,"使用電線-"&amp;AC29,IF(AC30=3,"使用電線-"&amp;AC30,""))))))</f>
        <v/>
      </c>
      <c r="N32" s="387"/>
      <c r="O32" s="29" t="s">
        <v>21</v>
      </c>
      <c r="P32" s="29" t="s">
        <v>22</v>
      </c>
      <c r="Q32" s="379" t="s">
        <v>23</v>
      </c>
      <c r="R32" s="36"/>
      <c r="S32" s="36"/>
      <c r="T32" s="10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266" t="str">
        <f>IF('WireDip-01'!AF32="","",'WireDip-01'!AF32)</f>
        <v xml:space="preserve">30-USER Reg. </v>
      </c>
      <c r="AG32" s="36"/>
      <c r="AH32" s="36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</row>
    <row r="33" spans="1:50" ht="12.75" customHeight="1" x14ac:dyDescent="0.15">
      <c r="A33" s="339"/>
      <c r="B33" s="187" t="str">
        <f>IF(B32="","","弛度補正")</f>
        <v/>
      </c>
      <c r="C33" s="182"/>
      <c r="D33" s="55" t="s">
        <v>125</v>
      </c>
      <c r="E33" s="55" t="s">
        <v>24</v>
      </c>
      <c r="F33" s="357"/>
      <c r="G33" s="383" t="str">
        <f>IF(G32="","","弛度補正")</f>
        <v/>
      </c>
      <c r="H33" s="384"/>
      <c r="I33" s="182"/>
      <c r="J33" s="55" t="s">
        <v>125</v>
      </c>
      <c r="K33" s="55" t="s">
        <v>24</v>
      </c>
      <c r="L33" s="357"/>
      <c r="M33" s="181" t="str">
        <f>IF(M32="","","弛度補正")</f>
        <v/>
      </c>
      <c r="N33" s="182"/>
      <c r="O33" s="55" t="s">
        <v>125</v>
      </c>
      <c r="P33" s="55" t="s">
        <v>24</v>
      </c>
      <c r="Q33" s="380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266" t="str">
        <f>IF('WireDip-01'!AF33="","",'WireDip-01'!AF33)</f>
        <v xml:space="preserve">31-USER Reg. </v>
      </c>
      <c r="AG33" s="36"/>
      <c r="AH33" s="36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</row>
    <row r="34" spans="1:50" ht="13.5" customHeight="1" x14ac:dyDescent="0.15">
      <c r="A34" s="339"/>
      <c r="B34" s="346" t="s">
        <v>13</v>
      </c>
      <c r="C34" s="347"/>
      <c r="D34" s="335" t="str">
        <f>IF(B32="","",AQ71*H23*J23)</f>
        <v/>
      </c>
      <c r="E34" s="337" t="str">
        <f>IF(D34="","",AQ70)</f>
        <v/>
      </c>
      <c r="F34" s="360" t="str">
        <f>IF(D34="","",N23*H23*J23/D34)</f>
        <v/>
      </c>
      <c r="G34" s="287" t="s">
        <v>13</v>
      </c>
      <c r="H34" s="288"/>
      <c r="I34" s="289"/>
      <c r="J34" s="335" t="str">
        <f>IF(G32="","",IF(B24="使用電線-2",AZ71*H24*J24,IF(B25="使用電線-2",AZ71*H25*J25,IF(B26="使用電線-2",AZ71*H26*J26,IF(B27="使用電線-2",AZ71*H27*J27,IF(B28="使用電線-2",AZ71*H28*J28,IF(B29="使用電線-2",AZ71*H29*J29,"")))))))</f>
        <v/>
      </c>
      <c r="K34" s="337" t="str">
        <f>IF(J34="","",AZ70)</f>
        <v/>
      </c>
      <c r="L34" s="302" t="str">
        <f>IF(J34="","",IF(B24="使用電線-2",N24*H24*J24/J34,IF(B25="使用電線-2",N25*H25*J25/J34,IF(B26="使用電線-2",N26*H26*J26/J34,IF(B27="使用電線-2",N27*H27*J27/J34,IF(B28="使用電線-2",N28*H28*J28/J34,IF(B29="使用電線-2",N29*H29*J29/J34)))))))</f>
        <v/>
      </c>
      <c r="M34" s="287" t="s">
        <v>13</v>
      </c>
      <c r="N34" s="347"/>
      <c r="O34" s="335" t="str">
        <f>IF(M32="","",IF(B25="使用電線-3",BI71*H25*J25,IF(B26="使用電線-3",BI71*H26*J26,IF(B27="使用電線-3",BI71*H27*J27,IF(B28="使用電線-3",BI71*H28*J28,IF(B29="使用電線-3",BI71*H29*J29,""))))))</f>
        <v/>
      </c>
      <c r="P34" s="337" t="str">
        <f>IF(O34="","",BI70)</f>
        <v/>
      </c>
      <c r="Q34" s="306" t="str">
        <f>IF(O34="","",IF(B25="使用電線-3",N25*H25*J25/O34,IF(B26="使用電線-3",N26*H26*J26/O34,IF(B27="使用電線-3",N27*H27*J27/O34,IF(B28="使用電線-3",N28*H28*J28/O34,IF(B29="使用電線-3",N29*H29*J29/O34))))))</f>
        <v/>
      </c>
      <c r="R34" s="59"/>
      <c r="S34" s="103" t="s">
        <v>121</v>
      </c>
      <c r="T34" s="36"/>
      <c r="U34" s="102"/>
      <c r="V34" s="102"/>
      <c r="W34" s="59"/>
      <c r="X34" s="59"/>
      <c r="Y34" s="59"/>
      <c r="Z34" s="59"/>
      <c r="AA34" s="59"/>
      <c r="AB34" s="59"/>
      <c r="AC34" s="59"/>
      <c r="AD34" s="59"/>
      <c r="AE34" s="59"/>
      <c r="AF34" s="266" t="str">
        <f>IF('WireDip-01'!AF34="","",'WireDip-01'!AF34)</f>
        <v xml:space="preserve">32-USER Reg. </v>
      </c>
      <c r="AG34" s="28"/>
      <c r="AH34" s="28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</row>
    <row r="35" spans="1:50" ht="13.5" customHeight="1" x14ac:dyDescent="0.15">
      <c r="A35" s="339"/>
      <c r="B35" s="348"/>
      <c r="C35" s="292"/>
      <c r="D35" s="336"/>
      <c r="E35" s="338"/>
      <c r="F35" s="361"/>
      <c r="G35" s="290"/>
      <c r="H35" s="291"/>
      <c r="I35" s="292"/>
      <c r="J35" s="336"/>
      <c r="K35" s="338"/>
      <c r="L35" s="303"/>
      <c r="M35" s="290"/>
      <c r="N35" s="292"/>
      <c r="O35" s="336"/>
      <c r="P35" s="338"/>
      <c r="Q35" s="307"/>
      <c r="R35" s="59"/>
      <c r="S35" s="99">
        <f>IF(D29="",0,SQRT(((((K23*H23+K24*H24+K25*H25+K26*H26+K27*H27+K28*H28+K29*H29)*0.001/SUM(H23:H29))*((SUM(H23:H29))^0.55)+S23*0.001)*100)^2+(M23*H23+M24*H24+M25*H25+M26*H26+M27*H27+M28*H28+M29*H29+U23)^2))</f>
        <v>0</v>
      </c>
      <c r="T35" s="103" t="s">
        <v>132</v>
      </c>
      <c r="U35" s="102"/>
      <c r="V35" s="102"/>
      <c r="W35" s="59"/>
      <c r="X35" s="59"/>
      <c r="Y35" s="59"/>
      <c r="Z35" s="59"/>
      <c r="AA35" s="59"/>
      <c r="AB35" s="59"/>
      <c r="AC35" s="59"/>
      <c r="AD35" s="59"/>
      <c r="AE35" s="59"/>
      <c r="AF35" s="266" t="str">
        <f>IF('WireDip-01'!AF35="","",'WireDip-01'!AF35)</f>
        <v xml:space="preserve">33-USER Reg. </v>
      </c>
      <c r="AG35" s="28"/>
      <c r="AH35" s="28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</row>
    <row r="36" spans="1:50" ht="13.5" customHeight="1" x14ac:dyDescent="0.15">
      <c r="A36" s="339"/>
      <c r="B36" s="366" t="s">
        <v>14</v>
      </c>
      <c r="C36" s="295"/>
      <c r="D36" s="314" t="str">
        <f>IF(B32="","",AQ91*H23*J23)</f>
        <v/>
      </c>
      <c r="E36" s="333" t="str">
        <f>IF(D36="","",AQ90)</f>
        <v/>
      </c>
      <c r="F36" s="302" t="str">
        <f>IF(D36="","",N23*H23*J23/D36)</f>
        <v/>
      </c>
      <c r="G36" s="293" t="s">
        <v>14</v>
      </c>
      <c r="H36" s="294"/>
      <c r="I36" s="295"/>
      <c r="J36" s="314" t="str">
        <f>IF(G32="","",IF(B24="使用電線-2",AZ91*H24*J24,IF(B25="使用電線-2",AZ91*H25*J25,IF(B26="使用電線-2",AZ91*H26*J26,IF(B27="使用電線-2",AZ91*H27*J27,IF(B28="使用電線-2",AZ91*H28*J28,IF(B29="使用電線-2",AZ91*H29*J29,"")))))))</f>
        <v/>
      </c>
      <c r="K36" s="333" t="str">
        <f>IF(J36="","",AZ90)</f>
        <v/>
      </c>
      <c r="L36" s="302" t="str">
        <f>IF(J36="","",IF(B24="使用電線-2",N24*H24*J24/J36,IF(B25="使用電線-2",N25*H25*J25/J36,IF(B26="使用電線-2",N26*H26*J26/J36,IF(B27="使用電線-2",N27*H27*J27/J36,IF(B28="使用電線-2",N28*H28*J28/J36,IF(B29="使用電線-2",N29*H29*J29/J36)))))))</f>
        <v/>
      </c>
      <c r="M36" s="293" t="s">
        <v>14</v>
      </c>
      <c r="N36" s="295"/>
      <c r="O36" s="314" t="str">
        <f>IF(M32="","",IF(B25="使用電線-3",BI91*H25*J25,IF(B26="使用電線-3",BI91*H26*J26,IF(B27="使用電線-3",BI91*H27*J27,IF(B28="使用電線-3",BI91*H28*J28,IF(B29="使用電線-3",BI91*H29*J29,""))))))</f>
        <v/>
      </c>
      <c r="P36" s="333" t="str">
        <f>IF(O36="","",BI90)</f>
        <v/>
      </c>
      <c r="Q36" s="358" t="str">
        <f>IF(O36="","",IF(B25="使用電線-3",N25*H25*J25/O36,IF(B26="使用電線-3",N26*H26*J26/O36,IF(B27="使用電線-3",N27*H27*J27/O36,IF(B28="使用電線-3",N28*H28*J28/O36,IF(B29="使用電線-3",N29*H29*J29/O36))))))</f>
        <v/>
      </c>
      <c r="R36" s="59"/>
      <c r="S36" s="99">
        <f>IF(D28="",0,SQRT(((((K23*H23+K24*H24+K25*H25+K26*H26+K27*H27+K28*H28)*0.001/SUM(H23:H28))*((SUM(H23:H28))^0.55)+S23*0.001)*100)^2+(M23*H23+M24*H24+M25*H25+M26*H26+M27*H27+M28*H28+U23)^2))</f>
        <v>0</v>
      </c>
      <c r="T36" s="99">
        <f>IF(D29="",0,SQRT(((((K24*H24+K25*H25+K26*H26+K27*H27+K28*H28+K29*H29)*0.001/SUM(H24:H29))*((SUM(H24:H29))^0.55)+S24*0.001)*100)^2+(M24*H24+M25*H25+M26*H26+M27*H27+M28*H28+M29*H29+U24)^2))</f>
        <v>0</v>
      </c>
      <c r="U36" s="103" t="s">
        <v>128</v>
      </c>
      <c r="V36" s="102"/>
      <c r="W36" s="59"/>
      <c r="X36" s="59"/>
      <c r="Y36" s="59"/>
      <c r="Z36" s="59"/>
      <c r="AA36" s="59"/>
      <c r="AB36" s="59"/>
      <c r="AC36" s="59"/>
      <c r="AD36" s="59"/>
      <c r="AE36" s="59"/>
      <c r="AF36" s="266" t="str">
        <f>IF('WireDip-01'!AF36="","",'WireDip-01'!AF36)</f>
        <v xml:space="preserve">34-USER Reg. </v>
      </c>
      <c r="AG36" s="28"/>
      <c r="AH36" s="28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</row>
    <row r="37" spans="1:50" ht="13.5" customHeight="1" x14ac:dyDescent="0.15">
      <c r="A37" s="339"/>
      <c r="B37" s="348"/>
      <c r="C37" s="292"/>
      <c r="D37" s="315"/>
      <c r="E37" s="334"/>
      <c r="F37" s="303"/>
      <c r="G37" s="290"/>
      <c r="H37" s="291"/>
      <c r="I37" s="292"/>
      <c r="J37" s="315"/>
      <c r="K37" s="334"/>
      <c r="L37" s="303"/>
      <c r="M37" s="290"/>
      <c r="N37" s="292"/>
      <c r="O37" s="315"/>
      <c r="P37" s="334"/>
      <c r="Q37" s="359"/>
      <c r="R37" s="59"/>
      <c r="S37" s="99">
        <f>IF(D27="",0,SQRT(((((K23*H23+K24*H24+K25*H25+K26*H26+K27*H27)*0.001/SUM(H23:H27))*((SUM(H23:H27))^0.55)+S23*0.001)*100)^2+(M23*H23+M24*H24+M25*H25+M26*H26+M27*H27+U23)^2))</f>
        <v>0</v>
      </c>
      <c r="T37" s="99">
        <f>IF(D28="",0,SQRT(((((K24*H24+K25*H25+K26*H26+K27*H27+K28*H28)*0.001/SUM(H24:H28))*((SUM(H24:H28))^0.55)+S24*0.001)*100)^2+(M24*H24+M25*H25+M26*H26+M27*H27+M28*H28+U24)^2))</f>
        <v>0</v>
      </c>
      <c r="U37" s="99">
        <f>IF(D29="",0,SQRT(((((K25*H25+K26*H26+K27*H27+K28*H28+K29*H29)*0.001/SUM(H25:H29))*((SUM(H25:H29))^0.55)+S25*0.001)*100)^2+(M25*H25+M26*H26+M27*H27+M28*H28+M29*H29+U25)^2))</f>
        <v>0</v>
      </c>
      <c r="V37" s="103" t="s">
        <v>129</v>
      </c>
      <c r="W37" s="59"/>
      <c r="X37" s="59"/>
      <c r="Y37" s="59"/>
      <c r="Z37" s="59"/>
      <c r="AA37" s="59"/>
      <c r="AB37" s="59"/>
      <c r="AC37" s="59"/>
      <c r="AD37" s="59"/>
      <c r="AE37" s="59"/>
      <c r="AF37" s="266" t="str">
        <f>IF('WireDip-01'!AF37="","",'WireDip-01'!AF37)</f>
        <v xml:space="preserve">35-USER Reg. </v>
      </c>
      <c r="AG37" s="28"/>
      <c r="AH37" s="28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50" ht="17.25" customHeight="1" x14ac:dyDescent="0.15">
      <c r="A38" s="339"/>
      <c r="B38" s="366" t="s">
        <v>15</v>
      </c>
      <c r="C38" s="295"/>
      <c r="D38" s="314" t="str">
        <f>IF(B32="","",AQ111*H23*J23)</f>
        <v/>
      </c>
      <c r="E38" s="333" t="str">
        <f>IF(D38="","",AQ110)</f>
        <v/>
      </c>
      <c r="F38" s="302" t="str">
        <f>IF(D38="","",N23*H23*J23/D38)</f>
        <v/>
      </c>
      <c r="G38" s="293" t="s">
        <v>15</v>
      </c>
      <c r="H38" s="294"/>
      <c r="I38" s="295"/>
      <c r="J38" s="314" t="str">
        <f>IF(G32="","",IF(B24="使用電線-2",AZ111*H24*J24,IF(B25="使用電線-2",AZ111*H25*J25,IF(B26="使用電線-2",AZ111*H26*J26,IF(B27="使用電線-2",AZ111*H27*J27,IF(B28="使用電線-2",AZ111*H28*J28,IF(B29="使用電線-2",AZ111*H29*J29,"")))))))</f>
        <v/>
      </c>
      <c r="K38" s="333" t="str">
        <f>IF(J38="","",AZ110)</f>
        <v/>
      </c>
      <c r="L38" s="302" t="str">
        <f>IF(J38="","",IF(B24="使用電線-2",N24*H24*J24/J38,IF(B25="使用電線-2",N25*H25*J25/J38,IF(B26="使用電線-2",N26*H26*J26/J38,IF(B27="使用電線-2",N27*H27*J27/J38,IF(B28="使用電線-2",N28*H28*J28/J38,IF(B29="使用電線-2",N29*H29*J29/J38)))))))</f>
        <v/>
      </c>
      <c r="M38" s="293" t="s">
        <v>15</v>
      </c>
      <c r="N38" s="295"/>
      <c r="O38" s="314" t="str">
        <f>IF(M32="","",IF(B25="使用電線-3",BI111*H25*J25,IF(B26="使用電線-3",BI111*H26*J26,IF(B27="使用電線-3",BI111*H27*J27,IF(B28="使用電線-3",BI111*H28*J28,IF(B29="使用電線-3",BI111*H29*J29,""))))))</f>
        <v/>
      </c>
      <c r="P38" s="333" t="str">
        <f>IF(O38="","",BI110)</f>
        <v/>
      </c>
      <c r="Q38" s="358" t="str">
        <f>IF(O38="","",IF(B25="使用電線-3",N25*H25*J25/O38,IF(B26="使用電線-3",N26*H26*J26/O38,IF(B27="使用電線-3",N27*H27*J27/O38,IF(B28="使用電線-3",N28*H28*J28/O38,IF(B29="使用電線-3",N29*H29*J29/O38))))))</f>
        <v/>
      </c>
      <c r="R38" s="59"/>
      <c r="S38" s="99">
        <f>IF(D26="",0,SQRT(((((K23*H23+K24*H24+K25*H25+K26*H26)*0.001/SUM(H23:H26))*((SUM(H23:H26))^0.55)+S23*0.001)*100)^2+(M23*H23+M24*H24+M25*H25+M26*H26+U23)^2))</f>
        <v>0</v>
      </c>
      <c r="T38" s="99">
        <f>IF(D27="",0,SQRT(((((K24*H24+K25*H25+K26*H26+K27*H27)*0.001/SUM(H24:H27))*((SUM(H24:H27))^0.55)+S24*0.001)*100)^2+(M24*H24+M25*H25+M26*H26+M27*H27+U24)^2))</f>
        <v>0</v>
      </c>
      <c r="U38" s="99">
        <f>IF(D28="",0,SQRT(((((K25*H25+K26*H26+K27*H27+K28*H28)*0.001/SUM(H25:H28))*((SUM(H25:H28))^0.55)+S25*0.001)*100)^2+(M25*H25+M26*H26+M27*H27+M28*H28+U25)^2))</f>
        <v>0</v>
      </c>
      <c r="V38" s="99">
        <f>IF(D29="",0,SQRT(((((K26*H26+K27*H27+K28*H28+K29*H29)*0.001/SUM(H26:H29))*((SUM(H26:H29))^0.55)+S26*0.001)*100)^2+(M26*H26+M27*H27+M28*H28+M29*H29+U26)^2))</f>
        <v>0</v>
      </c>
      <c r="W38" s="103" t="s">
        <v>130</v>
      </c>
      <c r="X38" s="59"/>
      <c r="Y38" s="59"/>
      <c r="Z38" s="59"/>
      <c r="AA38" s="59"/>
      <c r="AB38" s="59"/>
      <c r="AC38" s="59"/>
      <c r="AD38" s="59"/>
      <c r="AE38" s="59"/>
      <c r="AF38" s="266" t="str">
        <f>IF('WireDip-01'!AF38="","",'WireDip-01'!AF38)</f>
        <v xml:space="preserve">36-USER Reg. </v>
      </c>
      <c r="AG38" s="28"/>
      <c r="AH38" s="28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50" ht="17.25" customHeight="1" x14ac:dyDescent="0.15">
      <c r="A39" s="339"/>
      <c r="B39" s="348"/>
      <c r="C39" s="292"/>
      <c r="D39" s="315"/>
      <c r="E39" s="334"/>
      <c r="F39" s="303"/>
      <c r="G39" s="290"/>
      <c r="H39" s="291"/>
      <c r="I39" s="292"/>
      <c r="J39" s="315"/>
      <c r="K39" s="334"/>
      <c r="L39" s="303"/>
      <c r="M39" s="290"/>
      <c r="N39" s="292"/>
      <c r="O39" s="315"/>
      <c r="P39" s="334"/>
      <c r="Q39" s="359"/>
      <c r="R39" s="59"/>
      <c r="S39" s="99">
        <f>IF(D25="",0,SQRT(((((K23*H23+K24*H24+K25*H25)*0.001/SUM(H23:H25))*((SUM(H23:H25))^0.55)+S23*0.001)*100)^2+(M23*H23+M24*H24+M25*H25+U23)^2))</f>
        <v>0</v>
      </c>
      <c r="T39" s="99">
        <f>IF(D26="",0,SQRT(((((K24*H24+K25*H25+K26*H26)*0.001/SUM(H24:H26))*((SUM(H24:H26))^0.55)+S24*0.001)*100)^2+(M24*H24+M25*H25+M26*H26+U24)^2))</f>
        <v>0</v>
      </c>
      <c r="U39" s="99">
        <f>IF(D27="",0,SQRT(((((K25*H25+K26*H26+K27*H27)*0.001/SUM(H25:H27))*((SUM(H25:H27))^0.55)+S25*0.001)*100)^2+(M25*H25+M26*H26+M27*H27+U25)^2))</f>
        <v>0</v>
      </c>
      <c r="V39" s="99">
        <f>IF(D28="",0,SQRT(((((K26*H26+K27*H27+K28*H28)*0.001/SUM(H26:H28))*((SUM(H26:H28))^0.55)+S26*0.001)*100)^2+(M26*H26+M27*H27+M28*H28+U26)^2))</f>
        <v>0</v>
      </c>
      <c r="W39" s="99">
        <f>IF(D29="",0,SQRT(((((K27*H27+K28*H28+K29*H29)*0.001/SUM(H27:H29))*((SUM(H27:H29))^0.55)+S27*0.001)*100)^2+(M27*H27+M28*H28+M29*H29+U27)^2))</f>
        <v>0</v>
      </c>
      <c r="X39" s="103" t="s">
        <v>131</v>
      </c>
      <c r="Y39" s="59"/>
      <c r="Z39" s="59"/>
      <c r="AA39" s="59"/>
      <c r="AB39" s="59"/>
      <c r="AC39" s="59"/>
      <c r="AD39" s="59"/>
      <c r="AE39" s="59"/>
      <c r="AF39" s="266" t="str">
        <f>IF('WireDip-01'!AF39="","",'WireDip-01'!AF39)</f>
        <v xml:space="preserve">37-USER Reg. </v>
      </c>
      <c r="AG39" s="28"/>
      <c r="AH39" s="28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50" ht="15" customHeight="1" x14ac:dyDescent="0.15">
      <c r="A40" s="339"/>
      <c r="B40" s="388" t="s">
        <v>16</v>
      </c>
      <c r="C40" s="298"/>
      <c r="D40" s="198" t="str">
        <f>IF(B32="","",AQ131*H23*J23)</f>
        <v/>
      </c>
      <c r="E40" s="199" t="str">
        <f>IF(D40="","",AQ130)</f>
        <v/>
      </c>
      <c r="F40" s="200" t="str">
        <f>IF(D40="","",N23*H23*J23/D40)</f>
        <v/>
      </c>
      <c r="G40" s="296" t="s">
        <v>16</v>
      </c>
      <c r="H40" s="297"/>
      <c r="I40" s="298"/>
      <c r="J40" s="198" t="str">
        <f>IF(G32="","",IF(B24="使用電線-2",AZ131*H24*J24,IF(B25="使用電線-2",AZ131*H25*J25,IF(B26="使用電線-2",AZ131*H26*J26,IF(B27="使用電線-2",AZ131*H27*J27,IF(B28="使用電線-2",AZ131*H28*J28,IF(B29="使用電線-2",AZ131*H29*J29,"")))))))</f>
        <v/>
      </c>
      <c r="K40" s="199" t="str">
        <f>IF(J40="","",AZ130)</f>
        <v/>
      </c>
      <c r="L40" s="200" t="str">
        <f>IF(J40="","",IF(B24="使用電線-2",N24*H24*J24/J40,IF(B25="使用電線-2",N25*H25*J25/J40,IF(B26="使用電線-2",N26*H26*J26/J40,IF(B27="使用電線-2",N27*H27*J27/J40,IF(B28="使用電線-2",N28*H28*J28/J40,IF(B29="使用電線-2",N29*H29*J29/J40)))))))</f>
        <v/>
      </c>
      <c r="M40" s="296" t="s">
        <v>16</v>
      </c>
      <c r="N40" s="298"/>
      <c r="O40" s="198" t="str">
        <f>IF(M32="","",IF(B25="使用電線-3",BI131*H25*J25,IF(B26="使用電線-3",BI131*H26*J26,IF(B27="使用電線-3",BI131*H27*J27,IF(B28="使用電線-3",BI131*H28*J28,IF(B29="使用電線-3",BI131*H29*J29,""))))))</f>
        <v/>
      </c>
      <c r="P40" s="199" t="str">
        <f>IF(O40="","",BI130)</f>
        <v/>
      </c>
      <c r="Q40" s="203" t="str">
        <f>IF(O40="","",IF(B25="使用電線-3",N25*H25*J25/O40,IF(B26="使用電線-3",N26*H26*J26/O40,IF(B27="使用電線-3",N27*H27*J27/O40,IF(B28="使用電線-3",N28*H28*J28/O40,IF(B29="使用電線-3",N29*H29*J29/O40))))))</f>
        <v/>
      </c>
      <c r="R40" s="59"/>
      <c r="S40" s="99">
        <f>IF(D24="",0,SQRT(((((K23*H23+K24*H24)*0.001/SUM(H23:H24))*((SUM(H23:H24))^0.55)+S23*0.001)*100)^2+(M23*H23+M24*H24+U23)^2))</f>
        <v>0</v>
      </c>
      <c r="T40" s="99">
        <f>IF(D25="",0,SQRT(((((K24*H24+K25*H25)*0.001/SUM(H24:H25))*((SUM(H24:H25))^0.55)+S24*0.001)*100)^2+(M24*H24+M25*H25+U24)^2))</f>
        <v>0</v>
      </c>
      <c r="U40" s="99">
        <f>IF(D26="",0,SQRT(((((K25*H25+K26*H26)*0.001/SUM(H25:H26))*((SUM(H25:H26))^0.55)+S25*0.001)*100)^2+(M25*H25+M26*H26+U25)^2))</f>
        <v>0</v>
      </c>
      <c r="V40" s="99">
        <f>IF(D27="",0,SQRT(((((K26*H26+K27*H27)*0.001/SUM(H26:H27))*((SUM(H26:H27))^0.55)+S26*0.001)*100)^2+(M26*H26+M27*H27+U26)^2))</f>
        <v>0</v>
      </c>
      <c r="W40" s="99">
        <f>IF(D28="",0,SQRT(((((K27*H27+K28*H28)*0.001/SUM(H27:H28))*((SUM(H27:H28))^0.55)+S27*0.001)*100)^2+(M27*H27+M28*H28+U27)^2))</f>
        <v>0</v>
      </c>
      <c r="X40" s="99">
        <f>IF(D29="",0,SQRT(((((K28*H28+K29*H29)*0.001/SUM(H28:H29))*((SUM(H28:H29))^0.55)+S28*0.001)*100)^2+(M28*H28+M29*H29+U28)^2))</f>
        <v>0</v>
      </c>
      <c r="Y40" s="59"/>
      <c r="Z40" s="59"/>
      <c r="AA40" s="59"/>
      <c r="AB40" s="59"/>
      <c r="AC40" s="59"/>
      <c r="AD40" s="59"/>
      <c r="AE40" s="59"/>
      <c r="AF40" s="266" t="str">
        <f>IF('WireDip-01'!AF40="","",'WireDip-01'!AF40)</f>
        <v xml:space="preserve">38-USER Reg. </v>
      </c>
      <c r="AG40" s="3"/>
      <c r="AH40" s="3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</row>
    <row r="41" spans="1:50" ht="15" customHeight="1" x14ac:dyDescent="0.15">
      <c r="A41" s="339"/>
      <c r="B41" s="389" t="s">
        <v>17</v>
      </c>
      <c r="C41" s="301"/>
      <c r="D41" s="249" t="str">
        <f>IF(B32="","",AQ151*H23*J23)</f>
        <v/>
      </c>
      <c r="E41" s="250" t="str">
        <f>IF(D41="","",AQ150)</f>
        <v/>
      </c>
      <c r="F41" s="251" t="str">
        <f>IF(D41="","",N23*H23*J23/D41)</f>
        <v/>
      </c>
      <c r="G41" s="299" t="s">
        <v>17</v>
      </c>
      <c r="H41" s="300"/>
      <c r="I41" s="301"/>
      <c r="J41" s="249" t="str">
        <f>IF(G32="","",IF(B24="使用電線-2",AZ151*H24*J24,IF(B25="使用電線-2",AZ151*H25*J25,IF(B26="使用電線-2",AZ151*H26*J26,IF(B27="使用電線-2",AZ151*H27*J27,IF(B28="使用電線-2",AZ151*H28*J28,IF(B29="使用電線-2",AZ151*H29*J29,"")))))))</f>
        <v/>
      </c>
      <c r="K41" s="250" t="str">
        <f>IF(J41="","",AZ150)</f>
        <v/>
      </c>
      <c r="L41" s="251" t="str">
        <f>IF(J41="","",IF(B24="使用電線-2",N24*H24*J24/J41,IF(B25="使用電線-2",N25/J41,IF(B26="使用電線-2",N26/J41,IF(B27="使用電線-2",N27/J41,IF(B28="使用電線-2",N28/J41,IF(B29="使用電線-2",N29/J41)))))))</f>
        <v/>
      </c>
      <c r="M41" s="299" t="s">
        <v>17</v>
      </c>
      <c r="N41" s="301"/>
      <c r="O41" s="249" t="str">
        <f>IF(M32="","",IF(B25="使用電線-3",BI151*H25*J25,IF(B26="使用電線-3",BI151*H26*J26,IF(B27="使用電線-3",BI151*H27*J27,IF(B28="使用電線-3",BI151*H28*J28,IF(B29="使用電線-3",BI151*H29*J29,""))))))</f>
        <v/>
      </c>
      <c r="P41" s="250" t="str">
        <f>IF(O41="","",BI150)</f>
        <v/>
      </c>
      <c r="Q41" s="252" t="str">
        <f>IF(O41="","",IF(B25="使用電線-3",N25*H25*J25/O41,IF(B26="使用電線-3",N26*H26*J26/O41,IF(B27="使用電線-3",N27*H27*J27/O41,IF(B28="使用電線-3",N28*H28*J28/O41,IF(B29="使用電線-3",N29*H29*J29/O41))))))</f>
        <v/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266" t="str">
        <f>IF('WireDip-01'!AF41="","",'WireDip-01'!AF41)</f>
        <v xml:space="preserve">39-USER Reg. </v>
      </c>
      <c r="AG41" s="3"/>
      <c r="AH41" s="3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</row>
    <row r="42" spans="1:50" ht="15" customHeight="1" x14ac:dyDescent="0.15">
      <c r="A42" s="339"/>
      <c r="B42" s="388" t="s">
        <v>18</v>
      </c>
      <c r="C42" s="298"/>
      <c r="D42" s="198" t="str">
        <f>IF(B32="","",AQ171*H23*J23)</f>
        <v/>
      </c>
      <c r="E42" s="199" t="str">
        <f>IF(D42="","",AQ170)</f>
        <v/>
      </c>
      <c r="F42" s="200" t="str">
        <f>IF(D42="","",N23*H23*J23/D42)</f>
        <v/>
      </c>
      <c r="G42" s="296" t="s">
        <v>18</v>
      </c>
      <c r="H42" s="297"/>
      <c r="I42" s="298"/>
      <c r="J42" s="198" t="str">
        <f>IF(G32="","",IF(B24="使用電線-2",AZ171*H24*J24,IF(B25="使用電線-2",AZ171*H25*J25,IF(B26="使用電線-2",AZ171*H26*J26,IF(B27="使用電線-2",AZ171*H27*J27,IF(B28="使用電線-2",AZ171*H28*J28,IF(B29="使用電線-2",AZ171*H29*J29,"")))))))</f>
        <v/>
      </c>
      <c r="K42" s="199" t="str">
        <f>IF(J42="","",AZ170)</f>
        <v/>
      </c>
      <c r="L42" s="200" t="str">
        <f>IF(J42="","",IF(B24="使用電線-2",N24*H24*J24/J42,IF(B25="使用電線-2",N25*H25*J25/J42,IF(B26="使用電線-2",N26*H26*J26/J42,IF(B27="使用電線-2",N27*H27*J27/J42,IF(B28="使用電線-2",N28*H28*J28/J42,IF(B29="使用電線-2",N29*H29*J29/J42)))))))</f>
        <v/>
      </c>
      <c r="M42" s="296" t="s">
        <v>18</v>
      </c>
      <c r="N42" s="298"/>
      <c r="O42" s="198" t="str">
        <f>IF(M32="","",IF(B25="使用電線-3",BI171*H25*J25,IF(B26="使用電線-3",BI171*H26*J26,IF(B27="使用電線-3",BI171*H27*J27,IF(B28="使用電線-3",BI171*H28*J28,IF(B29="使用電線-3",BI171*H29*J29,""))))))</f>
        <v/>
      </c>
      <c r="P42" s="199" t="str">
        <f>IF(O42="","",BI170)</f>
        <v/>
      </c>
      <c r="Q42" s="203" t="str">
        <f>IF(O42="","",IF(B25="使用電線-3",N25*H25*J25/O42,IF(B26="使用電線-3",N26*H26*J26/O42,IF(B27="使用電線-3",N27*H27*J27/O42,IF(B28="使用電線-3",N28*H28*J28/O42,IF(B29="使用電線-3",N29*H29*J29/O42))))))</f>
        <v/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266" t="str">
        <f>IF('WireDip-01'!AF42="","",'WireDip-01'!AF42)</f>
        <v xml:space="preserve">40-USER Reg. </v>
      </c>
      <c r="AG42" s="3"/>
      <c r="AH42" s="3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</row>
    <row r="43" spans="1:50" ht="15" customHeight="1" x14ac:dyDescent="0.15">
      <c r="A43" s="339"/>
      <c r="B43" s="388" t="s">
        <v>19</v>
      </c>
      <c r="C43" s="298"/>
      <c r="D43" s="198" t="str">
        <f>IF(B32="","",AQ191*H23*J23)</f>
        <v/>
      </c>
      <c r="E43" s="199" t="str">
        <f>IF(D43="","",AQ190)</f>
        <v/>
      </c>
      <c r="F43" s="200" t="str">
        <f>IF(D43="","",N23*H23*J23/D43)</f>
        <v/>
      </c>
      <c r="G43" s="296" t="s">
        <v>19</v>
      </c>
      <c r="H43" s="297"/>
      <c r="I43" s="298"/>
      <c r="J43" s="198" t="str">
        <f>IF(G32="","",IF(B24="使用電線-2",AZ191*H24*J24,IF(B25="使用電線-2",AZ191*H25*J25,IF(B26="使用電線-2",AZ191*H26*J26,IF(B27="使用電線-2",AZ191*H27*J27,IF(B28="使用電線-2",AZ191*H28*J28,IF(B29="使用電線-2",AZ191*H29*J29,"")))))))</f>
        <v/>
      </c>
      <c r="K43" s="199" t="str">
        <f>IF(J43="","",AZ190)</f>
        <v/>
      </c>
      <c r="L43" s="200" t="str">
        <f>IF(J43="","",IF(B24="使用電線-2",N24*H24*J24/J43,IF(B25="使用電線-2",N25*H25*J25/J43,IF(B26="使用電線-2",N26*H26*J26/J43,IF(B27="使用電線-2",N27*H27*J27/J43,IF(B28="使用電線-2",N28*H28*J28/J43,IF(B29="使用電線-2",N29*H29*J29/J43)))))))</f>
        <v/>
      </c>
      <c r="M43" s="296" t="s">
        <v>19</v>
      </c>
      <c r="N43" s="298"/>
      <c r="O43" s="198" t="str">
        <f>IF(M32="","",IF(B25="使用電線-3",BI191*H25*J25,IF(B26="使用電線-3",BI191*H26*J26,IF(B27="使用電線-3",BI191*H27*J27,IF(B28="使用電線-3",BI191*H28*J28,IF(B29="使用電線-3",BI191*H29*J29,""))))))</f>
        <v/>
      </c>
      <c r="P43" s="199" t="str">
        <f>IF(O43="","",BI190)</f>
        <v/>
      </c>
      <c r="Q43" s="203" t="str">
        <f>IF(O43="","",IF(B25="使用電線-3",N25*H25*J25/O43,IF(B26="使用電線-3",N26*H26*J26/O43,IF(B27="使用電線-3",N27*H27*J27/O43,IF(B28="使用電線-3",N28*H28*J28/O43,IF(B29="使用電線-3",N29*H29*J29/O43))))))</f>
        <v/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266" t="str">
        <f>IF('WireDip-01'!AF43="","",'WireDip-01'!AF43)</f>
        <v xml:space="preserve">41-USER Reg. </v>
      </c>
      <c r="AG43" s="3"/>
      <c r="AH43" s="3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</row>
    <row r="44" spans="1:50" ht="15" customHeight="1" x14ac:dyDescent="0.15">
      <c r="A44" s="339"/>
      <c r="B44" s="385" t="s">
        <v>20</v>
      </c>
      <c r="C44" s="309"/>
      <c r="D44" s="198" t="str">
        <f>IF(B32="","",IF(AQ211=0,"",AQ211*H23*J23))</f>
        <v/>
      </c>
      <c r="E44" s="199" t="str">
        <f>IF(D44="","",AQ210)</f>
        <v/>
      </c>
      <c r="F44" s="200" t="str">
        <f>IF(D44="","",N23*H23*J23/D44)</f>
        <v/>
      </c>
      <c r="G44" s="308" t="s">
        <v>20</v>
      </c>
      <c r="H44" s="332"/>
      <c r="I44" s="309"/>
      <c r="J44" s="201" t="str">
        <f>IF(AZ211=0,"",IF(B24="使用電線-2",AZ211*H24*J24,IF(B25="使用電線-2",AZ211*H25*J25,IF(B26="使用電線-2",AZ211*H26*J26,IF(B27="使用電線-2",AZ211*H27*J27,IF(B28="使用電線-2",AZ211*H28*J28,IF(B29="使用電線-2",AZ211*H29*J29,"")))))))</f>
        <v/>
      </c>
      <c r="K44" s="199" t="str">
        <f>IF(J44="","",AZ210)</f>
        <v/>
      </c>
      <c r="L44" s="202" t="str">
        <f>IF(J44="","",IF(B24="使用電線-2",N24*H24*J24/J44,IF(B25="使用電線-2",N25*H25*J25/J44,IF(B26="使用電線-2",N26*H26*J26/J44,IF(B27="使用電線-2",N27*H27*J27/J44,IF(B28="使用電線-2",N28*H28244*J28/J44,IF(B29="使用電線-2",N29*H29*J29/J44)))))))</f>
        <v/>
      </c>
      <c r="M44" s="308" t="s">
        <v>20</v>
      </c>
      <c r="N44" s="309"/>
      <c r="O44" s="201" t="str">
        <f>IF(G32="","",IF(BI211=0,"",IF(B25="使用電線-3",BI211*H25*J25,IF(B26="使用電線-3",BI211*H26*J26,IF(B27="使用電線-3",BI211*H27*J27,IF(B28="使用電線-3",BI211*H28*J28,IF(B29="使用電線-3",BI211*H29*J29,"")))))))</f>
        <v/>
      </c>
      <c r="P44" s="199" t="str">
        <f>IF(O44="","",BI210)</f>
        <v/>
      </c>
      <c r="Q44" s="204" t="str">
        <f>IF(O44="","",IF(B25="使用電線-3",N25*H25*J25/O44,IF(B26="使用電線-3",N26*H26*J26/O44,IF(B27="使用電線-3",N27*H27*J27/O44,IF(B28="使用電線-3",N28*H28*J28/O44,IF(B29="使用電線-3",N29*H29*J29/O44))))))</f>
        <v/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266" t="str">
        <f>IF('WireDip-01'!AF44="","",'WireDip-01'!AF44)</f>
        <v xml:space="preserve">42-USER Reg. </v>
      </c>
      <c r="AG44" s="3"/>
      <c r="AH44" s="3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</row>
    <row r="45" spans="1:50" ht="3.75" customHeight="1" x14ac:dyDescent="0.15">
      <c r="A45" s="339"/>
      <c r="B45" s="33"/>
      <c r="C45" s="186"/>
      <c r="D45" s="11"/>
      <c r="E45" s="11"/>
      <c r="F45" s="11"/>
      <c r="G45" s="11"/>
      <c r="H45" s="11"/>
      <c r="I45" s="34"/>
      <c r="J45" s="11"/>
      <c r="K45" s="11"/>
      <c r="L45" s="11"/>
      <c r="M45" s="11"/>
      <c r="N45" s="34"/>
      <c r="O45" s="11"/>
      <c r="P45" s="11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6"/>
      <c r="AG45" s="3"/>
      <c r="AH45" s="3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</row>
    <row r="46" spans="1:50" ht="13.5" customHeight="1" x14ac:dyDescent="0.15">
      <c r="A46" s="339"/>
      <c r="B46" s="386" t="str">
        <f>IF(AC26=4,"使用電線-"&amp;AC26,IF(AC27=4,"使用電線-"&amp;AC27,IF(AC28=4,"使用電線-"&amp;AC28,IF(AC29=4,"使用電線-"&amp;AC29,IF(AC30=4,"使用電線-"&amp;AC30,"")))))</f>
        <v/>
      </c>
      <c r="C46" s="387"/>
      <c r="D46" s="29" t="s">
        <v>21</v>
      </c>
      <c r="E46" s="29" t="s">
        <v>22</v>
      </c>
      <c r="F46" s="356" t="s">
        <v>23</v>
      </c>
      <c r="G46" s="329" t="str">
        <f>IF(AC27=5,"使用電線-"&amp;AC27,IF(AC28=5,"使用電線-"&amp;AC28,IF(AC29=5,"使用電線-"&amp;AC29,IF(AC30=5,"使用電線-"&amp;AC30,""))))</f>
        <v/>
      </c>
      <c r="H46" s="330"/>
      <c r="I46" s="331"/>
      <c r="J46" s="29" t="s">
        <v>21</v>
      </c>
      <c r="K46" s="29" t="s">
        <v>22</v>
      </c>
      <c r="L46" s="362" t="s">
        <v>23</v>
      </c>
      <c r="M46" s="310" t="s">
        <v>25</v>
      </c>
      <c r="N46" s="311"/>
      <c r="O46" s="29" t="s">
        <v>46</v>
      </c>
      <c r="P46" s="29" t="s">
        <v>22</v>
      </c>
      <c r="Q46" s="57" t="s">
        <v>23</v>
      </c>
      <c r="R46" s="60"/>
      <c r="S46" s="3"/>
      <c r="T46" s="3"/>
      <c r="U46" s="59"/>
      <c r="V46" s="59"/>
      <c r="W46" s="59"/>
      <c r="X46" s="59"/>
      <c r="Y46" s="95" t="s">
        <v>158</v>
      </c>
      <c r="Z46" s="95" t="s">
        <v>159</v>
      </c>
      <c r="AA46" s="60"/>
      <c r="AB46" s="60"/>
      <c r="AC46" s="60"/>
      <c r="AD46" s="60"/>
      <c r="AE46" s="60"/>
      <c r="AF46" s="36"/>
      <c r="AG46" s="36"/>
      <c r="AH46" s="36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</row>
    <row r="47" spans="1:50" ht="13.5" customHeight="1" x14ac:dyDescent="0.15">
      <c r="A47" s="339"/>
      <c r="B47" s="187" t="str">
        <f>IF(B46="","","弛度補正")</f>
        <v/>
      </c>
      <c r="C47" s="182"/>
      <c r="D47" s="55" t="s">
        <v>125</v>
      </c>
      <c r="E47" s="55" t="s">
        <v>24</v>
      </c>
      <c r="F47" s="357"/>
      <c r="G47" s="304" t="str">
        <f>IF(G46="","","弛度補正")</f>
        <v/>
      </c>
      <c r="H47" s="305"/>
      <c r="I47" s="182"/>
      <c r="J47" s="188" t="s">
        <v>125</v>
      </c>
      <c r="K47" s="55" t="s">
        <v>24</v>
      </c>
      <c r="L47" s="363"/>
      <c r="M47" s="312"/>
      <c r="N47" s="313"/>
      <c r="O47" s="55" t="s">
        <v>125</v>
      </c>
      <c r="P47" s="167" t="s">
        <v>157</v>
      </c>
      <c r="Q47" s="56" t="s">
        <v>174</v>
      </c>
      <c r="R47" s="61"/>
      <c r="S47" s="103" t="s">
        <v>126</v>
      </c>
      <c r="T47" s="3"/>
      <c r="U47" s="3"/>
      <c r="V47" s="59"/>
      <c r="W47" s="59"/>
      <c r="X47" s="59"/>
      <c r="Y47" s="99">
        <f>IF(I23="---〃---",0,IF(OR(I23=AH3,I23=AH4,I23=AH5,I23=AH6,I23=AH7,I23=AH8,I23=AH9,I23=AH10),S23*0.001+0.012,0))</f>
        <v>0</v>
      </c>
      <c r="Z47" s="99">
        <f>IF(I23="---〃---",0,IF(OR(I23=AH3,I23=AH4,I23=AH5,I23=AH6,I23=AH7,I23=AH8,I23=AH9,I23=AH10),U23+1.884955592*(S23*0.001+0.006)*0.9,0))</f>
        <v>0</v>
      </c>
      <c r="AA47" s="61"/>
      <c r="AB47" s="61"/>
      <c r="AC47" s="61"/>
      <c r="AD47" s="61"/>
      <c r="AE47" s="61"/>
      <c r="AF47" s="36"/>
      <c r="AG47" s="36"/>
      <c r="AH47" s="36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</row>
    <row r="48" spans="1:50" ht="13.5" customHeight="1" x14ac:dyDescent="0.15">
      <c r="A48" s="339"/>
      <c r="B48" s="346" t="s">
        <v>13</v>
      </c>
      <c r="C48" s="347"/>
      <c r="D48" s="335" t="str">
        <f>IF(B46="","",IF(B26="使用電線-4",BR71*H26*J26,IF(B27="使用電線-4",BR71*H27*J27,IF(B28="使用電線-4",BR71*H28*J28,IF(B29="使用電線-4",BR71*H29*J29,"")))))</f>
        <v/>
      </c>
      <c r="E48" s="337" t="str">
        <f>IF(D48="","",BR70)</f>
        <v/>
      </c>
      <c r="F48" s="360" t="str">
        <f>IF(D48="","",IF(B26="使用電線-4",N26*H26*J26/D48,IF(B27="使用電線-4",N27*H27*J27/D48,IF(B28="使用電線-4",N28*H28*J28/D48,IF(B29="使用電線-4",N29*H29*J29/D48)))))</f>
        <v/>
      </c>
      <c r="G48" s="287" t="s">
        <v>13</v>
      </c>
      <c r="H48" s="288"/>
      <c r="I48" s="347"/>
      <c r="J48" s="335" t="str">
        <f>IF(G46="","",IF(B27="使用電線-5",CA71*H27*J27,IF(B28="使用電線-5",CA71*H28*J28,IF(B29="使用電線-5",CA71*H29*J29,""))))</f>
        <v/>
      </c>
      <c r="K48" s="337" t="str">
        <f>IF(J48="","",CA70)</f>
        <v/>
      </c>
      <c r="L48" s="360" t="str">
        <f>IF(J48="","",IF(B27="使用電線-5",N27*H27*J27/J48,IF(B28="使用電線-5",N28*H28*J28/J48,IF(B29="使用電線-5",N29*H29*J29/J48))))</f>
        <v/>
      </c>
      <c r="M48" s="287" t="s">
        <v>13</v>
      </c>
      <c r="N48" s="347"/>
      <c r="O48" s="335" t="str">
        <f>IF(D34="","",SUM(J61:N61))</f>
        <v/>
      </c>
      <c r="P48" s="206" t="str">
        <f>IF(D34="","",MAX(E34,K34,P34,E48,K48))</f>
        <v/>
      </c>
      <c r="Q48" s="306" t="str">
        <f>IF(D34="","",MIN(F34,L34,Q34,F48,L48))</f>
        <v/>
      </c>
      <c r="R48" s="59"/>
      <c r="S48" s="99">
        <f>IF(D29="",0,SQRT(((((K23*H23+K24*H24+K25*H25+K26*H26+K27*H27+K28*H28+K29*H29)*0.001/SUM(H23:H29))*((SUM(H23:H29))^0.55)+0.012+Y47)*50)^2+(M23*H23+M24*H24+M25*H25+M26*H26+M27*H27+M28*H28+M29*H29+16.9646*(((K23*H23+K24*H24+K25*H25+K26*H26+K27*H27+K28*H28+K29*H29)*0.001/SUM(H23:H29))*((SUM(H23:H29))^0.55)+0.006)+Z47)^2))</f>
        <v>0</v>
      </c>
      <c r="T48" s="103" t="s">
        <v>133</v>
      </c>
      <c r="U48" s="3"/>
      <c r="V48" s="59"/>
      <c r="W48" s="59"/>
      <c r="X48" s="59"/>
      <c r="Y48" s="99">
        <f>IF(I24="---〃---",0,IF(OR(I24=AH3,I24=AH4,I24=AH5,I24=AH6,I24=AH7,I24=AH8,I24=AH9,I24=AH10),S24*0.001+0.012,0))</f>
        <v>0</v>
      </c>
      <c r="Z48" s="99">
        <f>IF(I24="---〃---",0,IF(OR(I24=AH3,I24=AH4,I24=AH5,I24=AH6,I24=AH7,I24=AH8,I24=AH9,I24=AH10),U24+1.884955592*(S24*0.001+0.006)*0.9,0))</f>
        <v>0</v>
      </c>
      <c r="AA48" s="59"/>
      <c r="AB48" s="59"/>
      <c r="AC48" s="59"/>
      <c r="AD48" s="59"/>
      <c r="AE48" s="59"/>
      <c r="AF48" s="28"/>
      <c r="AG48" s="28"/>
      <c r="AH48" s="28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</row>
    <row r="49" spans="1:79" ht="13.5" customHeight="1" x14ac:dyDescent="0.15">
      <c r="A49" s="339"/>
      <c r="B49" s="348"/>
      <c r="C49" s="292"/>
      <c r="D49" s="336"/>
      <c r="E49" s="338"/>
      <c r="F49" s="361"/>
      <c r="G49" s="290"/>
      <c r="H49" s="291"/>
      <c r="I49" s="292"/>
      <c r="J49" s="336"/>
      <c r="K49" s="338"/>
      <c r="L49" s="361"/>
      <c r="M49" s="290"/>
      <c r="N49" s="292"/>
      <c r="O49" s="336"/>
      <c r="P49" s="207" t="str">
        <f>IF(D34="","",MIN(E34,K34,P34,E48,K48))</f>
        <v/>
      </c>
      <c r="Q49" s="307"/>
      <c r="R49" s="59"/>
      <c r="S49" s="99">
        <f>IF(D28="",0,SQRT(((((K23*H23+K24*H24+K25*H25+K26*H26+K27*H27+K28*H28)*0.001/SUM(H23:H28))*((SUM(H23:H28))^0.55)+0.012+Y51)*47)^2+(M23*H23+M24*H24+M25*H25+M26*H26+M27*H27+M28*H28+16.9646*(((K23*H23+K24*H24+K25*H25+K26*H26+K27*H27+K28*H28)*0.001/SUM(H23:H28))*((SUM(H23:H28))^0.55)+0.006)+Z47)^2))</f>
        <v>0</v>
      </c>
      <c r="T49" s="99">
        <f>IF(D29="",0,SQRT(((((K24*H24+K25*H25+K26*H26+K27*H27+K28*H28+K29*H29)*0.001/SUM(H24:H29))*((SUM(H24:H29))^0.55)+0.012+Y48)*50)^2+(M24*H24+M25*H25+M26*H26+M27*H27+M28*H28+M29*H29+16.9646*(((K24*H24+K25*H25+K26*H26+K27*H27+K28*H28+K29*H29)*0.001/SUM(H24:H29))*((SUM(H24:H29))^0.55)+0.006)+Z48)^2))</f>
        <v>0</v>
      </c>
      <c r="U49" s="103" t="s">
        <v>134</v>
      </c>
      <c r="V49" s="3"/>
      <c r="W49" s="3"/>
      <c r="X49" s="59"/>
      <c r="Y49" s="99">
        <f>IF(I25="---〃---",0,IF(OR(I25=AH3,I25=AH4,I25=AH5,I25=AH6,I25=AH7,I25=AH8,I25=AH9,I25=AH10),S25*0.001+0.012,0))</f>
        <v>0</v>
      </c>
      <c r="Z49" s="99">
        <f>IF(I25="---〃---",0,IF(OR(I25=AH3,I25=AH4,I25=AH5,I25=AH6,I25=AH7,I25=AH8,I25=AH9,I25=AH10),U25+1.884955592*(S25*0.001+0.006)*0.9,0))</f>
        <v>0</v>
      </c>
      <c r="AA49" s="59"/>
      <c r="AB49" s="59"/>
      <c r="AC49" s="59"/>
      <c r="AD49" s="59"/>
      <c r="AE49" s="59"/>
      <c r="AF49" s="28"/>
      <c r="AG49" s="28"/>
      <c r="AH49" s="28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</row>
    <row r="50" spans="1:79" ht="13.5" customHeight="1" x14ac:dyDescent="0.15">
      <c r="A50" s="339"/>
      <c r="B50" s="366" t="s">
        <v>14</v>
      </c>
      <c r="C50" s="295"/>
      <c r="D50" s="314" t="str">
        <f>IF(B46="","",IF(B26="使用電線-4",BR91*H26*J26,IF(B27="使用電線-4",BR91*H27*J27,IF(B28="使用電線-4",BR91*H28*J28,IF(B29="使用電線-4",BR91*H29*J29,"")))))</f>
        <v/>
      </c>
      <c r="E50" s="333" t="str">
        <f>IF(D50="","",BR90)</f>
        <v/>
      </c>
      <c r="F50" s="302" t="str">
        <f>IF(D50="","",IF(B26="使用電線-4",N26*H26*J26/D50,IF(B27="使用電線-4",N27*H27*J27/D50,IF(B28="使用電線-4",N28*H28*J28/D50,IF(B29="使用電線-4",N29*H29*J29/D50)))))</f>
        <v/>
      </c>
      <c r="G50" s="293" t="s">
        <v>14</v>
      </c>
      <c r="H50" s="294"/>
      <c r="I50" s="295"/>
      <c r="J50" s="314" t="str">
        <f>IF(G46="","",IF(B27="使用電線-5",CA91*H27*J27,IF(B28="使用電線-5",CA91*H28*J28,IF(B29="使用電線-5",CA91*H29*J29,""))))</f>
        <v/>
      </c>
      <c r="K50" s="333" t="str">
        <f>IF(J50="","",CA90)</f>
        <v/>
      </c>
      <c r="L50" s="302" t="str">
        <f>IF(J50="","",IF(B27="使用電線-5",N27*H27*J27/J50,IF(B28="使用電線-5",N28*H28*J28/J50,IF(B29="使用電線-5",N29*H29*J29/J50))))</f>
        <v/>
      </c>
      <c r="M50" s="293" t="s">
        <v>14</v>
      </c>
      <c r="N50" s="295"/>
      <c r="O50" s="314" t="str">
        <f>IF(D34="","",SUM(J62:N62))</f>
        <v/>
      </c>
      <c r="P50" s="208" t="str">
        <f>IF(D36="","",MAX(E36,K36,P36,E50,K50))</f>
        <v/>
      </c>
      <c r="Q50" s="358" t="str">
        <f>IF(D36="","",MIN(F36,L36,Q36,F50,L50))</f>
        <v/>
      </c>
      <c r="R50" s="59"/>
      <c r="S50" s="99">
        <f>IF(D27="",0,SQRT(((((K23*H23+K24*H24+K25*H25+K26*H26+K27*H27)*0.001/SUM(H23:H27))*((SUM(H23:H27))^0.55)+0.012+Y47)*50)^2+(M23*H23+M24*H24+M25*H25+M26*H26+M27*H27+16.9646*(((K23*H23+K24*H24+K25*H25+K26*H26+K27*H27)*0.001/SUM(H23:H27))*((SUM(H23:H27))^0.55)+0.006)+Z47)^2))</f>
        <v>0</v>
      </c>
      <c r="T50" s="99">
        <f>IF(D28="",0,SQRT(((((K24*H24+K25*H25+K26*H26+K27*H27+K28*H28)*0.001/SUM(H24:H28))*((SUM(H24:H28))^0.55)+0.012+Y48)*50)^2+(M24*H24+M25*H25+M26*H26+M27*H27+M28*H28+16.9646*(((K24*H24+K25*H25+K26*H26+K27*H27+K28*H28)*0.001/SUM(H24:H28))*((SUM(H24:H28))^0.55)+0.006)+Z48)^2))</f>
        <v>0</v>
      </c>
      <c r="U50" s="99">
        <f>IF(D29="",0,SQRT(((((K25*H25+K26*H26+K27*H27+K28*H28+K29*H29)*0.001/SUM(H25:H29))*((SUM(H25:H29))^0.55)+0.012+Y49)*50)^2+(M25*H25+M26*H26+M27*H27+M28*H28+M29*H29+16.9646*(((K25*H25+K26*H26+K27*H27+K28*H28+K29*H29)*0.001/SUM(H25:H29))*((SUM(H25:H29))^0.55)+0.006)+Z49)^2))</f>
        <v>0</v>
      </c>
      <c r="V50" s="103" t="s">
        <v>135</v>
      </c>
      <c r="W50" s="3"/>
      <c r="X50" s="3"/>
      <c r="Y50" s="99">
        <f>IF(I26="---〃---",0,IF(OR(I26=AH3,I26=AH4,I26=AH5,I26=AH6,I26=AH7,I26=AH8,I26=AH9,I26=AH10),S26*0.001+0.012,0))</f>
        <v>0</v>
      </c>
      <c r="Z50" s="99">
        <f>IF(I26="---〃---",0,IF(OR(I26=AH3,I26=AH4,I26=AH5,I26=AH6,I26=AH7,I26=AH8,I26=AH9,I26=AH10),U26+1.884955592*(S26*0.001+0.006)*0.9,0))</f>
        <v>0</v>
      </c>
      <c r="AA50" s="59"/>
      <c r="AB50" s="59"/>
      <c r="AC50" s="59"/>
      <c r="AD50" s="59"/>
      <c r="AE50" s="59"/>
      <c r="AF50" s="28"/>
      <c r="AG50" s="28"/>
      <c r="AH50" s="28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</row>
    <row r="51" spans="1:79" ht="13.5" customHeight="1" x14ac:dyDescent="0.15">
      <c r="A51" s="339"/>
      <c r="B51" s="348"/>
      <c r="C51" s="292"/>
      <c r="D51" s="315"/>
      <c r="E51" s="334"/>
      <c r="F51" s="303"/>
      <c r="G51" s="290"/>
      <c r="H51" s="291"/>
      <c r="I51" s="292"/>
      <c r="J51" s="315"/>
      <c r="K51" s="334"/>
      <c r="L51" s="303"/>
      <c r="M51" s="290"/>
      <c r="N51" s="292"/>
      <c r="O51" s="315"/>
      <c r="P51" s="207" t="str">
        <f>IF(D36="","",MIN(E36,K36,P36,E50,K50))</f>
        <v/>
      </c>
      <c r="Q51" s="359"/>
      <c r="R51" s="59"/>
      <c r="S51" s="99">
        <f>IF(D26="",0,SQRT(((((K23*H23+K24*H24+K25*H25+K26*H26)*0.001/SUM(H23:H26))*((SUM(H23:H26))^0.55)+0.012+Y47)*50)^2+(M23*H23+M24*H24+M25*H25+M26*H26+16.9646*(((K23*H23+K24*H24+K25*H25+K26*H26)*0.001/SUM(H23:H26))*((SUM(H23:H26))^0.55)+0.006)+Z47)^2))</f>
        <v>0</v>
      </c>
      <c r="T51" s="99">
        <f>IF(D27="",0,SQRT(((((K24*H24+K25*H25+K26*H26+K27*H27)*0.001/SUM(H24:H27))*((SUM(H24:H27))^0.55)+0.012+Y48)*50)^2+(M24*H24+M25*H25+M26*H26+M27*H27+16.9646*(((K24*H24+K25*H25+K26*H26+K27*H27)*0.001/SUM(H24:H27))*((SUM(H24:H27))^0.55)+0.006)+Z48)^2))</f>
        <v>0</v>
      </c>
      <c r="U51" s="99">
        <f>IF(D28="",0,SQRT(((((K25*H25+K26*H26+K27*H27+K28*H28)*0.001/SUM(H25:H28))*((SUM(H25:H28))^0.55)+0.012+Y49)*50)^2+(M25*H25+M26*H26+M27*H27+M28*H28+16.9646*(((K25*H25+K26*H26+K27*H27+K28*H28)*0.001/SUM(H25:H28))*((SUM(H25:H28))^0.55)+0.006)+Z49)^2))</f>
        <v>0</v>
      </c>
      <c r="V51" s="99">
        <f>IF(D29="",0,SQRT(((((K26*H26+K27*H27+K28*H28+K29*H29)*0.001/SUM(H26:H29))*((SUM(H26:H29))^0.55)+0.012+Y50)*50)^2+(M26*H26+M27*H27+M28*H28+M29*H29+16.9646*(((K26*H26+K27*H27+K28*H28+K29*H29)*0.001/SUM(H26:H29))*((SUM(H26:H29))^0.55)+0.006)+Z50)^2))</f>
        <v>0</v>
      </c>
      <c r="W51" s="103" t="s">
        <v>136</v>
      </c>
      <c r="X51" s="3"/>
      <c r="Y51" s="99">
        <f>IF(I27="---〃---",0,IF(OR(I27=AH3,I27=AH4,I27=AH5,I27=AH6,I27=AH7,I27=AH8,I27=AH9,I27=AH10),S27*0.001+0.012,0))</f>
        <v>0</v>
      </c>
      <c r="Z51" s="99">
        <f>IF(I27="---〃---",0,IF(OR(I27=AH3,I27=AH4,I27=AH5,I27=AH6,I27=AH7,I27=AH8,I27=AH9,I27=AH10),U27+1.884955592*(S27*0.001+0.006)*0.9,0))</f>
        <v>0</v>
      </c>
      <c r="AA51" s="59"/>
      <c r="AB51" s="59"/>
      <c r="AC51" s="59"/>
      <c r="AD51" s="59"/>
      <c r="AE51" s="59"/>
      <c r="AF51" s="28"/>
      <c r="AG51" s="28"/>
      <c r="AH51" s="28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BV51" s="168"/>
    </row>
    <row r="52" spans="1:79" ht="17.25" customHeight="1" x14ac:dyDescent="0.15">
      <c r="A52" s="339"/>
      <c r="B52" s="366" t="s">
        <v>15</v>
      </c>
      <c r="C52" s="295"/>
      <c r="D52" s="314" t="str">
        <f>IF(B46="","",IF(B26="使用電線-4",BR111*H26*J26,IF(B27="使用電線-4",BR111*H27*J27,IF(B28="使用電線-4",BR111*H28*J28,IF(B29="使用電線-4",BR111*H29*J29,"")))))</f>
        <v/>
      </c>
      <c r="E52" s="333" t="str">
        <f>IF(D52="","",BR110)</f>
        <v/>
      </c>
      <c r="F52" s="302" t="str">
        <f>IF(D52="","",IF(B26="使用電線-4",N26*H26*J26/D52,IF(B27="使用電線-4",N27*H27*J27/D52,IF(B28="使用電線-4",N28*H28*J28/D52,IF(B29="使用電線-4",N29*H29*J29/D52)))))</f>
        <v/>
      </c>
      <c r="G52" s="293" t="s">
        <v>15</v>
      </c>
      <c r="H52" s="294"/>
      <c r="I52" s="295"/>
      <c r="J52" s="314" t="str">
        <f>IF(G46="","",IF(B27="使用電線-5",CA111*H27*J27,IF(B28="使用電線-5",CA111*H28*J28,IF(B29="使用電線-5",CA111*H29*J29,""))))</f>
        <v/>
      </c>
      <c r="K52" s="333" t="str">
        <f>IF(J52="","",CA110)</f>
        <v/>
      </c>
      <c r="L52" s="302" t="str">
        <f>IF(J52="","",IF(B27="使用電線-5",N27*H27*J27/J52,IF(B28="使用電線-5",N28*H28*J28/J52,IF(B29="使用電線-5",N29*H29*J29/J52))))</f>
        <v/>
      </c>
      <c r="M52" s="293" t="s">
        <v>15</v>
      </c>
      <c r="N52" s="295"/>
      <c r="O52" s="336" t="str">
        <f>IF(D34="","",SUM(J63:N63))</f>
        <v/>
      </c>
      <c r="P52" s="209" t="str">
        <f>IF(D38="","",MAX(E38,K38,P38,E52,K52))</f>
        <v/>
      </c>
      <c r="Q52" s="358" t="str">
        <f>IF(D38="","",MIN(F38,L38,Q38,F52,L52))</f>
        <v/>
      </c>
      <c r="R52" s="59"/>
      <c r="S52" s="99">
        <f>IF(D25="",0,SQRT(((((K23*H23+K24*H24+K25*H25)*0.001/SUM(H23:H25))*((SUM(H23:H25))^0.55)+0.012+Y47)*50)^2+(M23*H23+M24*H24+M25*H25+16.9646*(((K23*H23+K24*H24+K25*H25)*0.001/SUM(H23:H25))*((SUM(H23:H25))^0.55)+0.006)+Z47)^2))</f>
        <v>0</v>
      </c>
      <c r="T52" s="99">
        <f>IF(D26="",0,SQRT(((((K24*H24+K25*H25+K26*H26)*0.001/SUM(H24:H26))*((SUM(H24:H26))^0.55)+0.012+Y48)*50)^2+(M24*H24+M25*H25+M26*H26+16.9646*(((K24*H24+K25*H25+K26*H26)*0.001/SUM(H24:H26))*((SUM(H24:H26))^0.55)+0.006)+Z48)^2))</f>
        <v>0</v>
      </c>
      <c r="U52" s="99">
        <f>IF(D27="",0,SQRT(((((K25*H25+K26*H26+K27*H27)*0.001/SUM(H25:H27))*((SUM(H25:H27))^0.55)+0.012+Y49)*50)^2+(M25*H25+M26*H26+M27*H27+16.9646*(((K25*H25+K26*H26+K27*H27)*0.001/SUM(H25:H27))*((SUM(H25:H27))^0.55)+0.006)+Z49)^2))</f>
        <v>0</v>
      </c>
      <c r="V52" s="99">
        <f>IF(D28="",0,SQRT(((((K26*H26+K27*H27+K28*H28)*0.001/SUM(H26:H28))*((SUM(H26:H28))^0.55)+0.012+Y50)*50)^2+(M26*H26+M27*H27+M28*H28+16.9646*(((K26*H26+K27*H27+K28*H28)*0.001/SUM(H26:H28))*((SUM(H26:H28))^0.55)+0.006)+Z50)^2))</f>
        <v>0</v>
      </c>
      <c r="W52" s="99">
        <f>IF(D29="",0,SQRT(((((K27*H27+K28*H28+K29*H29)*0.001/SUM(H27:H29))*((SUM(H27:H29))^0.55)+0.012+Y51)*50)^2+(M27*H27+M28*H28+M29*H29+16.9646*(((K27*H27+K28*H28+K29*H29)*0.001/SUM(H27:H29))*((SUM(H27:H29))^0.55)+0.006)+Z51)^2))</f>
        <v>0</v>
      </c>
      <c r="X52" s="103" t="s">
        <v>137</v>
      </c>
      <c r="Y52" s="99">
        <f>IF(I28="---〃---",0,IF(OR(I28=AH3,I28=AH4,I28=AH5,I28=AH6,I28=AH7,I28=AH8,I28=AH9,I28=AH10),S28*0.001+0.012,0))</f>
        <v>0</v>
      </c>
      <c r="Z52" s="99">
        <f>IF(I28="---〃---",0,IF(OR(I28=AH3,I28=AH4,I28=AH5,I28=AH6,I28=AH7,I28=AH8,I28=AH9,I28=AH10),U28+1.884955592*(S28*0.001+0.006)*0.9,0))</f>
        <v>0</v>
      </c>
      <c r="AA52" s="59"/>
      <c r="AB52" s="59"/>
      <c r="AC52" s="59"/>
      <c r="AD52" s="59"/>
      <c r="AE52" s="59"/>
      <c r="AF52" s="28"/>
      <c r="AG52" s="28"/>
      <c r="AH52" s="28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</row>
    <row r="53" spans="1:79" ht="17.25" customHeight="1" x14ac:dyDescent="0.15">
      <c r="A53" s="339"/>
      <c r="B53" s="348"/>
      <c r="C53" s="292"/>
      <c r="D53" s="315"/>
      <c r="E53" s="334"/>
      <c r="F53" s="303"/>
      <c r="G53" s="290"/>
      <c r="H53" s="291"/>
      <c r="I53" s="292"/>
      <c r="J53" s="315"/>
      <c r="K53" s="334"/>
      <c r="L53" s="303"/>
      <c r="M53" s="290"/>
      <c r="N53" s="292"/>
      <c r="O53" s="336"/>
      <c r="P53" s="210" t="str">
        <f>IF(D38="","",MIN(E38,K38,P38,E52,K52))</f>
        <v/>
      </c>
      <c r="Q53" s="359"/>
      <c r="R53" s="59"/>
      <c r="S53" s="99">
        <f>IF(D24="",0,SQRT(((((K23*H23+K24*H24)*0.001/SUM(H23:H24))*((SUM(H23:H24))^0.55)+0.012+Y47)*50)^2+(M23*H23+M24*H24+16.9646*(((K23*H23+K24*H24)*0.001/SUM(H23:H24))*((SUM(H23:H24))^0.55)+0.006)+Z47)^2))</f>
        <v>0</v>
      </c>
      <c r="T53" s="99">
        <f>IF(D25="",0,SQRT(((((K24*H24+K25*H25)*0.001/SUM(H24:H25))*((SUM(H24:H25))^0.55)+0.012+Y48)*50)^2+(M24*H24+M25*H25+16.9646*(((K24*H24+K25*H25)*0.001/SUM(H24:H25))*((SUM(H24:H25))^0.55)+0.006)+Z48)^2))</f>
        <v>0</v>
      </c>
      <c r="U53" s="99">
        <f>IF(D26="",0,SQRT(((((K25*H25+K26*H26)*0.001/SUM(H25:H26))*((SUM(H25:H26))^0.55)+0.012+Y49)*50)^2+(M25*H25+M26*H26+16.9646*(((K25*H25+K26*H26)*0.001/SUM(H25:H26))*((SUM(H25:H26))^0.55)+0.006)+Z49)^2))</f>
        <v>0</v>
      </c>
      <c r="V53" s="99">
        <f>IF(D27="",0,SQRT(((((K26*H26+K27*H27)*0.001/SUM(H26:H27))*((SUM(H26:H27))^0.55)+0.012+Y50)*50)^2+(M26*H26+M27*H27+16.9646*(((K26*H26+K27*H27)*0.001/SUM(H26:H27))*((SUM(H26:H27))^0.55)+0.006)+Z50)^2))</f>
        <v>0</v>
      </c>
      <c r="W53" s="99">
        <f>IF(D28="",0,SQRT(((((K27*H27+K28*H28)*0.001/SUM(H27:H28))*((SUM(H27:H28))^0.55)+0.012+Y51)*50)^2+(M27*H27+M28*H28+16.9646*(((K27*H27+K28*H28)*0.001/SUM(H27:H28))*((SUM(H27:H28))^0.55)+0.006)+Z51)^2))</f>
        <v>0</v>
      </c>
      <c r="X53" s="99">
        <f>IF(D29="",0,SQRT(((((K28*H28+K29*H29)*0.001/SUM(H28:H29))*((SUM(H28:H29))^0.55)+0.012+Y52)*50)^2+(M28*H28+M29*H29+16.9646*(((K28*H28+K29*H29)*0.001/SUM(H28:H29))*((SUM(H28:H29))^0.55)+0.006)+Z52)^2))</f>
        <v>0</v>
      </c>
      <c r="Y53" s="99">
        <f>IF(I29="---〃---",0,IF(OR(I29=AH3,I29=AH4,I29=AH5,I29=AH6,I29=AH7,I29=AH8,I29=AH9,I29=AH10),S29*0.001+0.012,0))</f>
        <v>0</v>
      </c>
      <c r="Z53" s="99">
        <f>IF(I29="---〃---",0,IF(OR(I29=AH3,I29=AH4,I29=AH5,I29=AH6,I29=AH7,I29=AH8,I29=AH9,I29=AH10),U29+1.884955592*(S29*0.001+0.006)*0.9,0))</f>
        <v>0</v>
      </c>
      <c r="AA53" s="59"/>
      <c r="AB53" s="59"/>
      <c r="AC53" s="59"/>
      <c r="AD53" s="59"/>
      <c r="AE53" s="59"/>
      <c r="AF53" s="28"/>
      <c r="AG53" s="28"/>
      <c r="AH53" s="28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</row>
    <row r="54" spans="1:79" ht="15" customHeight="1" x14ac:dyDescent="0.15">
      <c r="A54" s="339"/>
      <c r="B54" s="388" t="s">
        <v>16</v>
      </c>
      <c r="C54" s="298"/>
      <c r="D54" s="198" t="str">
        <f>IF(B46="","",IF(B26="使用電線-4",BR131*H26*J26,IF(B27="使用電線-4",BR131*H27*J27,IF(B28="使用電線-4",BR131*H28*J28,IF(B29="使用電線-4",BR131*H29*J29,"")))))</f>
        <v/>
      </c>
      <c r="E54" s="199" t="str">
        <f>IF(D54="","",BR130)</f>
        <v/>
      </c>
      <c r="F54" s="200" t="str">
        <f>IF(D54="","",IF(B26="使用電線-4",N26*H26*J26/D54,IF(B27="使用電線-4",N27*H27*J27/D54,IF(B28="使用電線-4",N28*H28*J28/D54,IF(B29="使用電線-4",N29*H29*J29/D54)))))</f>
        <v/>
      </c>
      <c r="G54" s="296" t="s">
        <v>16</v>
      </c>
      <c r="H54" s="297"/>
      <c r="I54" s="298"/>
      <c r="J54" s="198" t="str">
        <f>IF(G46="","",IF(B27="使用電線-5",CA131*H27*J27,IF(B28="使用電線-5",CA131*H28*J28,IF(B29="使用電線-5",CA131*H29*J29,""))))</f>
        <v/>
      </c>
      <c r="K54" s="199" t="str">
        <f>IF(J54="","",CA130)</f>
        <v/>
      </c>
      <c r="L54" s="200" t="str">
        <f>IF(J54="","",IF(B27="使用電線-5",N27*H27*J27/J54,IF(B28="使用電線-5",N28*H28*J28/J54,IF(B29="使用電線-5",N29*H29*J29/J54))))</f>
        <v/>
      </c>
      <c r="M54" s="296" t="s">
        <v>16</v>
      </c>
      <c r="N54" s="298"/>
      <c r="O54" s="198" t="str">
        <f>IF(D34="","",SUM(J64:N64))</f>
        <v/>
      </c>
      <c r="P54" s="189" t="str">
        <f>IF(D40="","",MAX(E40,K40,P40,E54,K54))</f>
        <v/>
      </c>
      <c r="Q54" s="203" t="str">
        <f>IF(D40="","",MIN(F40,L40,Q40,F54,L54))</f>
        <v/>
      </c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3"/>
      <c r="AG54" s="3"/>
      <c r="AH54" s="3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</row>
    <row r="55" spans="1:79" ht="15" customHeight="1" x14ac:dyDescent="0.15">
      <c r="A55" s="339"/>
      <c r="B55" s="389" t="s">
        <v>17</v>
      </c>
      <c r="C55" s="301"/>
      <c r="D55" s="249" t="str">
        <f>IF(B46="","",IF(B26="使用電線-4",BR151*H26*J26,IF(B27="使用電線-4",BR151*H27*J27,IF(B28="使用電線-4",BR151*H28*J28,IF(B29="使用電線-4",BR151*H29*J29,"")))))</f>
        <v/>
      </c>
      <c r="E55" s="250" t="str">
        <f>IF(D55="","",BR150)</f>
        <v/>
      </c>
      <c r="F55" s="251" t="str">
        <f>IF(D55="","",IF(B26="使用電線-4",N26*H26*J26/D55,IF(B27="使用電線-4",N27*H27*J27/D55,IF(B28="使用電線-4",N28*H28*J28/D55,IF(B29="使用電線-4",N29*H29*J29/D55)))))</f>
        <v/>
      </c>
      <c r="G55" s="299" t="s">
        <v>17</v>
      </c>
      <c r="H55" s="300"/>
      <c r="I55" s="301"/>
      <c r="J55" s="249" t="str">
        <f>IF(G46="","",IF(B27="使用電線-5",CA151*H27*J27,IF(B28="使用電線-5",CA151*H28*J28,IF(B29="使用電線-5",CA151*H29*J29,""))))</f>
        <v/>
      </c>
      <c r="K55" s="250" t="str">
        <f>IF(J55="","",CA150)</f>
        <v/>
      </c>
      <c r="L55" s="251" t="str">
        <f>IF(J55="","",IF(B27="使用電線-5",N27*H27*J27/J55,IF(B28="使用電線-5",N28*H28*J28/J55,IF(B29="使用電線-5",N29*H29*J29/J55))))</f>
        <v/>
      </c>
      <c r="M55" s="299" t="s">
        <v>17</v>
      </c>
      <c r="N55" s="301"/>
      <c r="O55" s="249" t="str">
        <f>IF(D34="","",SUM(J65:N65))</f>
        <v/>
      </c>
      <c r="P55" s="253" t="str">
        <f>IF(D41="","",MAX(E41,K41,P41,E55,K55))</f>
        <v/>
      </c>
      <c r="Q55" s="252" t="str">
        <f>IF(D41="","",MIN(F41,L41,Q41,F55,L55))</f>
        <v/>
      </c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3"/>
      <c r="AG55" s="3"/>
      <c r="AH55" s="3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</row>
    <row r="56" spans="1:79" ht="15" customHeight="1" x14ac:dyDescent="0.15">
      <c r="A56" s="339"/>
      <c r="B56" s="388" t="s">
        <v>18</v>
      </c>
      <c r="C56" s="298"/>
      <c r="D56" s="198" t="str">
        <f>IF(B46="","",IF(B26="使用電線-4",BR171*H26*J26,IF(B27="使用電線-4",BR171*H27*J27,IF(B28="使用電線-4",BR171*H28*J28,IF(B29="使用電線-4",BR171*H29*J29,"")))))</f>
        <v/>
      </c>
      <c r="E56" s="199" t="str">
        <f>IF(D56="","",BR170)</f>
        <v/>
      </c>
      <c r="F56" s="200" t="str">
        <f>IF(D56="","",IF(B26="使用電線-4",N26*H26*J26/D56,IF(B27="使用電線-4",N27*H27*J27/D56,IF(B28="使用電線-4",N28*H28*J28/D56,IF(B29="使用電線-4",N29*H29*J29/D56)))))</f>
        <v/>
      </c>
      <c r="G56" s="296" t="s">
        <v>18</v>
      </c>
      <c r="H56" s="297"/>
      <c r="I56" s="298"/>
      <c r="J56" s="198" t="str">
        <f>IF(G46="","",IF(B27="使用電線-5",CA171*H27*J27,IF(B28="使用電線-5",CA171*H28*J28,IF(B29="使用電線-5",CA171*H29*J29,""))))</f>
        <v/>
      </c>
      <c r="K56" s="199" t="str">
        <f>IF(J56="","",CA170)</f>
        <v/>
      </c>
      <c r="L56" s="200" t="str">
        <f>IF(J56="","",IF(B27="使用電線-5",N27*H27*J27/J56,IF(B28="使用電線-5",N28*H28*J28/J56,IF(B29="使用電線-5",N29*H29*J29/J56))))</f>
        <v/>
      </c>
      <c r="M56" s="296" t="s">
        <v>18</v>
      </c>
      <c r="N56" s="298"/>
      <c r="O56" s="198" t="str">
        <f>IF(D34="","",SUM(J66:N66))</f>
        <v/>
      </c>
      <c r="P56" s="189" t="str">
        <f>IF(D42="","",MAX(E42,K42,P42,E56,K56))</f>
        <v/>
      </c>
      <c r="Q56" s="203" t="str">
        <f>IF(D42="","",MIN(F42,L42,Q42,F56,L56))</f>
        <v/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265">
        <f>IF(AF57="入力完了",1,0)</f>
        <v>0</v>
      </c>
      <c r="AG56" s="3"/>
      <c r="AH56" s="3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</row>
    <row r="57" spans="1:79" ht="15" customHeight="1" x14ac:dyDescent="0.15">
      <c r="A57" s="339"/>
      <c r="B57" s="388" t="s">
        <v>19</v>
      </c>
      <c r="C57" s="298"/>
      <c r="D57" s="198" t="str">
        <f>IF(B46="","",IF(B26="使用電線-4",BR191*H26*J26,IF(B27="使用電線-4",BR191*H27*J27,IF(B28="使用電線-4",BR191*H28*J28,IF(B29="使用電線-4",BR191*H29*J29,"")))))</f>
        <v/>
      </c>
      <c r="E57" s="199" t="str">
        <f>IF(D57="","",BR190)</f>
        <v/>
      </c>
      <c r="F57" s="200" t="str">
        <f>IF(D57="","",IF(B26="使用電線-4",N26*H26*J26/D57,IF(B27="使用電線-4",N27*H27*J27/D57,IF(B28="使用電線-4",N28*H28*J28/D57,IF(B29="使用電線-4",N29*H29*J29/D57)))))</f>
        <v/>
      </c>
      <c r="G57" s="296" t="s">
        <v>19</v>
      </c>
      <c r="H57" s="297"/>
      <c r="I57" s="298"/>
      <c r="J57" s="198" t="str">
        <f>IF(G46="","",IF(B27="使用電線-5",CA191*H27*J27,IF(B28="使用電線-5",CA191*H28*J28,IF(B29="使用電線-5",CA191*H29*J29,""))))</f>
        <v/>
      </c>
      <c r="K57" s="199" t="str">
        <f>IF(J57="","",CA190)</f>
        <v/>
      </c>
      <c r="L57" s="200" t="str">
        <f>IF(J57="","",IF(B27="使用電線-5",N27*H27*J27/J57,IF(B28="使用電線-5",N28*H28*J28/J57,IF(B29="使用電線-5",N29*H29*J29/J57))))</f>
        <v/>
      </c>
      <c r="M57" s="296" t="s">
        <v>19</v>
      </c>
      <c r="N57" s="298"/>
      <c r="O57" s="198" t="str">
        <f>IF(D34="","",SUM(J67:N67))</f>
        <v/>
      </c>
      <c r="P57" s="189" t="str">
        <f>IF(D43="","",MAX(E43,K43,P43,E57,K57))</f>
        <v/>
      </c>
      <c r="Q57" s="203" t="str">
        <f>IF(D43="","",MIN(F43,L43,Q43,F57,L57))</f>
        <v/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396" t="str">
        <f>IF(OR(C2="",C4="",P4="",B23=""),"入力未完","入力完了")</f>
        <v>入力未完</v>
      </c>
      <c r="AG57" s="3"/>
      <c r="AH57" s="3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</row>
    <row r="58" spans="1:79" ht="15" customHeight="1" x14ac:dyDescent="0.15">
      <c r="A58" s="339"/>
      <c r="B58" s="385" t="s">
        <v>20</v>
      </c>
      <c r="C58" s="309"/>
      <c r="D58" s="201" t="str">
        <f>IF(B46="","",IF(BR211=0,"",IF(B26="使用電線-4",BR211*H26*J26,IF(B27="使用電線-4",BR211*H27*J27,IF(B28="使用電線-4",BR211*H28*J28,IF(B29="使用電線-4",BR211*H29*J29,""))))))</f>
        <v/>
      </c>
      <c r="E58" s="205" t="str">
        <f>IF(D58="","",BR210)</f>
        <v/>
      </c>
      <c r="F58" s="202" t="str">
        <f>IF(D58="","",IF(B26="使用電線-4",N26*H26*J26/D58,IF(B27="使用電線-4",N27*H27*J27/D58,IF(B28="使用電線-4",N28*H28*J28/D58,IF(B29="使用電線-4",N29*H29*J29/D58)))))</f>
        <v/>
      </c>
      <c r="G58" s="308" t="s">
        <v>20</v>
      </c>
      <c r="H58" s="332"/>
      <c r="I58" s="309"/>
      <c r="J58" s="201" t="str">
        <f>IF(G46="","",IF(CA211=0,"",IF(B27="使用電線-5",CA211*H27*J27,IF(B28="使用電線-5",CA211*H28*J28,IF(B29="使用電線-5",CA211*H29*J29,"")))))</f>
        <v/>
      </c>
      <c r="K58" s="205" t="str">
        <f>IF(J58="","",CA210)</f>
        <v/>
      </c>
      <c r="L58" s="202" t="str">
        <f>IF(J58="","",IF(B27="使用電線-5",N27*H27*J27/J58,IF(B28="使用電線-5",N28*H28*J28/J58,IF(B29="使用電線-5",N29*H29*J29/J58))))</f>
        <v/>
      </c>
      <c r="M58" s="308" t="s">
        <v>20</v>
      </c>
      <c r="N58" s="309"/>
      <c r="O58" s="201" t="str">
        <f>IF(SUM(J68:N68)=0,"",SUM(J68:N68))</f>
        <v/>
      </c>
      <c r="P58" s="211" t="str">
        <f>IF(O58="","",IF(MAX(E44,K44,P44,E58,K58)=0,"",MAX(E44,K44,P44,E58,K58)))</f>
        <v/>
      </c>
      <c r="Q58" s="204" t="str">
        <f>IF(O58="","",IF(MIN(F44,L44,Q44,F58,L58)=0,"",MIN(F44,L44,Q44,F58,L58)))</f>
        <v/>
      </c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397"/>
      <c r="AG58" s="3"/>
      <c r="AH58" s="3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</row>
    <row r="59" spans="1:79" ht="3.75" customHeight="1" thickBot="1" x14ac:dyDescent="0.2">
      <c r="A59" s="339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79" ht="18" hidden="1" customHeight="1" thickBot="1" x14ac:dyDescent="0.2">
      <c r="B60" s="36"/>
      <c r="C60" s="36"/>
      <c r="D60" s="102"/>
      <c r="E60" s="102"/>
      <c r="F60" s="59"/>
      <c r="G60" s="59"/>
      <c r="S60" s="103" t="s">
        <v>138</v>
      </c>
      <c r="T60" s="36"/>
      <c r="U60" s="102"/>
      <c r="V60" s="102"/>
      <c r="W60" s="59"/>
      <c r="X60" s="59"/>
    </row>
    <row r="61" spans="1:79" ht="18" hidden="1" customHeight="1" x14ac:dyDescent="0.15">
      <c r="J61" s="53">
        <f>IF(D34="",0,D34)</f>
        <v>0</v>
      </c>
      <c r="K61" s="53">
        <f>IF(J34="",0,J34)</f>
        <v>0</v>
      </c>
      <c r="L61" s="53">
        <f>IF(O34="",0,O34)</f>
        <v>0</v>
      </c>
      <c r="M61" s="53">
        <f>IF(D48="",0,D48)</f>
        <v>0</v>
      </c>
      <c r="N61" s="53">
        <f>IF(J48="",0,J48)</f>
        <v>0</v>
      </c>
      <c r="S61" s="99">
        <f>IF(D29="",0,SQRT(((((K23*H23+K24*H24+K25*H25+K26*H26+K27*H27+K28*H28+K29*H29)*0.001/SUM(H23:H29))*((SUM(H23:H29))^0.55)+S23*0.001)*50)^2+(M23*H23+M24*H24+M25*H25+M26*H26+M27*H27+M28*H28+M29*H29+U23)^2))</f>
        <v>0</v>
      </c>
      <c r="T61" s="103" t="s">
        <v>198</v>
      </c>
      <c r="U61" s="102"/>
      <c r="V61" s="102"/>
      <c r="W61" s="59"/>
      <c r="X61" s="59"/>
      <c r="AJ61" s="2" t="s">
        <v>199</v>
      </c>
      <c r="AK61" s="111" t="s">
        <v>200</v>
      </c>
      <c r="AL61" s="12" t="s">
        <v>201</v>
      </c>
      <c r="AM61" s="12" t="s">
        <v>202</v>
      </c>
      <c r="AN61" s="12" t="s">
        <v>203</v>
      </c>
      <c r="AO61" s="12" t="s">
        <v>204</v>
      </c>
      <c r="AP61" s="12" t="s">
        <v>205</v>
      </c>
      <c r="AQ61" s="13" t="s">
        <v>206</v>
      </c>
      <c r="AS61" s="2" t="s">
        <v>199</v>
      </c>
      <c r="AT61" s="111" t="s">
        <v>200</v>
      </c>
      <c r="AU61" s="12" t="s">
        <v>201</v>
      </c>
      <c r="AV61" s="12" t="s">
        <v>202</v>
      </c>
      <c r="AW61" s="12" t="s">
        <v>203</v>
      </c>
      <c r="AX61" s="12" t="s">
        <v>204</v>
      </c>
      <c r="AY61" s="12" t="s">
        <v>205</v>
      </c>
      <c r="AZ61" s="13" t="s">
        <v>206</v>
      </c>
      <c r="BB61" s="2" t="s">
        <v>199</v>
      </c>
      <c r="BC61" s="111" t="s">
        <v>200</v>
      </c>
      <c r="BD61" s="12" t="s">
        <v>201</v>
      </c>
      <c r="BE61" s="12" t="s">
        <v>202</v>
      </c>
      <c r="BF61" s="12" t="s">
        <v>203</v>
      </c>
      <c r="BG61" s="12" t="s">
        <v>204</v>
      </c>
      <c r="BH61" s="12" t="s">
        <v>205</v>
      </c>
      <c r="BI61" s="13" t="s">
        <v>206</v>
      </c>
      <c r="BK61" s="2" t="s">
        <v>199</v>
      </c>
      <c r="BL61" s="111" t="s">
        <v>200</v>
      </c>
      <c r="BM61" s="12" t="s">
        <v>201</v>
      </c>
      <c r="BN61" s="12" t="s">
        <v>202</v>
      </c>
      <c r="BO61" s="12" t="s">
        <v>203</v>
      </c>
      <c r="BP61" s="12" t="s">
        <v>204</v>
      </c>
      <c r="BQ61" s="12" t="s">
        <v>205</v>
      </c>
      <c r="BR61" s="13" t="s">
        <v>206</v>
      </c>
      <c r="BT61" s="2" t="s">
        <v>199</v>
      </c>
      <c r="BU61" s="111" t="s">
        <v>200</v>
      </c>
      <c r="BV61" s="12" t="s">
        <v>201</v>
      </c>
      <c r="BW61" s="12" t="s">
        <v>202</v>
      </c>
      <c r="BX61" s="12" t="s">
        <v>203</v>
      </c>
      <c r="BY61" s="12" t="s">
        <v>204</v>
      </c>
      <c r="BZ61" s="12" t="s">
        <v>205</v>
      </c>
      <c r="CA61" s="13" t="s">
        <v>206</v>
      </c>
    </row>
    <row r="62" spans="1:79" ht="18" hidden="1" customHeight="1" x14ac:dyDescent="0.15">
      <c r="J62" s="53">
        <f>IF(D36="",0,D36)</f>
        <v>0</v>
      </c>
      <c r="K62" s="53">
        <f>IF(J36="",0,J36)</f>
        <v>0</v>
      </c>
      <c r="L62" s="53">
        <f>IF(O36="",0,O36)</f>
        <v>0</v>
      </c>
      <c r="M62" s="53">
        <f>IF(D50="",0,D50)</f>
        <v>0</v>
      </c>
      <c r="N62" s="53">
        <f>IF(J50="",0,J50)</f>
        <v>0</v>
      </c>
      <c r="S62" s="99">
        <f>IF(D28="",0,SQRT(((((K23*H23+K24*H24+K25*H25+K26*H26+K27*H27+K28*H28)*0.001/SUM(H23:H28))*((SUM(H23:H28))^0.55)+S23*0.001)*50)^2+(M23*H23+M24*H24+M25*H25+M26*H26+M27*H27+M28*H28+U23)^2))</f>
        <v>0</v>
      </c>
      <c r="T62" s="99">
        <f>IF(D29="",0,SQRT(((((K24*H24+K25*H25+K26*H26+K27*H27+K28*H28+K29*H29)*0.001/SUM(H24:H29))*((SUM(H24:H29))^0.55)+S24*0.001)*50)^2+(M24*H24+M25*H25+M26*H26+M27*H27+M28*H28+M29*H29+U24)^2))</f>
        <v>0</v>
      </c>
      <c r="U62" s="103" t="s">
        <v>207</v>
      </c>
      <c r="V62" s="102"/>
      <c r="W62" s="59"/>
      <c r="X62" s="59"/>
      <c r="AJ62" s="16" t="e">
        <f>-AJ65+AJ68</f>
        <v>#VALUE!</v>
      </c>
      <c r="AK62" s="17" t="e">
        <f>-AJ71</f>
        <v>#VALUE!</v>
      </c>
      <c r="AL62" s="18" t="e">
        <f>IF(AND(AP65&lt;0,AQ65&lt;0),AQ62*1.2,IF(AND(AP65&gt;0,AQ65&gt;0),AP62*0.8,10))</f>
        <v>#VALUE!</v>
      </c>
      <c r="AM62" s="18" t="e">
        <f>AL62^3+AJ62*AL62+AK62</f>
        <v>#VALUE!</v>
      </c>
      <c r="AN62" s="18" t="e">
        <f>3*AL62^2+AJ62</f>
        <v>#VALUE!</v>
      </c>
      <c r="AO62" s="18" t="e">
        <f t="shared" ref="AO62:AO76" si="8">AL62-AM62/AN62</f>
        <v>#VALUE!</v>
      </c>
      <c r="AP62" s="18" t="e">
        <f>-SQRT(ABS(-4*3*AJ62))/6</f>
        <v>#VALUE!</v>
      </c>
      <c r="AQ62" s="19" t="e">
        <f>SQRT(ABS(-4*3*AJ62))/6</f>
        <v>#VALUE!</v>
      </c>
      <c r="AS62" s="16" t="e">
        <f>-AS65+AS68</f>
        <v>#VALUE!</v>
      </c>
      <c r="AT62" s="17" t="e">
        <f>-AS71</f>
        <v>#VALUE!</v>
      </c>
      <c r="AU62" s="18" t="e">
        <f>IF(AND(AY65&lt;0,AZ65&lt;0),AZ62*1.2,IF(AND(AY65&gt;0,AZ65&gt;0),AY62*0.8,10))</f>
        <v>#VALUE!</v>
      </c>
      <c r="AV62" s="18" t="e">
        <f>AU62^3+AS62*AU62+AT62</f>
        <v>#VALUE!</v>
      </c>
      <c r="AW62" s="18" t="e">
        <f>3*AU62^2+AS62</f>
        <v>#VALUE!</v>
      </c>
      <c r="AX62" s="18" t="e">
        <f t="shared" ref="AX62:AX76" si="9">AU62-AV62/AW62</f>
        <v>#VALUE!</v>
      </c>
      <c r="AY62" s="18" t="e">
        <f>-SQRT(ABS(-4*3*AS62))/6</f>
        <v>#VALUE!</v>
      </c>
      <c r="AZ62" s="19" t="e">
        <f>SQRT(ABS(-4*3*AS62))/6</f>
        <v>#VALUE!</v>
      </c>
      <c r="BB62" s="16" t="e">
        <f>-BB65+BB68</f>
        <v>#VALUE!</v>
      </c>
      <c r="BC62" s="17" t="e">
        <f>-BB71</f>
        <v>#VALUE!</v>
      </c>
      <c r="BD62" s="18" t="e">
        <f>IF(AND(BH65&lt;0,BI65&lt;0),BI62*1.2,IF(AND(BH65&gt;0,BI65&gt;0),BH62*0.8,10))</f>
        <v>#VALUE!</v>
      </c>
      <c r="BE62" s="18" t="e">
        <f>BD62^3+BB62*BD62+BC62</f>
        <v>#VALUE!</v>
      </c>
      <c r="BF62" s="18" t="e">
        <f>3*BD62^2+BB62</f>
        <v>#VALUE!</v>
      </c>
      <c r="BG62" s="18" t="e">
        <f t="shared" ref="BG62:BG76" si="10">BD62-BE62/BF62</f>
        <v>#VALUE!</v>
      </c>
      <c r="BH62" s="18" t="e">
        <f>-SQRT(ABS(-4*3*BB62))/6</f>
        <v>#VALUE!</v>
      </c>
      <c r="BI62" s="19" t="e">
        <f>SQRT(ABS(-4*3*BB62))/6</f>
        <v>#VALUE!</v>
      </c>
      <c r="BK62" s="16" t="e">
        <f>-BK65+BK68</f>
        <v>#VALUE!</v>
      </c>
      <c r="BL62" s="17" t="e">
        <f>-BK71</f>
        <v>#VALUE!</v>
      </c>
      <c r="BM62" s="18" t="e">
        <f>IF(AND(BQ65&lt;0,BR65&lt;0),BR62*1.2,IF(AND(BQ65&gt;0,BR65&gt;0),BQ62*0.8,10))</f>
        <v>#VALUE!</v>
      </c>
      <c r="BN62" s="18" t="e">
        <f>BM62^3+BK62*BM62+BL62</f>
        <v>#VALUE!</v>
      </c>
      <c r="BO62" s="18" t="e">
        <f>3*BM62^2+BK62</f>
        <v>#VALUE!</v>
      </c>
      <c r="BP62" s="18" t="e">
        <f t="shared" ref="BP62:BP76" si="11">BM62-BN62/BO62</f>
        <v>#VALUE!</v>
      </c>
      <c r="BQ62" s="18" t="e">
        <f>-SQRT(ABS(-4*3*BK62))/6</f>
        <v>#VALUE!</v>
      </c>
      <c r="BR62" s="19" t="e">
        <f>SQRT(ABS(-4*3*BK62))/6</f>
        <v>#VALUE!</v>
      </c>
      <c r="BT62" s="16" t="e">
        <f>-BT65+BT68</f>
        <v>#VALUE!</v>
      </c>
      <c r="BU62" s="17" t="e">
        <f>-BT71</f>
        <v>#VALUE!</v>
      </c>
      <c r="BV62" s="18" t="e">
        <f>IF(AND(BZ65&lt;0,CA65&lt;0),CA62*1.2,IF(AND(BZ65&gt;0,CA65&gt;0),BZ62*0.8,10))</f>
        <v>#VALUE!</v>
      </c>
      <c r="BW62" s="18" t="e">
        <f>BV62^3+BT62*BV62+BU62</f>
        <v>#VALUE!</v>
      </c>
      <c r="BX62" s="18" t="e">
        <f>3*BV62^2+BT62</f>
        <v>#VALUE!</v>
      </c>
      <c r="BY62" s="18" t="e">
        <f t="shared" ref="BY62:BY76" si="12">BV62-BW62/BX62</f>
        <v>#VALUE!</v>
      </c>
      <c r="BZ62" s="18" t="e">
        <f>-SQRT(ABS(-4*3*BT62))/6</f>
        <v>#VALUE!</v>
      </c>
      <c r="CA62" s="19" t="e">
        <f>SQRT(ABS(-4*3*BT62))/6</f>
        <v>#VALUE!</v>
      </c>
    </row>
    <row r="63" spans="1:79" ht="18" hidden="1" customHeight="1" x14ac:dyDescent="0.15">
      <c r="J63" s="53">
        <f>IF(D38="",0,D38)</f>
        <v>0</v>
      </c>
      <c r="K63" s="53">
        <f>IF(J38="",0,J38)</f>
        <v>0</v>
      </c>
      <c r="L63" s="53">
        <f>IF(O38="",0,O38)</f>
        <v>0</v>
      </c>
      <c r="M63" s="53">
        <f>IF(D52="",0,D52)</f>
        <v>0</v>
      </c>
      <c r="N63" s="53">
        <f>IF(J52="",0,J52)</f>
        <v>0</v>
      </c>
      <c r="S63" s="99">
        <f>IF(D27="",0,SQRT(((((K23*H23+K24*H24+K25*H25+K26*H26+K27*H27)*0.001/SUM(H23:H27))*((SUM(H23:H27))^0.55)+S23*0.001)*50)^2+(M23*H23+M24*H24+M25*H25+M26*H26+M27*H27+U23)^2))</f>
        <v>0</v>
      </c>
      <c r="T63" s="99">
        <f>IF(D28="",0,SQRT(((((K24*H24+K25*H25+K26*H26+K27*H27+K28*H28)*0.001/SUM(H24:H28))*((SUM(H24:H28))^0.55)+S24*0.001)*50)^2+(M24*H24+M25*H25+M26*H26+M27*H27+M28*H28+U24)^2))</f>
        <v>0</v>
      </c>
      <c r="U63" s="99">
        <f>IF(D29="",0,SQRT(((((K25*H25+K26*H26+K27*H27+K28*H28+K29*H29)*0.001/SUM(H25:H29))*((SUM(H25:H29))^0.55)+S25*0.001)*50)^2+(M25*H25+M26*H26+M27*H27+M28*H28+M29*H29+U25)^2))</f>
        <v>0</v>
      </c>
      <c r="V63" s="103" t="s">
        <v>208</v>
      </c>
      <c r="W63" s="59"/>
      <c r="X63" s="59"/>
      <c r="AJ63" s="267"/>
      <c r="AK63" s="268"/>
      <c r="AL63" s="18" t="e">
        <f t="shared" ref="AL63:AL76" si="13">AO62</f>
        <v>#VALUE!</v>
      </c>
      <c r="AM63" s="18" t="e">
        <f>AL63^3+AJ62*AL63+AK62</f>
        <v>#VALUE!</v>
      </c>
      <c r="AN63" s="18" t="e">
        <f>3*AL63^2+AJ62</f>
        <v>#VALUE!</v>
      </c>
      <c r="AO63" s="18" t="e">
        <f t="shared" si="8"/>
        <v>#VALUE!</v>
      </c>
      <c r="AP63" s="6"/>
      <c r="AQ63" s="7"/>
      <c r="AS63" s="267"/>
      <c r="AT63" s="268"/>
      <c r="AU63" s="18" t="e">
        <f t="shared" ref="AU63:AU76" si="14">AX62</f>
        <v>#VALUE!</v>
      </c>
      <c r="AV63" s="18" t="e">
        <f>AU63^3+AS62*AU63+AT62</f>
        <v>#VALUE!</v>
      </c>
      <c r="AW63" s="18" t="e">
        <f>3*AU63^2+AS62</f>
        <v>#VALUE!</v>
      </c>
      <c r="AX63" s="18" t="e">
        <f t="shared" si="9"/>
        <v>#VALUE!</v>
      </c>
      <c r="AY63" s="6"/>
      <c r="AZ63" s="7"/>
      <c r="BB63" s="267"/>
      <c r="BC63" s="268"/>
      <c r="BD63" s="18" t="e">
        <f t="shared" ref="BD63:BD76" si="15">BG62</f>
        <v>#VALUE!</v>
      </c>
      <c r="BE63" s="18" t="e">
        <f>BD63^3+BB62*BD63+BC62</f>
        <v>#VALUE!</v>
      </c>
      <c r="BF63" s="18" t="e">
        <f>3*BD63^2+BB62</f>
        <v>#VALUE!</v>
      </c>
      <c r="BG63" s="18" t="e">
        <f t="shared" si="10"/>
        <v>#VALUE!</v>
      </c>
      <c r="BH63" s="6"/>
      <c r="BI63" s="7"/>
      <c r="BK63" s="267"/>
      <c r="BL63" s="268"/>
      <c r="BM63" s="18" t="e">
        <f t="shared" ref="BM63:BM76" si="16">BP62</f>
        <v>#VALUE!</v>
      </c>
      <c r="BN63" s="18" t="e">
        <f>BM63^3+BK62*BM63+BL62</f>
        <v>#VALUE!</v>
      </c>
      <c r="BO63" s="18" t="e">
        <f>3*BM63^2+BK62</f>
        <v>#VALUE!</v>
      </c>
      <c r="BP63" s="18" t="e">
        <f t="shared" si="11"/>
        <v>#VALUE!</v>
      </c>
      <c r="BQ63" s="6"/>
      <c r="BR63" s="7"/>
      <c r="BT63" s="267"/>
      <c r="BU63" s="268"/>
      <c r="BV63" s="18" t="e">
        <f t="shared" ref="BV63:BV76" si="17">BY62</f>
        <v>#VALUE!</v>
      </c>
      <c r="BW63" s="18" t="e">
        <f>BV63^3+BT62*BV63+BU62</f>
        <v>#VALUE!</v>
      </c>
      <c r="BX63" s="18" t="e">
        <f>3*BV63^2+BT62</f>
        <v>#VALUE!</v>
      </c>
      <c r="BY63" s="18" t="e">
        <f t="shared" si="12"/>
        <v>#VALUE!</v>
      </c>
      <c r="BZ63" s="6"/>
      <c r="CA63" s="7"/>
    </row>
    <row r="64" spans="1:79" ht="18" hidden="1" customHeight="1" x14ac:dyDescent="0.15">
      <c r="J64" s="53">
        <f>IF(D40="",0,D40)</f>
        <v>0</v>
      </c>
      <c r="K64" s="53">
        <f>IF(J40="",0,J40)</f>
        <v>0</v>
      </c>
      <c r="L64" s="53">
        <f>IF(O40="",0,O40)</f>
        <v>0</v>
      </c>
      <c r="M64" s="53">
        <f>IF(D54="",0,D54)</f>
        <v>0</v>
      </c>
      <c r="N64" s="53">
        <f>IF(J54="",0,J54)</f>
        <v>0</v>
      </c>
      <c r="S64" s="99">
        <f>IF(D26="",0,SQRT(((((K23*H23+K24*H24+K25*H25+K26*H26)*0.001/SUM(H23:H26))*((SUM(H23:H26))^0.55)+S23*0.001)*50)^2+(M23*H23+M24*H24+M25*H25+M26*H26+U23)^2))</f>
        <v>0</v>
      </c>
      <c r="T64" s="99">
        <f>IF(D27="",0,SQRT(((((K24*H24+K25*H25+K26*H26+K27*H27)*0.001/SUM(H24:H27))*((SUM(H24:H27))^0.55)+S24*0.001)*50)^2+(M24*H24+M25*H25+M26*H26+M27*H27+U24)^2))</f>
        <v>0</v>
      </c>
      <c r="U64" s="99">
        <f>IF(D28="",0,SQRT(((((K25*H25+K26*H26+K27*H27+K28*H28)*0.001/SUM(H25:H28))*((SUM(H25:H28))^0.55)+S25*0.001)*50)^2+(M25*H25+M26*H26+M27*H27+M28*H28+U25)^2))</f>
        <v>0</v>
      </c>
      <c r="V64" s="99">
        <f>IF(D29="",0,SQRT(((((K26*H26+K27*H27+K28*H28+K29*H29)*0.001/SUM(H26:H29))*((SUM(H26:H29))^0.55)+S26*0.001)*50)^2+(M26*H26+M27*H27+M28*H28+M29*H29+U26)^2))</f>
        <v>0</v>
      </c>
      <c r="W64" s="103" t="s">
        <v>209</v>
      </c>
      <c r="X64" s="59"/>
      <c r="AJ64" s="269" t="s">
        <v>210</v>
      </c>
      <c r="AK64" s="270"/>
      <c r="AL64" s="18" t="e">
        <f t="shared" si="13"/>
        <v>#VALUE!</v>
      </c>
      <c r="AM64" s="18" t="e">
        <f>AL64^3+AJ62*AL64+AK62</f>
        <v>#VALUE!</v>
      </c>
      <c r="AN64" s="18" t="e">
        <f>3*AL64^2+AJ62</f>
        <v>#VALUE!</v>
      </c>
      <c r="AO64" s="18" t="e">
        <f t="shared" si="8"/>
        <v>#VALUE!</v>
      </c>
      <c r="AP64" s="14" t="s">
        <v>211</v>
      </c>
      <c r="AQ64" s="15" t="s">
        <v>212</v>
      </c>
      <c r="AS64" s="269" t="s">
        <v>210</v>
      </c>
      <c r="AT64" s="270"/>
      <c r="AU64" s="18" t="e">
        <f t="shared" si="14"/>
        <v>#VALUE!</v>
      </c>
      <c r="AV64" s="18" t="e">
        <f>AU64^3+AS62*AU64+AT62</f>
        <v>#VALUE!</v>
      </c>
      <c r="AW64" s="18" t="e">
        <f>3*AU64^2+AS62</f>
        <v>#VALUE!</v>
      </c>
      <c r="AX64" s="18" t="e">
        <f t="shared" si="9"/>
        <v>#VALUE!</v>
      </c>
      <c r="AY64" s="14" t="s">
        <v>211</v>
      </c>
      <c r="AZ64" s="15" t="s">
        <v>212</v>
      </c>
      <c r="BB64" s="269" t="s">
        <v>210</v>
      </c>
      <c r="BC64" s="270"/>
      <c r="BD64" s="18" t="e">
        <f t="shared" si="15"/>
        <v>#VALUE!</v>
      </c>
      <c r="BE64" s="18" t="e">
        <f>BD64^3+BB62*BD64+BC62</f>
        <v>#VALUE!</v>
      </c>
      <c r="BF64" s="18" t="e">
        <f>3*BD64^2+BB62</f>
        <v>#VALUE!</v>
      </c>
      <c r="BG64" s="18" t="e">
        <f t="shared" si="10"/>
        <v>#VALUE!</v>
      </c>
      <c r="BH64" s="14" t="s">
        <v>211</v>
      </c>
      <c r="BI64" s="15" t="s">
        <v>212</v>
      </c>
      <c r="BK64" s="269" t="s">
        <v>210</v>
      </c>
      <c r="BL64" s="270"/>
      <c r="BM64" s="18" t="e">
        <f t="shared" si="16"/>
        <v>#VALUE!</v>
      </c>
      <c r="BN64" s="18" t="e">
        <f>BM64^3+BK62*BM64+BL62</f>
        <v>#VALUE!</v>
      </c>
      <c r="BO64" s="18" t="e">
        <f>3*BM64^2+BK62</f>
        <v>#VALUE!</v>
      </c>
      <c r="BP64" s="18" t="e">
        <f t="shared" si="11"/>
        <v>#VALUE!</v>
      </c>
      <c r="BQ64" s="14" t="s">
        <v>211</v>
      </c>
      <c r="BR64" s="15" t="s">
        <v>212</v>
      </c>
      <c r="BT64" s="269" t="s">
        <v>210</v>
      </c>
      <c r="BU64" s="270"/>
      <c r="BV64" s="18" t="e">
        <f t="shared" si="17"/>
        <v>#VALUE!</v>
      </c>
      <c r="BW64" s="18" t="e">
        <f>BV64^3+BT62*BV64+BU62</f>
        <v>#VALUE!</v>
      </c>
      <c r="BX64" s="18" t="e">
        <f>3*BV64^2+BT62</f>
        <v>#VALUE!</v>
      </c>
      <c r="BY64" s="18" t="e">
        <f t="shared" si="12"/>
        <v>#VALUE!</v>
      </c>
      <c r="BZ64" s="14" t="s">
        <v>211</v>
      </c>
      <c r="CA64" s="15" t="s">
        <v>212</v>
      </c>
    </row>
    <row r="65" spans="10:79" ht="18" hidden="1" customHeight="1" x14ac:dyDescent="0.15">
      <c r="J65" s="53">
        <f>IF(D41="",0,D41)</f>
        <v>0</v>
      </c>
      <c r="K65" s="53">
        <f>IF(J41="",0,J41)</f>
        <v>0</v>
      </c>
      <c r="L65" s="53">
        <f>IF(O41="",0,O41)</f>
        <v>0</v>
      </c>
      <c r="M65" s="53">
        <f>IF(D55="",0,D55)</f>
        <v>0</v>
      </c>
      <c r="N65" s="53">
        <f>IF(J55="",0,J55)</f>
        <v>0</v>
      </c>
      <c r="S65" s="99">
        <f>IF(D25="",0,SQRT(((((K23*H23+K24*H24+K25*H25)*0.001/SUM(H23:H25))*((SUM(H23:H25))^0.55)+S23*0.001)*50)^2+(M23*H23+M24*H24+M25*H25+U23)^2))</f>
        <v>0</v>
      </c>
      <c r="T65" s="99">
        <f>IF(D26="",0,SQRT(((((K24*H24+K25*H25+K26*H26)*0.001/SUM(H24:H26))*((SUM(H24:H26))^0.55)+S24*0.001)*50)^2+(M24*H24+M25*H25+M26*H26+U24)^2))</f>
        <v>0</v>
      </c>
      <c r="U65" s="99">
        <f>IF(D27="",0,SQRT(((((K25*H25+K26*H26+K27*H27)*0.001/SUM(H25:H27))*((SUM(H25:H27))^0.55)+S25*0.001)*50)^2+(M25*H25+M26*H26+M27*H27+U25)^2))</f>
        <v>0</v>
      </c>
      <c r="V65" s="99">
        <f>IF(D28="",0,SQRT(((((K26*H26+K27*H27+K28*H28)*0.001/SUM(H26:H28))*((SUM(H26:H28))^0.55)+S26*0.001)*50)^2+(M26*H26+M27*H27+M28*H28+U26)^2))</f>
        <v>0</v>
      </c>
      <c r="W65" s="99">
        <f>IF(D29="",0,SQRT(((((K27*H27+K28*H28+K29*H29)*0.001/SUM(H27:H29))*((SUM(H27:H29))^0.55)+S27*0.001)*50)^2+(M27*H27+M28*H28+M29*H29+U27)^2))</f>
        <v>0</v>
      </c>
      <c r="X65" s="103" t="s">
        <v>213</v>
      </c>
      <c r="AJ65" s="269">
        <f>(AL78^2)+3*(AM78^2)*AQ78*(AQ73-15)/(8*10^7)</f>
        <v>0</v>
      </c>
      <c r="AK65" s="270"/>
      <c r="AL65" s="18" t="e">
        <f t="shared" si="13"/>
        <v>#VALUE!</v>
      </c>
      <c r="AM65" s="18" t="e">
        <f>AL65^3+AJ62*AL65+AK62</f>
        <v>#VALUE!</v>
      </c>
      <c r="AN65" s="18" t="e">
        <f>3*AL65^2+AJ62</f>
        <v>#VALUE!</v>
      </c>
      <c r="AO65" s="18" t="e">
        <f t="shared" si="8"/>
        <v>#VALUE!</v>
      </c>
      <c r="AP65" s="18" t="e">
        <f>AP62^3+AJ62*AP62+AK62</f>
        <v>#VALUE!</v>
      </c>
      <c r="AQ65" s="19" t="e">
        <f>AQ62^3+AJ62*AQ62+AK62</f>
        <v>#VALUE!</v>
      </c>
      <c r="AS65" s="269" t="e">
        <f>(AU78^2)+3*(AV78^2)*AZ78*(AZ73-15)/(8*10^7)</f>
        <v>#VALUE!</v>
      </c>
      <c r="AT65" s="270"/>
      <c r="AU65" s="18" t="e">
        <f t="shared" si="14"/>
        <v>#VALUE!</v>
      </c>
      <c r="AV65" s="18" t="e">
        <f>AU65^3+AS62*AU65+AT62</f>
        <v>#VALUE!</v>
      </c>
      <c r="AW65" s="18" t="e">
        <f>3*AU65^2+AS62</f>
        <v>#VALUE!</v>
      </c>
      <c r="AX65" s="18" t="e">
        <f t="shared" si="9"/>
        <v>#VALUE!</v>
      </c>
      <c r="AY65" s="18" t="e">
        <f>AY62^3+AS62*AY62+AT62</f>
        <v>#VALUE!</v>
      </c>
      <c r="AZ65" s="19" t="e">
        <f>AZ62^3+AS62*AZ62+AT62</f>
        <v>#VALUE!</v>
      </c>
      <c r="BB65" s="269" t="e">
        <f>(BD78^2)+3*(BE78^2)*BI78*(BI73-15)/(8*10^7)</f>
        <v>#VALUE!</v>
      </c>
      <c r="BC65" s="270"/>
      <c r="BD65" s="18" t="e">
        <f t="shared" si="15"/>
        <v>#VALUE!</v>
      </c>
      <c r="BE65" s="18" t="e">
        <f>BD65^3+BB62*BD65+BC62</f>
        <v>#VALUE!</v>
      </c>
      <c r="BF65" s="18" t="e">
        <f>3*BD65^2+BB62</f>
        <v>#VALUE!</v>
      </c>
      <c r="BG65" s="18" t="e">
        <f t="shared" si="10"/>
        <v>#VALUE!</v>
      </c>
      <c r="BH65" s="18" t="e">
        <f>BH62^3+BB62*BH62+BC62</f>
        <v>#VALUE!</v>
      </c>
      <c r="BI65" s="19" t="e">
        <f>BI62^3+BB62*BI62+BC62</f>
        <v>#VALUE!</v>
      </c>
      <c r="BK65" s="269" t="e">
        <f>(BM78^2)+3*(BN78^2)*BR78*(BR73-15)/(8*10^7)</f>
        <v>#VALUE!</v>
      </c>
      <c r="BL65" s="270"/>
      <c r="BM65" s="18" t="e">
        <f t="shared" si="16"/>
        <v>#VALUE!</v>
      </c>
      <c r="BN65" s="18" t="e">
        <f>BM65^3+BK62*BM65+BL62</f>
        <v>#VALUE!</v>
      </c>
      <c r="BO65" s="18" t="e">
        <f>3*BM65^2+BK62</f>
        <v>#VALUE!</v>
      </c>
      <c r="BP65" s="18" t="e">
        <f t="shared" si="11"/>
        <v>#VALUE!</v>
      </c>
      <c r="BQ65" s="18" t="e">
        <f>BQ62^3+BK62*BQ62+BL62</f>
        <v>#VALUE!</v>
      </c>
      <c r="BR65" s="19" t="e">
        <f>BR62^3+BK62*BR62+BL62</f>
        <v>#VALUE!</v>
      </c>
      <c r="BT65" s="269" t="e">
        <f>(BV78^2)+3*(BW78^2)*CA78*(CA73-15)/(8*10^7)</f>
        <v>#VALUE!</v>
      </c>
      <c r="BU65" s="270"/>
      <c r="BV65" s="18" t="e">
        <f t="shared" si="17"/>
        <v>#VALUE!</v>
      </c>
      <c r="BW65" s="18" t="e">
        <f>BV65^3+BT62*BV65+BU62</f>
        <v>#VALUE!</v>
      </c>
      <c r="BX65" s="18" t="e">
        <f>3*BV65^2+BT62</f>
        <v>#VALUE!</v>
      </c>
      <c r="BY65" s="18" t="e">
        <f t="shared" si="12"/>
        <v>#VALUE!</v>
      </c>
      <c r="BZ65" s="18" t="e">
        <f>BZ62^3+BT62*BZ62+BU62</f>
        <v>#VALUE!</v>
      </c>
      <c r="CA65" s="19" t="e">
        <f>CA62^3+BT62*CA62+BU62</f>
        <v>#VALUE!</v>
      </c>
    </row>
    <row r="66" spans="10:79" ht="18" hidden="1" customHeight="1" x14ac:dyDescent="0.15">
      <c r="J66" s="53">
        <f>IF(D42="",0,D42)</f>
        <v>0</v>
      </c>
      <c r="K66" s="53">
        <f>IF(J42="",0,J42)</f>
        <v>0</v>
      </c>
      <c r="L66" s="53">
        <f>IF(O42="",0,O42)</f>
        <v>0</v>
      </c>
      <c r="M66" s="53">
        <f>IF(D56="",0,D56)</f>
        <v>0</v>
      </c>
      <c r="N66" s="53">
        <f>IF(J56="",0,J56)</f>
        <v>0</v>
      </c>
      <c r="S66" s="99">
        <f>IF(D24="",0,SQRT(((((K23*H23+K24*H24)*0.001/SUM(H23:H24))*((SUM(H23:H24))^0.55)+S23*0.001)*50)^2+(M23*H23+M24*H24+U23)^2))</f>
        <v>0</v>
      </c>
      <c r="T66" s="99">
        <f>IF(D25="",0,SQRT(((((K24*H24+K25*H25)*0.001/SUM(H24:H25))*((SUM(H24:H25))^0.55)+S24*0.001)*50)^2+(M24*H24+M25*H25+U24)^2))</f>
        <v>0</v>
      </c>
      <c r="U66" s="99">
        <f>IF(D26="",0,SQRT(((((K25*H25+K26*H26)*0.001/SUM(H25:H26))*((SUM(H25:H26))^0.55)+S25*0.001)*50)^2+(M25*H25+M26*H26+U25)^2))</f>
        <v>0</v>
      </c>
      <c r="V66" s="99">
        <f>IF(D27="",0,SQRT(((((K26*H26+K27*H27)*0.001/SUM(H26:H27))*((SUM(H26:H27))^0.55)+S26*0.001)*50)^2+(M26*H26+M27*H27+U26)^2))</f>
        <v>0</v>
      </c>
      <c r="W66" s="99">
        <f>IF(D28="",0,SQRT(((((K27*H27+K28*H28)*0.001/SUM(H27:H28))*((SUM(H27:H28))^0.55)+S27*0.001)*50)^2+(M27*H27+M28*H28+U27)^2))</f>
        <v>0</v>
      </c>
      <c r="X66" s="99">
        <f>IF(D29="",0,SQRT(((((K28*H28+K29*H29)*0.001/SUM(H28:H29))*((SUM(H28:H29))^0.55)+S28*0.001)*50)^2+(M28*H28+M29*H29+U28)^2))</f>
        <v>0</v>
      </c>
      <c r="AJ66" s="267"/>
      <c r="AK66" s="268"/>
      <c r="AL66" s="18" t="e">
        <f t="shared" si="13"/>
        <v>#VALUE!</v>
      </c>
      <c r="AM66" s="18" t="e">
        <f>AL66^3+AJ62*AL66+AK62</f>
        <v>#VALUE!</v>
      </c>
      <c r="AN66" s="18" t="e">
        <f>3*AL66^2+AJ62</f>
        <v>#VALUE!</v>
      </c>
      <c r="AO66" s="18" t="e">
        <f t="shared" si="8"/>
        <v>#VALUE!</v>
      </c>
      <c r="AP66" s="31"/>
      <c r="AQ66" s="32"/>
      <c r="AS66" s="267"/>
      <c r="AT66" s="268"/>
      <c r="AU66" s="18" t="e">
        <f t="shared" si="14"/>
        <v>#VALUE!</v>
      </c>
      <c r="AV66" s="18" t="e">
        <f>AU66^3+AS62*AU66+AT62</f>
        <v>#VALUE!</v>
      </c>
      <c r="AW66" s="18" t="e">
        <f>3*AU66^2+AS62</f>
        <v>#VALUE!</v>
      </c>
      <c r="AX66" s="18" t="e">
        <f t="shared" si="9"/>
        <v>#VALUE!</v>
      </c>
      <c r="AY66" s="31"/>
      <c r="AZ66" s="32"/>
      <c r="BB66" s="267"/>
      <c r="BC66" s="268"/>
      <c r="BD66" s="18" t="e">
        <f t="shared" si="15"/>
        <v>#VALUE!</v>
      </c>
      <c r="BE66" s="18" t="e">
        <f>BD66^3+BB62*BD66+BC62</f>
        <v>#VALUE!</v>
      </c>
      <c r="BF66" s="18" t="e">
        <f>3*BD66^2+BB62</f>
        <v>#VALUE!</v>
      </c>
      <c r="BG66" s="18" t="e">
        <f t="shared" si="10"/>
        <v>#VALUE!</v>
      </c>
      <c r="BH66" s="31"/>
      <c r="BI66" s="32"/>
      <c r="BK66" s="267"/>
      <c r="BL66" s="268"/>
      <c r="BM66" s="18" t="e">
        <f t="shared" si="16"/>
        <v>#VALUE!</v>
      </c>
      <c r="BN66" s="18" t="e">
        <f>BM66^3+BK62*BM66+BL62</f>
        <v>#VALUE!</v>
      </c>
      <c r="BO66" s="18" t="e">
        <f>3*BM66^2+BK62</f>
        <v>#VALUE!</v>
      </c>
      <c r="BP66" s="18" t="e">
        <f t="shared" si="11"/>
        <v>#VALUE!</v>
      </c>
      <c r="BQ66" s="31"/>
      <c r="BR66" s="32"/>
      <c r="BT66" s="267"/>
      <c r="BU66" s="268"/>
      <c r="BV66" s="18" t="e">
        <f t="shared" si="17"/>
        <v>#VALUE!</v>
      </c>
      <c r="BW66" s="18" t="e">
        <f>BV66^3+BT62*BV66+BU62</f>
        <v>#VALUE!</v>
      </c>
      <c r="BX66" s="18" t="e">
        <f>3*BV66^2+BT62</f>
        <v>#VALUE!</v>
      </c>
      <c r="BY66" s="18" t="e">
        <f t="shared" si="12"/>
        <v>#VALUE!</v>
      </c>
      <c r="BZ66" s="31"/>
      <c r="CA66" s="32"/>
    </row>
    <row r="67" spans="10:79" ht="18" hidden="1" customHeight="1" x14ac:dyDescent="0.15">
      <c r="J67" s="53">
        <f>IF(D43="",0,D43)</f>
        <v>0</v>
      </c>
      <c r="K67" s="53">
        <f>IF(J43="",0,J43)</f>
        <v>0</v>
      </c>
      <c r="L67" s="53">
        <f>IF(O43="",0,O43)</f>
        <v>0</v>
      </c>
      <c r="M67" s="53">
        <f>IF(D57="",0,D57)</f>
        <v>0</v>
      </c>
      <c r="N67" s="53">
        <f>IF(J57="",0,J57)</f>
        <v>0</v>
      </c>
      <c r="AJ67" s="269" t="s">
        <v>214</v>
      </c>
      <c r="AK67" s="270"/>
      <c r="AL67" s="18" t="e">
        <f t="shared" si="13"/>
        <v>#VALUE!</v>
      </c>
      <c r="AM67" s="18" t="e">
        <f>AL67^3+AJ62*AL67+AK62</f>
        <v>#VALUE!</v>
      </c>
      <c r="AN67" s="18" t="e">
        <f>3*AL67^2+AJ62</f>
        <v>#VALUE!</v>
      </c>
      <c r="AO67" s="18" t="e">
        <f t="shared" si="8"/>
        <v>#VALUE!</v>
      </c>
      <c r="AP67" s="31"/>
      <c r="AQ67" s="32"/>
      <c r="AS67" s="269" t="s">
        <v>214</v>
      </c>
      <c r="AT67" s="270"/>
      <c r="AU67" s="18" t="e">
        <f t="shared" si="14"/>
        <v>#VALUE!</v>
      </c>
      <c r="AV67" s="18" t="e">
        <f>AU67^3+AS62*AU67+AT62</f>
        <v>#VALUE!</v>
      </c>
      <c r="AW67" s="18" t="e">
        <f>3*AU67^2+AS62</f>
        <v>#VALUE!</v>
      </c>
      <c r="AX67" s="18" t="e">
        <f t="shared" si="9"/>
        <v>#VALUE!</v>
      </c>
      <c r="AY67" s="31"/>
      <c r="AZ67" s="32"/>
      <c r="BB67" s="269" t="s">
        <v>214</v>
      </c>
      <c r="BC67" s="270"/>
      <c r="BD67" s="18" t="e">
        <f t="shared" si="15"/>
        <v>#VALUE!</v>
      </c>
      <c r="BE67" s="18" t="e">
        <f>BD67^3+BB62*BD67+BC62</f>
        <v>#VALUE!</v>
      </c>
      <c r="BF67" s="18" t="e">
        <f>3*BD67^2+BB62</f>
        <v>#VALUE!</v>
      </c>
      <c r="BG67" s="18" t="e">
        <f t="shared" si="10"/>
        <v>#VALUE!</v>
      </c>
      <c r="BH67" s="31"/>
      <c r="BI67" s="32"/>
      <c r="BK67" s="269" t="s">
        <v>214</v>
      </c>
      <c r="BL67" s="270"/>
      <c r="BM67" s="18" t="e">
        <f t="shared" si="16"/>
        <v>#VALUE!</v>
      </c>
      <c r="BN67" s="18" t="e">
        <f>BM67^3+BK62*BM67+BL62</f>
        <v>#VALUE!</v>
      </c>
      <c r="BO67" s="18" t="e">
        <f>3*BM67^2+BK62</f>
        <v>#VALUE!</v>
      </c>
      <c r="BP67" s="18" t="e">
        <f t="shared" si="11"/>
        <v>#VALUE!</v>
      </c>
      <c r="BQ67" s="31"/>
      <c r="BR67" s="32"/>
      <c r="BT67" s="269" t="s">
        <v>214</v>
      </c>
      <c r="BU67" s="270"/>
      <c r="BV67" s="18" t="e">
        <f t="shared" si="17"/>
        <v>#VALUE!</v>
      </c>
      <c r="BW67" s="18" t="e">
        <f>BV67^3+BT62*BV67+BU62</f>
        <v>#VALUE!</v>
      </c>
      <c r="BX67" s="18" t="e">
        <f>3*BV67^2+BT62</f>
        <v>#VALUE!</v>
      </c>
      <c r="BY67" s="18" t="e">
        <f t="shared" si="12"/>
        <v>#VALUE!</v>
      </c>
      <c r="BZ67" s="31"/>
      <c r="CA67" s="32"/>
    </row>
    <row r="68" spans="10:79" ht="18" hidden="1" customHeight="1" x14ac:dyDescent="0.15">
      <c r="J68" s="53">
        <f>IF(D44="",0,D44)</f>
        <v>0</v>
      </c>
      <c r="K68" s="53">
        <f>IF(J44="",0,J44)</f>
        <v>0</v>
      </c>
      <c r="L68" s="53">
        <f>IF(O44="",0,O44)</f>
        <v>0</v>
      </c>
      <c r="M68" s="53">
        <f>IF(D58="",0,D58)</f>
        <v>0</v>
      </c>
      <c r="N68" s="53">
        <f>IF(J58="",0,J58)</f>
        <v>0</v>
      </c>
      <c r="AJ68" s="277" t="e">
        <f>3*(AM78^2)*AN78/(8*AO78*AP78)</f>
        <v>#VALUE!</v>
      </c>
      <c r="AK68" s="278"/>
      <c r="AL68" s="118" t="e">
        <f t="shared" si="13"/>
        <v>#VALUE!</v>
      </c>
      <c r="AM68" s="118" t="e">
        <f>AL68^3+AJ62*AL68+AK62</f>
        <v>#VALUE!</v>
      </c>
      <c r="AN68" s="118" t="e">
        <f>3*AL68^2+AJ62</f>
        <v>#VALUE!</v>
      </c>
      <c r="AO68" s="118" t="e">
        <f t="shared" si="8"/>
        <v>#VALUE!</v>
      </c>
      <c r="AP68" s="116"/>
      <c r="AQ68" s="117"/>
      <c r="AS68" s="277" t="e">
        <f>3*(AV78^2)*AW78/(8*AX78*AY78)</f>
        <v>#VALUE!</v>
      </c>
      <c r="AT68" s="278"/>
      <c r="AU68" s="118" t="e">
        <f t="shared" si="14"/>
        <v>#VALUE!</v>
      </c>
      <c r="AV68" s="118" t="e">
        <f>AU68^3+AS62*AU68+AT62</f>
        <v>#VALUE!</v>
      </c>
      <c r="AW68" s="118" t="e">
        <f>3*AU68^2+AS62</f>
        <v>#VALUE!</v>
      </c>
      <c r="AX68" s="118" t="e">
        <f t="shared" si="9"/>
        <v>#VALUE!</v>
      </c>
      <c r="AY68" s="116"/>
      <c r="AZ68" s="117"/>
      <c r="BB68" s="277" t="e">
        <f>3*(BE78^2)*BF78/(8*BG78*BH78)</f>
        <v>#VALUE!</v>
      </c>
      <c r="BC68" s="278"/>
      <c r="BD68" s="118" t="e">
        <f t="shared" si="15"/>
        <v>#VALUE!</v>
      </c>
      <c r="BE68" s="118" t="e">
        <f>BD68^3+BB62*BD68+BC62</f>
        <v>#VALUE!</v>
      </c>
      <c r="BF68" s="118" t="e">
        <f>3*BD68^2+BB62</f>
        <v>#VALUE!</v>
      </c>
      <c r="BG68" s="118" t="e">
        <f t="shared" si="10"/>
        <v>#VALUE!</v>
      </c>
      <c r="BH68" s="116"/>
      <c r="BI68" s="117"/>
      <c r="BK68" s="277" t="e">
        <f>3*(BN78^2)*BO78/(8*BP78*BQ78)</f>
        <v>#VALUE!</v>
      </c>
      <c r="BL68" s="278"/>
      <c r="BM68" s="118" t="e">
        <f t="shared" si="16"/>
        <v>#VALUE!</v>
      </c>
      <c r="BN68" s="118" t="e">
        <f>BM68^3+BK62*BM68+BL62</f>
        <v>#VALUE!</v>
      </c>
      <c r="BO68" s="118" t="e">
        <f>3*BM68^2+BK62</f>
        <v>#VALUE!</v>
      </c>
      <c r="BP68" s="118" t="e">
        <f t="shared" si="11"/>
        <v>#VALUE!</v>
      </c>
      <c r="BQ68" s="116"/>
      <c r="BR68" s="117"/>
      <c r="BT68" s="277" t="e">
        <f>3*(BW78^2)*BX78/(8*BY78*BZ78)</f>
        <v>#VALUE!</v>
      </c>
      <c r="BU68" s="278"/>
      <c r="BV68" s="118" t="e">
        <f t="shared" si="17"/>
        <v>#VALUE!</v>
      </c>
      <c r="BW68" s="118" t="e">
        <f>BV68^3+BT62*BV68+BU62</f>
        <v>#VALUE!</v>
      </c>
      <c r="BX68" s="118" t="e">
        <f>3*BV68^2+BT62</f>
        <v>#VALUE!</v>
      </c>
      <c r="BY68" s="118" t="e">
        <f t="shared" si="12"/>
        <v>#VALUE!</v>
      </c>
      <c r="BZ68" s="116"/>
      <c r="CA68" s="117"/>
    </row>
    <row r="69" spans="10:79" ht="18" hidden="1" customHeight="1" x14ac:dyDescent="0.15">
      <c r="AJ69" s="121"/>
      <c r="AK69" s="122"/>
      <c r="AL69" s="118" t="e">
        <f t="shared" si="13"/>
        <v>#VALUE!</v>
      </c>
      <c r="AM69" s="118" t="e">
        <f>AL69^3+AJ62*AL69+AK62</f>
        <v>#VALUE!</v>
      </c>
      <c r="AN69" s="118" t="e">
        <f>3*AL69^2+AJ62</f>
        <v>#VALUE!</v>
      </c>
      <c r="AO69" s="118" t="e">
        <f t="shared" si="8"/>
        <v>#VALUE!</v>
      </c>
      <c r="AP69" s="119"/>
      <c r="AQ69" s="120"/>
      <c r="AS69" s="121"/>
      <c r="AT69" s="122"/>
      <c r="AU69" s="118" t="e">
        <f t="shared" si="14"/>
        <v>#VALUE!</v>
      </c>
      <c r="AV69" s="118" t="e">
        <f>AU69^3+AS62*AU69+AT62</f>
        <v>#VALUE!</v>
      </c>
      <c r="AW69" s="118" t="e">
        <f>3*AU69^2+AS62</f>
        <v>#VALUE!</v>
      </c>
      <c r="AX69" s="118" t="e">
        <f t="shared" si="9"/>
        <v>#VALUE!</v>
      </c>
      <c r="AY69" s="119"/>
      <c r="AZ69" s="120"/>
      <c r="BB69" s="121"/>
      <c r="BC69" s="122"/>
      <c r="BD69" s="118" t="e">
        <f t="shared" si="15"/>
        <v>#VALUE!</v>
      </c>
      <c r="BE69" s="118" t="e">
        <f>BD69^3+BB62*BD69+BC62</f>
        <v>#VALUE!</v>
      </c>
      <c r="BF69" s="118" t="e">
        <f>3*BD69^2+BB62</f>
        <v>#VALUE!</v>
      </c>
      <c r="BG69" s="118" t="e">
        <f t="shared" si="10"/>
        <v>#VALUE!</v>
      </c>
      <c r="BH69" s="119"/>
      <c r="BI69" s="120"/>
      <c r="BK69" s="121"/>
      <c r="BL69" s="122"/>
      <c r="BM69" s="118" t="e">
        <f t="shared" si="16"/>
        <v>#VALUE!</v>
      </c>
      <c r="BN69" s="118" t="e">
        <f>BM69^3+BK62*BM69+BL62</f>
        <v>#VALUE!</v>
      </c>
      <c r="BO69" s="118" t="e">
        <f>3*BM69^2+BK62</f>
        <v>#VALUE!</v>
      </c>
      <c r="BP69" s="118" t="e">
        <f t="shared" si="11"/>
        <v>#VALUE!</v>
      </c>
      <c r="BQ69" s="119"/>
      <c r="BR69" s="120"/>
      <c r="BT69" s="121"/>
      <c r="BU69" s="122"/>
      <c r="BV69" s="118" t="e">
        <f t="shared" si="17"/>
        <v>#VALUE!</v>
      </c>
      <c r="BW69" s="118" t="e">
        <f>BV69^3+BT62*BV69+BU62</f>
        <v>#VALUE!</v>
      </c>
      <c r="BX69" s="118" t="e">
        <f>3*BV69^2+BT62</f>
        <v>#VALUE!</v>
      </c>
      <c r="BY69" s="118" t="e">
        <f t="shared" si="12"/>
        <v>#VALUE!</v>
      </c>
      <c r="BZ69" s="119"/>
      <c r="CA69" s="120"/>
    </row>
    <row r="70" spans="10:79" ht="18" hidden="1" customHeight="1" x14ac:dyDescent="0.15">
      <c r="AJ70" s="269" t="s">
        <v>215</v>
      </c>
      <c r="AK70" s="270"/>
      <c r="AL70" s="118" t="e">
        <f t="shared" si="13"/>
        <v>#VALUE!</v>
      </c>
      <c r="AM70" s="118" t="e">
        <f>AL70^3+AJ62*AL70+AK62</f>
        <v>#VALUE!</v>
      </c>
      <c r="AN70" s="118" t="e">
        <f>3*AL70^2+AJ62</f>
        <v>#VALUE!</v>
      </c>
      <c r="AO70" s="118" t="e">
        <f t="shared" si="8"/>
        <v>#VALUE!</v>
      </c>
      <c r="AP70" s="14" t="s">
        <v>216</v>
      </c>
      <c r="AQ70" s="123" t="e">
        <f>AO76</f>
        <v>#VALUE!</v>
      </c>
      <c r="AS70" s="269" t="s">
        <v>215</v>
      </c>
      <c r="AT70" s="270"/>
      <c r="AU70" s="118" t="e">
        <f t="shared" si="14"/>
        <v>#VALUE!</v>
      </c>
      <c r="AV70" s="118" t="e">
        <f>AU70^3+AS62*AU70+AT62</f>
        <v>#VALUE!</v>
      </c>
      <c r="AW70" s="118" t="e">
        <f>3*AU70^2+AS62</f>
        <v>#VALUE!</v>
      </c>
      <c r="AX70" s="118" t="e">
        <f t="shared" si="9"/>
        <v>#VALUE!</v>
      </c>
      <c r="AY70" s="14" t="s">
        <v>216</v>
      </c>
      <c r="AZ70" s="123" t="e">
        <f>AX76</f>
        <v>#VALUE!</v>
      </c>
      <c r="BB70" s="269" t="s">
        <v>215</v>
      </c>
      <c r="BC70" s="270"/>
      <c r="BD70" s="118" t="e">
        <f t="shared" si="15"/>
        <v>#VALUE!</v>
      </c>
      <c r="BE70" s="118" t="e">
        <f>BD70^3+BB62*BD70+BC62</f>
        <v>#VALUE!</v>
      </c>
      <c r="BF70" s="118" t="e">
        <f>3*BD70^2+BB62</f>
        <v>#VALUE!</v>
      </c>
      <c r="BG70" s="118" t="e">
        <f t="shared" si="10"/>
        <v>#VALUE!</v>
      </c>
      <c r="BH70" s="14" t="s">
        <v>216</v>
      </c>
      <c r="BI70" s="123" t="e">
        <f>BG76</f>
        <v>#VALUE!</v>
      </c>
      <c r="BK70" s="269" t="s">
        <v>215</v>
      </c>
      <c r="BL70" s="270"/>
      <c r="BM70" s="118" t="e">
        <f t="shared" si="16"/>
        <v>#VALUE!</v>
      </c>
      <c r="BN70" s="118" t="e">
        <f>BM70^3+BK62*BM70+BL62</f>
        <v>#VALUE!</v>
      </c>
      <c r="BO70" s="118" t="e">
        <f>3*BM70^2+BK62</f>
        <v>#VALUE!</v>
      </c>
      <c r="BP70" s="118" t="e">
        <f t="shared" si="11"/>
        <v>#VALUE!</v>
      </c>
      <c r="BQ70" s="14" t="s">
        <v>216</v>
      </c>
      <c r="BR70" s="123" t="e">
        <f>BP76</f>
        <v>#VALUE!</v>
      </c>
      <c r="BT70" s="269" t="s">
        <v>215</v>
      </c>
      <c r="BU70" s="270"/>
      <c r="BV70" s="118" t="e">
        <f t="shared" si="17"/>
        <v>#VALUE!</v>
      </c>
      <c r="BW70" s="118" t="e">
        <f>BV70^3+BT62*BV70+BU62</f>
        <v>#VALUE!</v>
      </c>
      <c r="BX70" s="118" t="e">
        <f>3*BV70^2+BT62</f>
        <v>#VALUE!</v>
      </c>
      <c r="BY70" s="118" t="e">
        <f t="shared" si="12"/>
        <v>#VALUE!</v>
      </c>
      <c r="BZ70" s="14" t="s">
        <v>216</v>
      </c>
      <c r="CA70" s="123" t="e">
        <f>BY76</f>
        <v>#VALUE!</v>
      </c>
    </row>
    <row r="71" spans="10:79" ht="18" hidden="1" customHeight="1" x14ac:dyDescent="0.15">
      <c r="AJ71" s="271" t="e">
        <f>AJ68*AL78*AJ78/AK78</f>
        <v>#VALUE!</v>
      </c>
      <c r="AK71" s="272"/>
      <c r="AL71" s="118" t="e">
        <f t="shared" si="13"/>
        <v>#VALUE!</v>
      </c>
      <c r="AM71" s="118" t="e">
        <f>AL71^3+AJ62*AL71+AK62</f>
        <v>#VALUE!</v>
      </c>
      <c r="AN71" s="118" t="e">
        <f>3*AL71^2+AJ62</f>
        <v>#VALUE!</v>
      </c>
      <c r="AO71" s="118" t="e">
        <f t="shared" si="8"/>
        <v>#VALUE!</v>
      </c>
      <c r="AP71" s="14" t="s">
        <v>217</v>
      </c>
      <c r="AQ71" s="124" t="e">
        <f>AJ78*AM78^2/(8*AO76)</f>
        <v>#VALUE!</v>
      </c>
      <c r="AS71" s="271" t="e">
        <f>AS68*AU78*AS78/AT78</f>
        <v>#VALUE!</v>
      </c>
      <c r="AT71" s="272"/>
      <c r="AU71" s="118" t="e">
        <f t="shared" si="14"/>
        <v>#VALUE!</v>
      </c>
      <c r="AV71" s="118" t="e">
        <f>AU71^3+AS62*AU71+AT62</f>
        <v>#VALUE!</v>
      </c>
      <c r="AW71" s="118" t="e">
        <f>3*AU71^2+AS62</f>
        <v>#VALUE!</v>
      </c>
      <c r="AX71" s="118" t="e">
        <f t="shared" si="9"/>
        <v>#VALUE!</v>
      </c>
      <c r="AY71" s="14" t="s">
        <v>217</v>
      </c>
      <c r="AZ71" s="124" t="e">
        <f>AS78*AV78^2/(8*AX76)</f>
        <v>#VALUE!</v>
      </c>
      <c r="BB71" s="271" t="e">
        <f>BB68*BD78*BB78/BC78</f>
        <v>#VALUE!</v>
      </c>
      <c r="BC71" s="272"/>
      <c r="BD71" s="118" t="e">
        <f t="shared" si="15"/>
        <v>#VALUE!</v>
      </c>
      <c r="BE71" s="118" t="e">
        <f>BD71^3+BB62*BD71+BC62</f>
        <v>#VALUE!</v>
      </c>
      <c r="BF71" s="118" t="e">
        <f>3*BD71^2+BB62</f>
        <v>#VALUE!</v>
      </c>
      <c r="BG71" s="118" t="e">
        <f t="shared" si="10"/>
        <v>#VALUE!</v>
      </c>
      <c r="BH71" s="14" t="s">
        <v>217</v>
      </c>
      <c r="BI71" s="124" t="e">
        <f>BB78*BE78^2/(8*BG76)</f>
        <v>#VALUE!</v>
      </c>
      <c r="BK71" s="271" t="e">
        <f>BK68*BM78*BK78/BL78</f>
        <v>#VALUE!</v>
      </c>
      <c r="BL71" s="272"/>
      <c r="BM71" s="118" t="e">
        <f t="shared" si="16"/>
        <v>#VALUE!</v>
      </c>
      <c r="BN71" s="118" t="e">
        <f>BM71^3+BK62*BM71+BL62</f>
        <v>#VALUE!</v>
      </c>
      <c r="BO71" s="118" t="e">
        <f>3*BM71^2+BK62</f>
        <v>#VALUE!</v>
      </c>
      <c r="BP71" s="118" t="e">
        <f t="shared" si="11"/>
        <v>#VALUE!</v>
      </c>
      <c r="BQ71" s="14" t="s">
        <v>217</v>
      </c>
      <c r="BR71" s="124" t="e">
        <f>BK78*BN78^2/(8*BP76)</f>
        <v>#VALUE!</v>
      </c>
      <c r="BT71" s="271" t="e">
        <f>BT68*BV78*BT78/BU78</f>
        <v>#VALUE!</v>
      </c>
      <c r="BU71" s="272"/>
      <c r="BV71" s="118" t="e">
        <f t="shared" si="17"/>
        <v>#VALUE!</v>
      </c>
      <c r="BW71" s="118" t="e">
        <f>BV71^3+BT62*BV71+BU62</f>
        <v>#VALUE!</v>
      </c>
      <c r="BX71" s="118" t="e">
        <f>3*BV71^2+BT62</f>
        <v>#VALUE!</v>
      </c>
      <c r="BY71" s="118" t="e">
        <f t="shared" si="12"/>
        <v>#VALUE!</v>
      </c>
      <c r="BZ71" s="14" t="s">
        <v>217</v>
      </c>
      <c r="CA71" s="124" t="e">
        <f>BT78*BW78^2/(8*BY76)</f>
        <v>#VALUE!</v>
      </c>
    </row>
    <row r="72" spans="10:79" ht="18" hidden="1" customHeight="1" x14ac:dyDescent="0.15">
      <c r="AJ72" s="125"/>
      <c r="AK72" s="126"/>
      <c r="AL72" s="118" t="e">
        <f t="shared" si="13"/>
        <v>#VALUE!</v>
      </c>
      <c r="AM72" s="118" t="e">
        <f>AL72^3+AJ62*AL72+AK62</f>
        <v>#VALUE!</v>
      </c>
      <c r="AN72" s="118" t="e">
        <f>3*AL72^2+AJ62</f>
        <v>#VALUE!</v>
      </c>
      <c r="AO72" s="118" t="e">
        <f t="shared" si="8"/>
        <v>#VALUE!</v>
      </c>
      <c r="AP72" s="116"/>
      <c r="AQ72" s="117"/>
      <c r="AS72" s="125"/>
      <c r="AT72" s="126"/>
      <c r="AU72" s="118" t="e">
        <f t="shared" si="14"/>
        <v>#VALUE!</v>
      </c>
      <c r="AV72" s="118" t="e">
        <f>AU72^3+AS62*AU72+AT62</f>
        <v>#VALUE!</v>
      </c>
      <c r="AW72" s="118" t="e">
        <f>3*AU72^2+AS62</f>
        <v>#VALUE!</v>
      </c>
      <c r="AX72" s="118" t="e">
        <f t="shared" si="9"/>
        <v>#VALUE!</v>
      </c>
      <c r="AY72" s="116"/>
      <c r="AZ72" s="117"/>
      <c r="BB72" s="125"/>
      <c r="BC72" s="126"/>
      <c r="BD72" s="118" t="e">
        <f t="shared" si="15"/>
        <v>#VALUE!</v>
      </c>
      <c r="BE72" s="118" t="e">
        <f>BD72^3+BB62*BD72+BC62</f>
        <v>#VALUE!</v>
      </c>
      <c r="BF72" s="118" t="e">
        <f>3*BD72^2+BB62</f>
        <v>#VALUE!</v>
      </c>
      <c r="BG72" s="118" t="e">
        <f t="shared" si="10"/>
        <v>#VALUE!</v>
      </c>
      <c r="BH72" s="116"/>
      <c r="BI72" s="117"/>
      <c r="BK72" s="125"/>
      <c r="BL72" s="126"/>
      <c r="BM72" s="118" t="e">
        <f t="shared" si="16"/>
        <v>#VALUE!</v>
      </c>
      <c r="BN72" s="118" t="e">
        <f>BM72^3+BK62*BM72+BL62</f>
        <v>#VALUE!</v>
      </c>
      <c r="BO72" s="118" t="e">
        <f>3*BM72^2+BK62</f>
        <v>#VALUE!</v>
      </c>
      <c r="BP72" s="118" t="e">
        <f t="shared" si="11"/>
        <v>#VALUE!</v>
      </c>
      <c r="BQ72" s="116"/>
      <c r="BR72" s="117"/>
      <c r="BT72" s="125"/>
      <c r="BU72" s="126"/>
      <c r="BV72" s="118" t="e">
        <f t="shared" si="17"/>
        <v>#VALUE!</v>
      </c>
      <c r="BW72" s="118" t="e">
        <f>BV72^3+BT62*BV72+BU62</f>
        <v>#VALUE!</v>
      </c>
      <c r="BX72" s="118" t="e">
        <f>3*BV72^2+BT62</f>
        <v>#VALUE!</v>
      </c>
      <c r="BY72" s="118" t="e">
        <f t="shared" si="12"/>
        <v>#VALUE!</v>
      </c>
      <c r="BZ72" s="116"/>
      <c r="CA72" s="117"/>
    </row>
    <row r="73" spans="10:79" ht="18" hidden="1" customHeight="1" x14ac:dyDescent="0.15">
      <c r="AJ73" s="125"/>
      <c r="AK73" s="126"/>
      <c r="AL73" s="118" t="e">
        <f t="shared" si="13"/>
        <v>#VALUE!</v>
      </c>
      <c r="AM73" s="118" t="e">
        <f>AL73^3+AJ62*AL73+AK62</f>
        <v>#VALUE!</v>
      </c>
      <c r="AN73" s="118" t="e">
        <f>3*AL73^2+AJ62</f>
        <v>#VALUE!</v>
      </c>
      <c r="AO73" s="118" t="e">
        <f t="shared" si="8"/>
        <v>#VALUE!</v>
      </c>
      <c r="AP73" s="112" t="s">
        <v>147</v>
      </c>
      <c r="AQ73" s="113">
        <v>15</v>
      </c>
      <c r="AS73" s="125"/>
      <c r="AT73" s="126"/>
      <c r="AU73" s="118" t="e">
        <f t="shared" si="14"/>
        <v>#VALUE!</v>
      </c>
      <c r="AV73" s="118" t="e">
        <f>AU73^3+AS62*AU73+AT62</f>
        <v>#VALUE!</v>
      </c>
      <c r="AW73" s="118" t="e">
        <f>3*AU73^2+AS62</f>
        <v>#VALUE!</v>
      </c>
      <c r="AX73" s="118" t="e">
        <f t="shared" si="9"/>
        <v>#VALUE!</v>
      </c>
      <c r="AY73" s="112" t="s">
        <v>147</v>
      </c>
      <c r="AZ73" s="113">
        <v>15</v>
      </c>
      <c r="BB73" s="125"/>
      <c r="BC73" s="126"/>
      <c r="BD73" s="118" t="e">
        <f t="shared" si="15"/>
        <v>#VALUE!</v>
      </c>
      <c r="BE73" s="118" t="e">
        <f>BD73^3+BB62*BD73+BC62</f>
        <v>#VALUE!</v>
      </c>
      <c r="BF73" s="118" t="e">
        <f>3*BD73^2+BB62</f>
        <v>#VALUE!</v>
      </c>
      <c r="BG73" s="118" t="e">
        <f t="shared" si="10"/>
        <v>#VALUE!</v>
      </c>
      <c r="BH73" s="112" t="s">
        <v>147</v>
      </c>
      <c r="BI73" s="113">
        <v>15</v>
      </c>
      <c r="BK73" s="125"/>
      <c r="BL73" s="126"/>
      <c r="BM73" s="118" t="e">
        <f t="shared" si="16"/>
        <v>#VALUE!</v>
      </c>
      <c r="BN73" s="118" t="e">
        <f>BM73^3+BK62*BM73+BL62</f>
        <v>#VALUE!</v>
      </c>
      <c r="BO73" s="118" t="e">
        <f>3*BM73^2+BK62</f>
        <v>#VALUE!</v>
      </c>
      <c r="BP73" s="118" t="e">
        <f t="shared" si="11"/>
        <v>#VALUE!</v>
      </c>
      <c r="BQ73" s="112" t="s">
        <v>147</v>
      </c>
      <c r="BR73" s="113">
        <v>15</v>
      </c>
      <c r="BT73" s="125"/>
      <c r="BU73" s="126"/>
      <c r="BV73" s="118" t="e">
        <f t="shared" si="17"/>
        <v>#VALUE!</v>
      </c>
      <c r="BW73" s="118" t="e">
        <f>BV73^3+BT62*BV73+BU62</f>
        <v>#VALUE!</v>
      </c>
      <c r="BX73" s="118" t="e">
        <f>3*BV73^2+BT62</f>
        <v>#VALUE!</v>
      </c>
      <c r="BY73" s="118" t="e">
        <f t="shared" si="12"/>
        <v>#VALUE!</v>
      </c>
      <c r="BZ73" s="112" t="s">
        <v>147</v>
      </c>
      <c r="CA73" s="113">
        <v>15</v>
      </c>
    </row>
    <row r="74" spans="10:79" ht="18" hidden="1" customHeight="1" x14ac:dyDescent="0.15">
      <c r="AJ74" s="125"/>
      <c r="AK74" s="126"/>
      <c r="AL74" s="118" t="e">
        <f t="shared" si="13"/>
        <v>#VALUE!</v>
      </c>
      <c r="AM74" s="118" t="e">
        <f>AL74^3+AJ62*AL74+AK62</f>
        <v>#VALUE!</v>
      </c>
      <c r="AN74" s="118" t="e">
        <f>3*AL74^2+AJ62</f>
        <v>#VALUE!</v>
      </c>
      <c r="AO74" s="118" t="e">
        <f t="shared" si="8"/>
        <v>#VALUE!</v>
      </c>
      <c r="AP74" s="128" t="s">
        <v>218</v>
      </c>
      <c r="AQ74" s="32"/>
      <c r="AS74" s="125"/>
      <c r="AT74" s="126"/>
      <c r="AU74" s="118" t="e">
        <f t="shared" si="14"/>
        <v>#VALUE!</v>
      </c>
      <c r="AV74" s="118" t="e">
        <f>AU74^3+AS62*AU74+AT62</f>
        <v>#VALUE!</v>
      </c>
      <c r="AW74" s="118" t="e">
        <f>3*AU74^2+AS62</f>
        <v>#VALUE!</v>
      </c>
      <c r="AX74" s="118" t="e">
        <f t="shared" si="9"/>
        <v>#VALUE!</v>
      </c>
      <c r="AY74" s="128" t="s">
        <v>219</v>
      </c>
      <c r="AZ74" s="32"/>
      <c r="BB74" s="125"/>
      <c r="BC74" s="126"/>
      <c r="BD74" s="118" t="e">
        <f t="shared" si="15"/>
        <v>#VALUE!</v>
      </c>
      <c r="BE74" s="118" t="e">
        <f>BD74^3+BB62*BD74+BC62</f>
        <v>#VALUE!</v>
      </c>
      <c r="BF74" s="118" t="e">
        <f>3*BD74^2+BB62</f>
        <v>#VALUE!</v>
      </c>
      <c r="BG74" s="118" t="e">
        <f t="shared" si="10"/>
        <v>#VALUE!</v>
      </c>
      <c r="BH74" s="128" t="s">
        <v>220</v>
      </c>
      <c r="BI74" s="32"/>
      <c r="BK74" s="125"/>
      <c r="BL74" s="126"/>
      <c r="BM74" s="118" t="e">
        <f t="shared" si="16"/>
        <v>#VALUE!</v>
      </c>
      <c r="BN74" s="118" t="e">
        <f>BM74^3+BK62*BM74+BL62</f>
        <v>#VALUE!</v>
      </c>
      <c r="BO74" s="118" t="e">
        <f>3*BM74^2+BK62</f>
        <v>#VALUE!</v>
      </c>
      <c r="BP74" s="118" t="e">
        <f t="shared" si="11"/>
        <v>#VALUE!</v>
      </c>
      <c r="BQ74" s="128" t="s">
        <v>221</v>
      </c>
      <c r="BR74" s="32"/>
      <c r="BT74" s="125"/>
      <c r="BU74" s="126"/>
      <c r="BV74" s="118" t="e">
        <f t="shared" si="17"/>
        <v>#VALUE!</v>
      </c>
      <c r="BW74" s="118" t="e">
        <f>BV74^3+BT62*BV74+BU62</f>
        <v>#VALUE!</v>
      </c>
      <c r="BX74" s="118" t="e">
        <f>3*BV74^2+BT62</f>
        <v>#VALUE!</v>
      </c>
      <c r="BY74" s="118" t="e">
        <f t="shared" si="12"/>
        <v>#VALUE!</v>
      </c>
      <c r="BZ74" s="128" t="s">
        <v>222</v>
      </c>
      <c r="CA74" s="32"/>
    </row>
    <row r="75" spans="10:79" ht="18" hidden="1" customHeight="1" x14ac:dyDescent="0.15">
      <c r="AJ75" s="125"/>
      <c r="AK75" s="126"/>
      <c r="AL75" s="18" t="e">
        <f t="shared" si="13"/>
        <v>#VALUE!</v>
      </c>
      <c r="AM75" s="18" t="e">
        <f>AL75^3+AJ62*AL75+AK62</f>
        <v>#VALUE!</v>
      </c>
      <c r="AN75" s="18" t="e">
        <f>3*AL75^2+AJ62</f>
        <v>#VALUE!</v>
      </c>
      <c r="AO75" s="18" t="e">
        <f t="shared" si="8"/>
        <v>#VALUE!</v>
      </c>
      <c r="AP75" s="283" t="str">
        <f>M48</f>
        <v>高温季最悪条件時
15[℃],100[Kg/ｍ2]</v>
      </c>
      <c r="AQ75" s="284"/>
      <c r="AS75" s="125"/>
      <c r="AT75" s="126"/>
      <c r="AU75" s="18" t="e">
        <f t="shared" si="14"/>
        <v>#VALUE!</v>
      </c>
      <c r="AV75" s="18" t="e">
        <f>AU75^3+AS62*AU75+AT62</f>
        <v>#VALUE!</v>
      </c>
      <c r="AW75" s="18" t="e">
        <f>3*AU75^2+AS62</f>
        <v>#VALUE!</v>
      </c>
      <c r="AX75" s="18" t="e">
        <f t="shared" si="9"/>
        <v>#VALUE!</v>
      </c>
      <c r="AY75" s="283" t="str">
        <f>M48</f>
        <v>高温季最悪条件時
15[℃],100[Kg/ｍ2]</v>
      </c>
      <c r="AZ75" s="284"/>
      <c r="BB75" s="125"/>
      <c r="BC75" s="126"/>
      <c r="BD75" s="18" t="e">
        <f t="shared" si="15"/>
        <v>#VALUE!</v>
      </c>
      <c r="BE75" s="18" t="e">
        <f>BD75^3+BB62*BD75+BC62</f>
        <v>#VALUE!</v>
      </c>
      <c r="BF75" s="18" t="e">
        <f>3*BD75^2+BB62</f>
        <v>#VALUE!</v>
      </c>
      <c r="BG75" s="18" t="e">
        <f t="shared" si="10"/>
        <v>#VALUE!</v>
      </c>
      <c r="BH75" s="283" t="str">
        <f>M48</f>
        <v>高温季最悪条件時
15[℃],100[Kg/ｍ2]</v>
      </c>
      <c r="BI75" s="284"/>
      <c r="BK75" s="125"/>
      <c r="BL75" s="126"/>
      <c r="BM75" s="18" t="e">
        <f t="shared" si="16"/>
        <v>#VALUE!</v>
      </c>
      <c r="BN75" s="18" t="e">
        <f>BM75^3+BK62*BM75+BL62</f>
        <v>#VALUE!</v>
      </c>
      <c r="BO75" s="18" t="e">
        <f>3*BM75^2+BK62</f>
        <v>#VALUE!</v>
      </c>
      <c r="BP75" s="18" t="e">
        <f t="shared" si="11"/>
        <v>#VALUE!</v>
      </c>
      <c r="BQ75" s="283" t="str">
        <f>M48</f>
        <v>高温季最悪条件時
15[℃],100[Kg/ｍ2]</v>
      </c>
      <c r="BR75" s="284"/>
      <c r="BT75" s="125"/>
      <c r="BU75" s="126"/>
      <c r="BV75" s="18" t="e">
        <f t="shared" si="17"/>
        <v>#VALUE!</v>
      </c>
      <c r="BW75" s="18" t="e">
        <f>BV75^3+BT62*BV75+BU62</f>
        <v>#VALUE!</v>
      </c>
      <c r="BX75" s="18" t="e">
        <f>3*BV75^2+BT62</f>
        <v>#VALUE!</v>
      </c>
      <c r="BY75" s="18" t="e">
        <f t="shared" si="12"/>
        <v>#VALUE!</v>
      </c>
      <c r="BZ75" s="283" t="str">
        <f>M48</f>
        <v>高温季最悪条件時
15[℃],100[Kg/ｍ2]</v>
      </c>
      <c r="CA75" s="284"/>
    </row>
    <row r="76" spans="10:79" ht="18" hidden="1" customHeight="1" thickBot="1" x14ac:dyDescent="0.2">
      <c r="AJ76" s="125"/>
      <c r="AK76" s="126"/>
      <c r="AL76" s="114" t="e">
        <f t="shared" si="13"/>
        <v>#VALUE!</v>
      </c>
      <c r="AM76" s="115" t="e">
        <f>AL76^3+AJ62*AL76+AK62</f>
        <v>#VALUE!</v>
      </c>
      <c r="AN76" s="115" t="e">
        <f>3*AL76^2+AJ62</f>
        <v>#VALUE!</v>
      </c>
      <c r="AO76" s="115" t="e">
        <f t="shared" si="8"/>
        <v>#VALUE!</v>
      </c>
      <c r="AP76" s="285"/>
      <c r="AQ76" s="286"/>
      <c r="AS76" s="125"/>
      <c r="AT76" s="126"/>
      <c r="AU76" s="114" t="e">
        <f t="shared" si="14"/>
        <v>#VALUE!</v>
      </c>
      <c r="AV76" s="115" t="e">
        <f>AU76^3+AS62*AU76+AT62</f>
        <v>#VALUE!</v>
      </c>
      <c r="AW76" s="115" t="e">
        <f>3*AU76^2+AS62</f>
        <v>#VALUE!</v>
      </c>
      <c r="AX76" s="115" t="e">
        <f t="shared" si="9"/>
        <v>#VALUE!</v>
      </c>
      <c r="AY76" s="285"/>
      <c r="AZ76" s="286"/>
      <c r="BB76" s="125"/>
      <c r="BC76" s="126"/>
      <c r="BD76" s="114" t="e">
        <f t="shared" si="15"/>
        <v>#VALUE!</v>
      </c>
      <c r="BE76" s="115" t="e">
        <f>BD76^3+BB62*BD76+BC62</f>
        <v>#VALUE!</v>
      </c>
      <c r="BF76" s="115" t="e">
        <f>3*BD76^2+BB62</f>
        <v>#VALUE!</v>
      </c>
      <c r="BG76" s="115" t="e">
        <f t="shared" si="10"/>
        <v>#VALUE!</v>
      </c>
      <c r="BH76" s="285"/>
      <c r="BI76" s="286"/>
      <c r="BK76" s="125"/>
      <c r="BL76" s="126"/>
      <c r="BM76" s="114" t="e">
        <f t="shared" si="16"/>
        <v>#VALUE!</v>
      </c>
      <c r="BN76" s="115" t="e">
        <f>BM76^3+BK62*BM76+BL62</f>
        <v>#VALUE!</v>
      </c>
      <c r="BO76" s="115" t="e">
        <f>3*BM76^2+BK62</f>
        <v>#VALUE!</v>
      </c>
      <c r="BP76" s="115" t="e">
        <f t="shared" si="11"/>
        <v>#VALUE!</v>
      </c>
      <c r="BQ76" s="285"/>
      <c r="BR76" s="286"/>
      <c r="BT76" s="125"/>
      <c r="BU76" s="126"/>
      <c r="BV76" s="114" t="e">
        <f t="shared" si="17"/>
        <v>#VALUE!</v>
      </c>
      <c r="BW76" s="115" t="e">
        <f>BV76^3+BT62*BV76+BU62</f>
        <v>#VALUE!</v>
      </c>
      <c r="BX76" s="115" t="e">
        <f>3*BV76^2+BT62</f>
        <v>#VALUE!</v>
      </c>
      <c r="BY76" s="115" t="e">
        <f t="shared" si="12"/>
        <v>#VALUE!</v>
      </c>
      <c r="BZ76" s="285"/>
      <c r="CA76" s="286"/>
    </row>
    <row r="77" spans="10:79" ht="18" hidden="1" customHeight="1" x14ac:dyDescent="0.15">
      <c r="AJ77" s="62" t="s">
        <v>223</v>
      </c>
      <c r="AK77" s="12" t="s">
        <v>224</v>
      </c>
      <c r="AL77" s="12" t="s">
        <v>225</v>
      </c>
      <c r="AM77" s="12" t="s">
        <v>226</v>
      </c>
      <c r="AN77" s="12" t="s">
        <v>227</v>
      </c>
      <c r="AO77" s="63" t="s">
        <v>228</v>
      </c>
      <c r="AP77" s="12" t="s">
        <v>229</v>
      </c>
      <c r="AQ77" s="13" t="s">
        <v>230</v>
      </c>
      <c r="AS77" s="62" t="s">
        <v>223</v>
      </c>
      <c r="AT77" s="12" t="s">
        <v>224</v>
      </c>
      <c r="AU77" s="12" t="s">
        <v>225</v>
      </c>
      <c r="AV77" s="12" t="s">
        <v>226</v>
      </c>
      <c r="AW77" s="12" t="s">
        <v>227</v>
      </c>
      <c r="AX77" s="63" t="s">
        <v>228</v>
      </c>
      <c r="AY77" s="12" t="s">
        <v>229</v>
      </c>
      <c r="AZ77" s="13" t="s">
        <v>230</v>
      </c>
      <c r="BB77" s="62" t="s">
        <v>223</v>
      </c>
      <c r="BC77" s="12" t="s">
        <v>224</v>
      </c>
      <c r="BD77" s="12" t="s">
        <v>225</v>
      </c>
      <c r="BE77" s="12" t="s">
        <v>226</v>
      </c>
      <c r="BF77" s="12" t="s">
        <v>227</v>
      </c>
      <c r="BG77" s="63" t="s">
        <v>228</v>
      </c>
      <c r="BH77" s="12" t="s">
        <v>229</v>
      </c>
      <c r="BI77" s="13" t="s">
        <v>230</v>
      </c>
      <c r="BK77" s="62" t="s">
        <v>223</v>
      </c>
      <c r="BL77" s="12" t="s">
        <v>224</v>
      </c>
      <c r="BM77" s="12" t="s">
        <v>225</v>
      </c>
      <c r="BN77" s="12" t="s">
        <v>226</v>
      </c>
      <c r="BO77" s="12" t="s">
        <v>227</v>
      </c>
      <c r="BP77" s="63" t="s">
        <v>228</v>
      </c>
      <c r="BQ77" s="12" t="s">
        <v>229</v>
      </c>
      <c r="BR77" s="13" t="s">
        <v>230</v>
      </c>
      <c r="BT77" s="62" t="s">
        <v>223</v>
      </c>
      <c r="BU77" s="12" t="s">
        <v>224</v>
      </c>
      <c r="BV77" s="12" t="s">
        <v>225</v>
      </c>
      <c r="BW77" s="12" t="s">
        <v>226</v>
      </c>
      <c r="BX77" s="12" t="s">
        <v>227</v>
      </c>
      <c r="BY77" s="63" t="s">
        <v>228</v>
      </c>
      <c r="BZ77" s="12" t="s">
        <v>229</v>
      </c>
      <c r="CA77" s="13" t="s">
        <v>230</v>
      </c>
    </row>
    <row r="78" spans="10:79" ht="18" hidden="1" customHeight="1" thickBot="1" x14ac:dyDescent="0.2">
      <c r="AJ78" s="107" t="str">
        <f>O23</f>
        <v/>
      </c>
      <c r="AK78" s="108" t="e">
        <f>M23+U23</f>
        <v>#VALUE!</v>
      </c>
      <c r="AL78" s="108">
        <f>IF(C33="",L19*(F19/40)^2,C33)</f>
        <v>0</v>
      </c>
      <c r="AM78" s="108">
        <f>F19</f>
        <v>0</v>
      </c>
      <c r="AN78" s="108" t="e">
        <f>AK78*1600/(8*L19)</f>
        <v>#VALUE!</v>
      </c>
      <c r="AO78" s="109">
        <f>V23</f>
        <v>0</v>
      </c>
      <c r="AP78" s="108" t="str">
        <f>IF(I23="",L23,T23)</f>
        <v/>
      </c>
      <c r="AQ78" s="110">
        <f>W23</f>
        <v>0</v>
      </c>
      <c r="AS78" s="107" t="str">
        <f>IF(B24="使用電線-2",O24,IF(B25="使用電線-2",O25,IF(B26="使用電線-2",O26,IF(B27="使用電線-2",O27,IF(B28="使用電線-2",O28,IF(B29="使用電線-2",O29,""))))))</f>
        <v/>
      </c>
      <c r="AT78" s="108" t="str">
        <f>IF(B24="使用電線-2",M24+U24,IF(B25="使用電線-2",M25+U25,IF(B26="使用電線-2",M26+U26,IF(B27="使用電線-2",M27+U27,IF(B28="使用電線-2",M28+U28,IF(B29="使用電線-2",M29+U29,""))))))</f>
        <v/>
      </c>
      <c r="AU78" s="108">
        <f>IF(I33="",L19*(F19/40)^2,I33)</f>
        <v>0</v>
      </c>
      <c r="AV78" s="108">
        <f>F19</f>
        <v>0</v>
      </c>
      <c r="AW78" s="108" t="e">
        <f>AT78*1600/(8*L19)</f>
        <v>#VALUE!</v>
      </c>
      <c r="AX78" s="109" t="str">
        <f>IF(B24="使用電線-2",V24,IF(B25="使用電線-2",V25,IF(B26="使用電線-2",V26,IF(B27="使用電線-2",V27,IF(B28="使用電線-2",V28,IF(B29="使用電線-2",V29,""))))))</f>
        <v/>
      </c>
      <c r="AY78" s="108" t="str">
        <f>IF(B24="使用電線-2",L24,IF(B25="使用電線-2",L25,IF(B26="使用電線-2",L26,IF(B27="使用電線-2",L27,IF(B28="使用電線-2",L28,IF(B29="使用電線-2",L29,""))))))</f>
        <v/>
      </c>
      <c r="AZ78" s="110" t="str">
        <f>IF(B24="使用電線-2",W24,IF(B25="使用電線-2",W25,IF(B26="使用電線-2",W26,IF(B27="使用電線-2",W27,IF(B28="使用電線-2",W28,IF(B29="使用電線-2",W29,""))))))</f>
        <v/>
      </c>
      <c r="BB78" s="107" t="str">
        <f>IF(B25="使用電線-3",O25,IF(B26="使用電線-3",O26,IF(B27="使用電線-3",O27,IF(B28="使用電線-3",O28,IF(B29="使用電線-3",O29,"")))))</f>
        <v/>
      </c>
      <c r="BC78" s="108" t="str">
        <f>IF(B25="使用電線-3",M25+U25,IF(B26="使用電線-3",M26+U26,IF(B27="使用電線-3",M27+U27,IF(B28="使用電線-3",M28+U28,IF(B29="使用電線-3",M29+U29,"")))))</f>
        <v/>
      </c>
      <c r="BD78" s="108">
        <f>IF(N33="",L19*(F19/40)^2,N33)</f>
        <v>0</v>
      </c>
      <c r="BE78" s="108">
        <f>F19</f>
        <v>0</v>
      </c>
      <c r="BF78" s="108" t="e">
        <f>BC78*1600/(8*L19)</f>
        <v>#VALUE!</v>
      </c>
      <c r="BG78" s="109" t="str">
        <f>IF(B25="使用電線-3",V25,IF(B26="使用電線-3",V26,IF(B27="使用電線-3",V27,IF(B28="使用電線-3",V28,IF(B29="使用電線-3",V29,"")))))</f>
        <v/>
      </c>
      <c r="BH78" s="108" t="str">
        <f>IF(B25="使用電線-3",L25,IF(B26="使用電線-3",L26,IF(B27="使用電線-3",L27,IF(B28="使用電線-3",L28,IF(B29="使用電線-3",L29,"")))))</f>
        <v/>
      </c>
      <c r="BI78" s="110" t="str">
        <f>IF(B25="使用電線-3",W25,IF(B26="使用電線-3",W26,IF(B27="使用電線-3",W27,IF(B28="使用電線-3",W28,IF(B29="使用電線-3",W29,"")))))</f>
        <v/>
      </c>
      <c r="BK78" s="107" t="str">
        <f>IF(B26="使用電線-4",O26,IF(B27="使用電線-4",O27,IF(B28="使用電線-4",O28,IF(B29="使用電線-4",O29,""))))</f>
        <v/>
      </c>
      <c r="BL78" s="108" t="str">
        <f>IF(B26="使用電線-4",M26+U26,IF(B27="使用電線-4",M27+U27,IF(B28="使用電線-4",M28+U28,IF(B29="使用電線-4",M29+U29,""))))</f>
        <v/>
      </c>
      <c r="BM78" s="108">
        <f>IF(C47="",L19*(F19/40)^2,C47)</f>
        <v>0</v>
      </c>
      <c r="BN78" s="108">
        <f>F19</f>
        <v>0</v>
      </c>
      <c r="BO78" s="127" t="e">
        <f>BL78*1600/(8*L19)</f>
        <v>#VALUE!</v>
      </c>
      <c r="BP78" s="109" t="str">
        <f>IF(B26="使用電線-4",V26,IF(B27="使用電線-4",V27,IF(B28="使用電線-4",V28,IF(B29="使用電線-4",V29,""))))</f>
        <v/>
      </c>
      <c r="BQ78" s="108" t="str">
        <f>IF(B26="使用電線-4",L26,IF(B27="使用電線-4",L27,IF(B28="使用電線-4",L28,IF(B29="使用電線-4",L29,""))))</f>
        <v/>
      </c>
      <c r="BR78" s="110" t="str">
        <f>IF(B26="使用電線-4",W26,IF(B27="使用電線-4",W27,IF(B28="使用電線-4",W28,IF(B29="使用電線-4",W29,""))))</f>
        <v/>
      </c>
      <c r="BT78" s="107" t="str">
        <f>IF(B27="使用電線-5",O27,IF(B28="使用電線-5",O28,IF(B29="使用電線-5",O29,"")))</f>
        <v/>
      </c>
      <c r="BU78" s="108" t="str">
        <f>IF(B27="使用電線-5",M27+U27,IF(B28="使用電線-5",M28+U28,IF(B29="使用電線-5",M29+U29,"")))</f>
        <v/>
      </c>
      <c r="BV78" s="108">
        <f>IF(I47="",L19*(F19/40)^2,I47)</f>
        <v>0</v>
      </c>
      <c r="BW78" s="108">
        <f>F19</f>
        <v>0</v>
      </c>
      <c r="BX78" s="127" t="e">
        <f>BU78*1600/(8*L19)</f>
        <v>#VALUE!</v>
      </c>
      <c r="BY78" s="109" t="str">
        <f>IF(B27="使用電線-5",V27,IF(B28="使用電線-5",V28,IF(B29="使用電線-5",V29,"")))</f>
        <v/>
      </c>
      <c r="BZ78" s="108" t="str">
        <f>IF(B27="使用電線-5",L27,IF(B28="使用電線-5",L28,IF(B29="使用電線-5",L29,"")))</f>
        <v/>
      </c>
      <c r="CA78" s="110" t="str">
        <f>IF(B27="使用電線-5",W27,IF(B28="使用電線-5",W28,IF(B29="使用電線-5",W29,"")))</f>
        <v/>
      </c>
    </row>
    <row r="79" spans="10:79" ht="18" hidden="1" customHeight="1" x14ac:dyDescent="0.15">
      <c r="AH79" s="1" t="s">
        <v>231</v>
      </c>
    </row>
    <row r="80" spans="10:79" ht="18" hidden="1" customHeight="1" thickBot="1" x14ac:dyDescent="0.2"/>
    <row r="81" spans="36:79" ht="18" hidden="1" customHeight="1" x14ac:dyDescent="0.15">
      <c r="AJ81" s="2" t="s">
        <v>232</v>
      </c>
      <c r="AK81" s="111" t="s">
        <v>233</v>
      </c>
      <c r="AL81" s="12" t="s">
        <v>234</v>
      </c>
      <c r="AM81" s="12" t="s">
        <v>235</v>
      </c>
      <c r="AN81" s="12" t="s">
        <v>236</v>
      </c>
      <c r="AO81" s="12" t="s">
        <v>237</v>
      </c>
      <c r="AP81" s="12" t="s">
        <v>238</v>
      </c>
      <c r="AQ81" s="13" t="s">
        <v>239</v>
      </c>
      <c r="AS81" s="2" t="s">
        <v>232</v>
      </c>
      <c r="AT81" s="111" t="s">
        <v>233</v>
      </c>
      <c r="AU81" s="12" t="s">
        <v>234</v>
      </c>
      <c r="AV81" s="12" t="s">
        <v>235</v>
      </c>
      <c r="AW81" s="12" t="s">
        <v>236</v>
      </c>
      <c r="AX81" s="12" t="s">
        <v>237</v>
      </c>
      <c r="AY81" s="12" t="s">
        <v>238</v>
      </c>
      <c r="AZ81" s="13" t="s">
        <v>239</v>
      </c>
      <c r="BB81" s="2" t="s">
        <v>232</v>
      </c>
      <c r="BC81" s="111" t="s">
        <v>233</v>
      </c>
      <c r="BD81" s="12" t="s">
        <v>234</v>
      </c>
      <c r="BE81" s="12" t="s">
        <v>235</v>
      </c>
      <c r="BF81" s="12" t="s">
        <v>236</v>
      </c>
      <c r="BG81" s="12" t="s">
        <v>237</v>
      </c>
      <c r="BH81" s="12" t="s">
        <v>238</v>
      </c>
      <c r="BI81" s="13" t="s">
        <v>239</v>
      </c>
      <c r="BK81" s="2" t="s">
        <v>232</v>
      </c>
      <c r="BL81" s="111" t="s">
        <v>233</v>
      </c>
      <c r="BM81" s="12" t="s">
        <v>234</v>
      </c>
      <c r="BN81" s="12" t="s">
        <v>235</v>
      </c>
      <c r="BO81" s="12" t="s">
        <v>236</v>
      </c>
      <c r="BP81" s="12" t="s">
        <v>237</v>
      </c>
      <c r="BQ81" s="12" t="s">
        <v>238</v>
      </c>
      <c r="BR81" s="13" t="s">
        <v>239</v>
      </c>
      <c r="BT81" s="2" t="s">
        <v>232</v>
      </c>
      <c r="BU81" s="111" t="s">
        <v>233</v>
      </c>
      <c r="BV81" s="12" t="s">
        <v>234</v>
      </c>
      <c r="BW81" s="12" t="s">
        <v>235</v>
      </c>
      <c r="BX81" s="12" t="s">
        <v>236</v>
      </c>
      <c r="BY81" s="12" t="s">
        <v>237</v>
      </c>
      <c r="BZ81" s="12" t="s">
        <v>238</v>
      </c>
      <c r="CA81" s="13" t="s">
        <v>239</v>
      </c>
    </row>
    <row r="82" spans="36:79" ht="18" hidden="1" customHeight="1" x14ac:dyDescent="0.15">
      <c r="AJ82" s="16" t="e">
        <f>-AJ85+AJ88</f>
        <v>#VALUE!</v>
      </c>
      <c r="AK82" s="17" t="e">
        <f>-AJ91</f>
        <v>#VALUE!</v>
      </c>
      <c r="AL82" s="18" t="e">
        <f>IF(AND(AP85&lt;0,AQ85&lt;0),AQ82*1.2,IF(AND(AP85&gt;0,AQ85&gt;0),AP82*0.8,10))</f>
        <v>#VALUE!</v>
      </c>
      <c r="AM82" s="18" t="e">
        <f>AL82^3+AJ82*AL82+AK82</f>
        <v>#VALUE!</v>
      </c>
      <c r="AN82" s="18" t="e">
        <f>3*AL82^2+AJ82</f>
        <v>#VALUE!</v>
      </c>
      <c r="AO82" s="18" t="e">
        <f t="shared" ref="AO82:AO96" si="18">AL82-AM82/AN82</f>
        <v>#VALUE!</v>
      </c>
      <c r="AP82" s="18" t="e">
        <f>-SQRT(ABS(-4*3*AJ82))/6</f>
        <v>#VALUE!</v>
      </c>
      <c r="AQ82" s="19" t="e">
        <f>SQRT(ABS(-4*3*AJ82))/6</f>
        <v>#VALUE!</v>
      </c>
      <c r="AS82" s="16" t="e">
        <f>-AS85+AS88</f>
        <v>#VALUE!</v>
      </c>
      <c r="AT82" s="17" t="e">
        <f>-AS91</f>
        <v>#VALUE!</v>
      </c>
      <c r="AU82" s="18" t="e">
        <f>IF(AND(AY85&lt;0,AZ85&lt;0),AZ82*1.2,IF(AND(AY85&gt;0,AZ85&gt;0),AY82*0.8,10))</f>
        <v>#VALUE!</v>
      </c>
      <c r="AV82" s="18" t="e">
        <f>AU82^3+AS82*AU82+AT82</f>
        <v>#VALUE!</v>
      </c>
      <c r="AW82" s="18" t="e">
        <f>3*AU82^2+AS82</f>
        <v>#VALUE!</v>
      </c>
      <c r="AX82" s="18" t="e">
        <f t="shared" ref="AX82:AX96" si="19">AU82-AV82/AW82</f>
        <v>#VALUE!</v>
      </c>
      <c r="AY82" s="18" t="e">
        <f>-SQRT(ABS(-4*3*AS82))/6</f>
        <v>#VALUE!</v>
      </c>
      <c r="AZ82" s="19" t="e">
        <f>SQRT(ABS(-4*3*AS82))/6</f>
        <v>#VALUE!</v>
      </c>
      <c r="BB82" s="16" t="e">
        <f>-BB85+BB88</f>
        <v>#VALUE!</v>
      </c>
      <c r="BC82" s="17" t="e">
        <f>-BB91</f>
        <v>#VALUE!</v>
      </c>
      <c r="BD82" s="18" t="e">
        <f>IF(AND(BH85&lt;0,BI85&lt;0),BI82*1.2,IF(AND(BH85&gt;0,BI85&gt;0),BH82*0.8,10))</f>
        <v>#VALUE!</v>
      </c>
      <c r="BE82" s="18" t="e">
        <f>BD82^3+BB82*BD82+BC82</f>
        <v>#VALUE!</v>
      </c>
      <c r="BF82" s="18" t="e">
        <f>3*BD82^2+BB82</f>
        <v>#VALUE!</v>
      </c>
      <c r="BG82" s="18" t="e">
        <f t="shared" ref="BG82:BG96" si="20">BD82-BE82/BF82</f>
        <v>#VALUE!</v>
      </c>
      <c r="BH82" s="18" t="e">
        <f>-SQRT(ABS(-4*3*BB82))/6</f>
        <v>#VALUE!</v>
      </c>
      <c r="BI82" s="19" t="e">
        <f>SQRT(ABS(-4*3*BB82))/6</f>
        <v>#VALUE!</v>
      </c>
      <c r="BK82" s="16" t="e">
        <f>-BK85+BK88</f>
        <v>#VALUE!</v>
      </c>
      <c r="BL82" s="17" t="e">
        <f>-BK91</f>
        <v>#VALUE!</v>
      </c>
      <c r="BM82" s="18" t="e">
        <f>IF(AND(BQ85&lt;0,BR85&lt;0),BR82*1.2,IF(AND(BQ85&gt;0,BR85&gt;0),BQ82*0.8,10))</f>
        <v>#VALUE!</v>
      </c>
      <c r="BN82" s="18" t="e">
        <f>BM82^3+BK82*BM82+BL82</f>
        <v>#VALUE!</v>
      </c>
      <c r="BO82" s="18" t="e">
        <f>3*BM82^2+BK82</f>
        <v>#VALUE!</v>
      </c>
      <c r="BP82" s="18" t="e">
        <f t="shared" ref="BP82:BP96" si="21">BM82-BN82/BO82</f>
        <v>#VALUE!</v>
      </c>
      <c r="BQ82" s="18" t="e">
        <f>-SQRT(ABS(-4*3*BK82))/6</f>
        <v>#VALUE!</v>
      </c>
      <c r="BR82" s="19" t="e">
        <f>SQRT(ABS(-4*3*BK82))/6</f>
        <v>#VALUE!</v>
      </c>
      <c r="BT82" s="16" t="e">
        <f>-BT85+BT88</f>
        <v>#VALUE!</v>
      </c>
      <c r="BU82" s="17" t="e">
        <f>-BT91</f>
        <v>#VALUE!</v>
      </c>
      <c r="BV82" s="18" t="e">
        <f>IF(AND(BZ85&lt;0,CA85&lt;0),CA82*1.2,IF(AND(BZ85&gt;0,CA85&gt;0),BZ82*0.8,10))</f>
        <v>#VALUE!</v>
      </c>
      <c r="BW82" s="18" t="e">
        <f>BV82^3+BT82*BV82+BU82</f>
        <v>#VALUE!</v>
      </c>
      <c r="BX82" s="18" t="e">
        <f>3*BV82^2+BT82</f>
        <v>#VALUE!</v>
      </c>
      <c r="BY82" s="18" t="e">
        <f t="shared" ref="BY82:BY96" si="22">BV82-BW82/BX82</f>
        <v>#VALUE!</v>
      </c>
      <c r="BZ82" s="18" t="e">
        <f>-SQRT(ABS(-4*3*BT82))/6</f>
        <v>#VALUE!</v>
      </c>
      <c r="CA82" s="19" t="e">
        <f>SQRT(ABS(-4*3*BT82))/6</f>
        <v>#VALUE!</v>
      </c>
    </row>
    <row r="83" spans="36:79" ht="18" hidden="1" customHeight="1" x14ac:dyDescent="0.15">
      <c r="AJ83" s="267"/>
      <c r="AK83" s="268"/>
      <c r="AL83" s="18" t="e">
        <f t="shared" ref="AL83:AL96" si="23">AO82</f>
        <v>#VALUE!</v>
      </c>
      <c r="AM83" s="18" t="e">
        <f>AL83^3+AJ82*AL83+AK82</f>
        <v>#VALUE!</v>
      </c>
      <c r="AN83" s="18" t="e">
        <f>3*AL83^2+AJ82</f>
        <v>#VALUE!</v>
      </c>
      <c r="AO83" s="18" t="e">
        <f t="shared" si="18"/>
        <v>#VALUE!</v>
      </c>
      <c r="AP83" s="6"/>
      <c r="AQ83" s="7"/>
      <c r="AS83" s="267"/>
      <c r="AT83" s="268"/>
      <c r="AU83" s="18" t="e">
        <f t="shared" ref="AU83:AU96" si="24">AX82</f>
        <v>#VALUE!</v>
      </c>
      <c r="AV83" s="18" t="e">
        <f>AU83^3+AS82*AU83+AT82</f>
        <v>#VALUE!</v>
      </c>
      <c r="AW83" s="18" t="e">
        <f>3*AU83^2+AS82</f>
        <v>#VALUE!</v>
      </c>
      <c r="AX83" s="18" t="e">
        <f t="shared" si="19"/>
        <v>#VALUE!</v>
      </c>
      <c r="AY83" s="6"/>
      <c r="AZ83" s="7"/>
      <c r="BB83" s="267"/>
      <c r="BC83" s="268"/>
      <c r="BD83" s="18" t="e">
        <f t="shared" ref="BD83:BD96" si="25">BG82</f>
        <v>#VALUE!</v>
      </c>
      <c r="BE83" s="18" t="e">
        <f>BD83^3+BB82*BD83+BC82</f>
        <v>#VALUE!</v>
      </c>
      <c r="BF83" s="18" t="e">
        <f>3*BD83^2+BB82</f>
        <v>#VALUE!</v>
      </c>
      <c r="BG83" s="18" t="e">
        <f t="shared" si="20"/>
        <v>#VALUE!</v>
      </c>
      <c r="BH83" s="6"/>
      <c r="BI83" s="7"/>
      <c r="BK83" s="267"/>
      <c r="BL83" s="268"/>
      <c r="BM83" s="18" t="e">
        <f t="shared" ref="BM83:BM96" si="26">BP82</f>
        <v>#VALUE!</v>
      </c>
      <c r="BN83" s="18" t="e">
        <f>BM83^3+BK82*BM83+BL82</f>
        <v>#VALUE!</v>
      </c>
      <c r="BO83" s="18" t="e">
        <f>3*BM83^2+BK82</f>
        <v>#VALUE!</v>
      </c>
      <c r="BP83" s="18" t="e">
        <f t="shared" si="21"/>
        <v>#VALUE!</v>
      </c>
      <c r="BQ83" s="6"/>
      <c r="BR83" s="7"/>
      <c r="BT83" s="267"/>
      <c r="BU83" s="268"/>
      <c r="BV83" s="18" t="e">
        <f t="shared" ref="BV83:BV96" si="27">BY82</f>
        <v>#VALUE!</v>
      </c>
      <c r="BW83" s="18" t="e">
        <f>BV83^3+BT82*BV83+BU82</f>
        <v>#VALUE!</v>
      </c>
      <c r="BX83" s="18" t="e">
        <f>3*BV83^2+BT82</f>
        <v>#VALUE!</v>
      </c>
      <c r="BY83" s="18" t="e">
        <f t="shared" si="22"/>
        <v>#VALUE!</v>
      </c>
      <c r="BZ83" s="6"/>
      <c r="CA83" s="7"/>
    </row>
    <row r="84" spans="36:79" ht="18" hidden="1" customHeight="1" x14ac:dyDescent="0.15">
      <c r="AJ84" s="269" t="s">
        <v>240</v>
      </c>
      <c r="AK84" s="270"/>
      <c r="AL84" s="18" t="e">
        <f t="shared" si="23"/>
        <v>#VALUE!</v>
      </c>
      <c r="AM84" s="18" t="e">
        <f>AL84^3+AJ82*AL84+AK82</f>
        <v>#VALUE!</v>
      </c>
      <c r="AN84" s="18" t="e">
        <f>3*AL84^2+AJ82</f>
        <v>#VALUE!</v>
      </c>
      <c r="AO84" s="18" t="e">
        <f t="shared" si="18"/>
        <v>#VALUE!</v>
      </c>
      <c r="AP84" s="14" t="s">
        <v>241</v>
      </c>
      <c r="AQ84" s="15" t="s">
        <v>242</v>
      </c>
      <c r="AS84" s="269" t="s">
        <v>240</v>
      </c>
      <c r="AT84" s="270"/>
      <c r="AU84" s="18" t="e">
        <f t="shared" si="24"/>
        <v>#VALUE!</v>
      </c>
      <c r="AV84" s="18" t="e">
        <f>AU84^3+AS82*AU84+AT82</f>
        <v>#VALUE!</v>
      </c>
      <c r="AW84" s="18" t="e">
        <f>3*AU84^2+AS82</f>
        <v>#VALUE!</v>
      </c>
      <c r="AX84" s="18" t="e">
        <f t="shared" si="19"/>
        <v>#VALUE!</v>
      </c>
      <c r="AY84" s="14" t="s">
        <v>241</v>
      </c>
      <c r="AZ84" s="15" t="s">
        <v>242</v>
      </c>
      <c r="BB84" s="269" t="s">
        <v>240</v>
      </c>
      <c r="BC84" s="270"/>
      <c r="BD84" s="18" t="e">
        <f t="shared" si="25"/>
        <v>#VALUE!</v>
      </c>
      <c r="BE84" s="18" t="e">
        <f>BD84^3+BB82*BD84+BC82</f>
        <v>#VALUE!</v>
      </c>
      <c r="BF84" s="18" t="e">
        <f>3*BD84^2+BB82</f>
        <v>#VALUE!</v>
      </c>
      <c r="BG84" s="18" t="e">
        <f t="shared" si="20"/>
        <v>#VALUE!</v>
      </c>
      <c r="BH84" s="14" t="s">
        <v>241</v>
      </c>
      <c r="BI84" s="15" t="s">
        <v>242</v>
      </c>
      <c r="BK84" s="269" t="s">
        <v>240</v>
      </c>
      <c r="BL84" s="270"/>
      <c r="BM84" s="18" t="e">
        <f t="shared" si="26"/>
        <v>#VALUE!</v>
      </c>
      <c r="BN84" s="18" t="e">
        <f>BM84^3+BK82*BM84+BL82</f>
        <v>#VALUE!</v>
      </c>
      <c r="BO84" s="18" t="e">
        <f>3*BM84^2+BK82</f>
        <v>#VALUE!</v>
      </c>
      <c r="BP84" s="18" t="e">
        <f t="shared" si="21"/>
        <v>#VALUE!</v>
      </c>
      <c r="BQ84" s="14" t="s">
        <v>241</v>
      </c>
      <c r="BR84" s="15" t="s">
        <v>242</v>
      </c>
      <c r="BT84" s="269" t="s">
        <v>240</v>
      </c>
      <c r="BU84" s="270"/>
      <c r="BV84" s="18" t="e">
        <f t="shared" si="27"/>
        <v>#VALUE!</v>
      </c>
      <c r="BW84" s="18" t="e">
        <f>BV84^3+BT82*BV84+BU82</f>
        <v>#VALUE!</v>
      </c>
      <c r="BX84" s="18" t="e">
        <f>3*BV84^2+BT82</f>
        <v>#VALUE!</v>
      </c>
      <c r="BY84" s="18" t="e">
        <f t="shared" si="22"/>
        <v>#VALUE!</v>
      </c>
      <c r="BZ84" s="14" t="s">
        <v>241</v>
      </c>
      <c r="CA84" s="15" t="s">
        <v>242</v>
      </c>
    </row>
    <row r="85" spans="36:79" ht="18" hidden="1" customHeight="1" x14ac:dyDescent="0.15">
      <c r="AJ85" s="269">
        <f>(AL98^2)+3*(AM98^2)*AQ98*(AQ93-15)/(8*10^7)</f>
        <v>0</v>
      </c>
      <c r="AK85" s="270"/>
      <c r="AL85" s="18" t="e">
        <f t="shared" si="23"/>
        <v>#VALUE!</v>
      </c>
      <c r="AM85" s="18" t="e">
        <f>AL85^3+AJ82*AL85+AK82</f>
        <v>#VALUE!</v>
      </c>
      <c r="AN85" s="18" t="e">
        <f>3*AL85^2+AJ82</f>
        <v>#VALUE!</v>
      </c>
      <c r="AO85" s="18" t="e">
        <f t="shared" si="18"/>
        <v>#VALUE!</v>
      </c>
      <c r="AP85" s="18" t="e">
        <f>AP82^3+AJ82*AP82+AK82</f>
        <v>#VALUE!</v>
      </c>
      <c r="AQ85" s="19" t="e">
        <f>AQ82^3+AJ82*AQ82+AK82</f>
        <v>#VALUE!</v>
      </c>
      <c r="AS85" s="269" t="e">
        <f>(AU98^2)+3*(AV98^2)*AZ98*(AZ93-15)/(8*10^7)</f>
        <v>#VALUE!</v>
      </c>
      <c r="AT85" s="270"/>
      <c r="AU85" s="18" t="e">
        <f t="shared" si="24"/>
        <v>#VALUE!</v>
      </c>
      <c r="AV85" s="18" t="e">
        <f>AU85^3+AS82*AU85+AT82</f>
        <v>#VALUE!</v>
      </c>
      <c r="AW85" s="18" t="e">
        <f>3*AU85^2+AS82</f>
        <v>#VALUE!</v>
      </c>
      <c r="AX85" s="18" t="e">
        <f t="shared" si="19"/>
        <v>#VALUE!</v>
      </c>
      <c r="AY85" s="18" t="e">
        <f>AY82^3+AS82*AY82+AT82</f>
        <v>#VALUE!</v>
      </c>
      <c r="AZ85" s="19" t="e">
        <f>AZ82^3+AS82*AZ82+AT82</f>
        <v>#VALUE!</v>
      </c>
      <c r="BB85" s="269" t="e">
        <f>(BD98^2)+3*(BE98^2)*BI98*(BI93-15)/(8*10^7)</f>
        <v>#VALUE!</v>
      </c>
      <c r="BC85" s="270"/>
      <c r="BD85" s="18" t="e">
        <f t="shared" si="25"/>
        <v>#VALUE!</v>
      </c>
      <c r="BE85" s="18" t="e">
        <f>BD85^3+BB82*BD85+BC82</f>
        <v>#VALUE!</v>
      </c>
      <c r="BF85" s="18" t="e">
        <f>3*BD85^2+BB82</f>
        <v>#VALUE!</v>
      </c>
      <c r="BG85" s="18" t="e">
        <f t="shared" si="20"/>
        <v>#VALUE!</v>
      </c>
      <c r="BH85" s="18" t="e">
        <f>BH82^3+BB82*BH82+BC82</f>
        <v>#VALUE!</v>
      </c>
      <c r="BI85" s="19" t="e">
        <f>BI82^3+BB82*BI82+BC82</f>
        <v>#VALUE!</v>
      </c>
      <c r="BK85" s="269" t="e">
        <f>(BM98^2)+3*(BN98^2)*BR98*(BR93-15)/(8*10^7)</f>
        <v>#VALUE!</v>
      </c>
      <c r="BL85" s="270"/>
      <c r="BM85" s="18" t="e">
        <f t="shared" si="26"/>
        <v>#VALUE!</v>
      </c>
      <c r="BN85" s="18" t="e">
        <f>BM85^3+BK82*BM85+BL82</f>
        <v>#VALUE!</v>
      </c>
      <c r="BO85" s="18" t="e">
        <f>3*BM85^2+BK82</f>
        <v>#VALUE!</v>
      </c>
      <c r="BP85" s="18" t="e">
        <f t="shared" si="21"/>
        <v>#VALUE!</v>
      </c>
      <c r="BQ85" s="18" t="e">
        <f>BQ82^3+BK82*BQ82+BL82</f>
        <v>#VALUE!</v>
      </c>
      <c r="BR85" s="19" t="e">
        <f>BR82^3+BK82*BR82+BL82</f>
        <v>#VALUE!</v>
      </c>
      <c r="BT85" s="269" t="e">
        <f>(BV98^2)+3*(BW98^2)*CA98*(CA93-15)/(8*10^7)</f>
        <v>#VALUE!</v>
      </c>
      <c r="BU85" s="270"/>
      <c r="BV85" s="18" t="e">
        <f t="shared" si="27"/>
        <v>#VALUE!</v>
      </c>
      <c r="BW85" s="18" t="e">
        <f>BV85^3+BT82*BV85+BU82</f>
        <v>#VALUE!</v>
      </c>
      <c r="BX85" s="18" t="e">
        <f>3*BV85^2+BT82</f>
        <v>#VALUE!</v>
      </c>
      <c r="BY85" s="18" t="e">
        <f t="shared" si="22"/>
        <v>#VALUE!</v>
      </c>
      <c r="BZ85" s="18" t="e">
        <f>BZ82^3+BT82*BZ82+BU82</f>
        <v>#VALUE!</v>
      </c>
      <c r="CA85" s="19" t="e">
        <f>CA82^3+BT82*CA82+BU82</f>
        <v>#VALUE!</v>
      </c>
    </row>
    <row r="86" spans="36:79" ht="18" hidden="1" customHeight="1" x14ac:dyDescent="0.15">
      <c r="AJ86" s="267"/>
      <c r="AK86" s="268"/>
      <c r="AL86" s="18" t="e">
        <f t="shared" si="23"/>
        <v>#VALUE!</v>
      </c>
      <c r="AM86" s="18" t="e">
        <f>AL86^3+AJ82*AL86+AK82</f>
        <v>#VALUE!</v>
      </c>
      <c r="AN86" s="18" t="e">
        <f>3*AL86^2+AJ82</f>
        <v>#VALUE!</v>
      </c>
      <c r="AO86" s="18" t="e">
        <f t="shared" si="18"/>
        <v>#VALUE!</v>
      </c>
      <c r="AP86" s="31"/>
      <c r="AQ86" s="32"/>
      <c r="AS86" s="267"/>
      <c r="AT86" s="268"/>
      <c r="AU86" s="18" t="e">
        <f t="shared" si="24"/>
        <v>#VALUE!</v>
      </c>
      <c r="AV86" s="18" t="e">
        <f>AU86^3+AS82*AU86+AT82</f>
        <v>#VALUE!</v>
      </c>
      <c r="AW86" s="18" t="e">
        <f>3*AU86^2+AS82</f>
        <v>#VALUE!</v>
      </c>
      <c r="AX86" s="18" t="e">
        <f t="shared" si="19"/>
        <v>#VALUE!</v>
      </c>
      <c r="AY86" s="31"/>
      <c r="AZ86" s="32"/>
      <c r="BB86" s="267"/>
      <c r="BC86" s="268"/>
      <c r="BD86" s="18" t="e">
        <f t="shared" si="25"/>
        <v>#VALUE!</v>
      </c>
      <c r="BE86" s="18" t="e">
        <f>BD86^3+BB82*BD86+BC82</f>
        <v>#VALUE!</v>
      </c>
      <c r="BF86" s="18" t="e">
        <f>3*BD86^2+BB82</f>
        <v>#VALUE!</v>
      </c>
      <c r="BG86" s="18" t="e">
        <f t="shared" si="20"/>
        <v>#VALUE!</v>
      </c>
      <c r="BH86" s="31"/>
      <c r="BI86" s="32"/>
      <c r="BK86" s="267"/>
      <c r="BL86" s="268"/>
      <c r="BM86" s="18" t="e">
        <f t="shared" si="26"/>
        <v>#VALUE!</v>
      </c>
      <c r="BN86" s="18" t="e">
        <f>BM86^3+BK82*BM86+BL82</f>
        <v>#VALUE!</v>
      </c>
      <c r="BO86" s="18" t="e">
        <f>3*BM86^2+BK82</f>
        <v>#VALUE!</v>
      </c>
      <c r="BP86" s="18" t="e">
        <f t="shared" si="21"/>
        <v>#VALUE!</v>
      </c>
      <c r="BQ86" s="31"/>
      <c r="BR86" s="32"/>
      <c r="BT86" s="267"/>
      <c r="BU86" s="268"/>
      <c r="BV86" s="18" t="e">
        <f t="shared" si="27"/>
        <v>#VALUE!</v>
      </c>
      <c r="BW86" s="18" t="e">
        <f>BV86^3+BT82*BV86+BU82</f>
        <v>#VALUE!</v>
      </c>
      <c r="BX86" s="18" t="e">
        <f>3*BV86^2+BT82</f>
        <v>#VALUE!</v>
      </c>
      <c r="BY86" s="18" t="e">
        <f t="shared" si="22"/>
        <v>#VALUE!</v>
      </c>
      <c r="BZ86" s="31"/>
      <c r="CA86" s="32"/>
    </row>
    <row r="87" spans="36:79" ht="18" hidden="1" customHeight="1" x14ac:dyDescent="0.15">
      <c r="AJ87" s="269" t="s">
        <v>243</v>
      </c>
      <c r="AK87" s="270"/>
      <c r="AL87" s="18" t="e">
        <f t="shared" si="23"/>
        <v>#VALUE!</v>
      </c>
      <c r="AM87" s="18" t="e">
        <f>AL87^3+AJ82*AL87+AK82</f>
        <v>#VALUE!</v>
      </c>
      <c r="AN87" s="18" t="e">
        <f>3*AL87^2+AJ82</f>
        <v>#VALUE!</v>
      </c>
      <c r="AO87" s="18" t="e">
        <f t="shared" si="18"/>
        <v>#VALUE!</v>
      </c>
      <c r="AP87" s="31"/>
      <c r="AQ87" s="32"/>
      <c r="AS87" s="269" t="s">
        <v>243</v>
      </c>
      <c r="AT87" s="270"/>
      <c r="AU87" s="18" t="e">
        <f t="shared" si="24"/>
        <v>#VALUE!</v>
      </c>
      <c r="AV87" s="18" t="e">
        <f>AU87^3+AS82*AU87+AT82</f>
        <v>#VALUE!</v>
      </c>
      <c r="AW87" s="18" t="e">
        <f>3*AU87^2+AS82</f>
        <v>#VALUE!</v>
      </c>
      <c r="AX87" s="18" t="e">
        <f t="shared" si="19"/>
        <v>#VALUE!</v>
      </c>
      <c r="AY87" s="31"/>
      <c r="AZ87" s="32"/>
      <c r="BB87" s="269" t="s">
        <v>243</v>
      </c>
      <c r="BC87" s="270"/>
      <c r="BD87" s="18" t="e">
        <f t="shared" si="25"/>
        <v>#VALUE!</v>
      </c>
      <c r="BE87" s="18" t="e">
        <f>BD87^3+BB82*BD87+BC82</f>
        <v>#VALUE!</v>
      </c>
      <c r="BF87" s="18" t="e">
        <f>3*BD87^2+BB82</f>
        <v>#VALUE!</v>
      </c>
      <c r="BG87" s="18" t="e">
        <f t="shared" si="20"/>
        <v>#VALUE!</v>
      </c>
      <c r="BH87" s="31"/>
      <c r="BI87" s="32"/>
      <c r="BK87" s="269" t="s">
        <v>243</v>
      </c>
      <c r="BL87" s="270"/>
      <c r="BM87" s="18" t="e">
        <f t="shared" si="26"/>
        <v>#VALUE!</v>
      </c>
      <c r="BN87" s="18" t="e">
        <f>BM87^3+BK82*BM87+BL82</f>
        <v>#VALUE!</v>
      </c>
      <c r="BO87" s="18" t="e">
        <f>3*BM87^2+BK82</f>
        <v>#VALUE!</v>
      </c>
      <c r="BP87" s="18" t="e">
        <f t="shared" si="21"/>
        <v>#VALUE!</v>
      </c>
      <c r="BQ87" s="31"/>
      <c r="BR87" s="32"/>
      <c r="BT87" s="269" t="s">
        <v>243</v>
      </c>
      <c r="BU87" s="270"/>
      <c r="BV87" s="18" t="e">
        <f t="shared" si="27"/>
        <v>#VALUE!</v>
      </c>
      <c r="BW87" s="18" t="e">
        <f>BV87^3+BT82*BV87+BU82</f>
        <v>#VALUE!</v>
      </c>
      <c r="BX87" s="18" t="e">
        <f>3*BV87^2+BT82</f>
        <v>#VALUE!</v>
      </c>
      <c r="BY87" s="18" t="e">
        <f t="shared" si="22"/>
        <v>#VALUE!</v>
      </c>
      <c r="BZ87" s="31"/>
      <c r="CA87" s="32"/>
    </row>
    <row r="88" spans="36:79" ht="18" hidden="1" customHeight="1" x14ac:dyDescent="0.15">
      <c r="AJ88" s="277" t="e">
        <f>3*(AM98^2)*AN98/(8*AO98*AP98)</f>
        <v>#VALUE!</v>
      </c>
      <c r="AK88" s="278"/>
      <c r="AL88" s="118" t="e">
        <f t="shared" si="23"/>
        <v>#VALUE!</v>
      </c>
      <c r="AM88" s="118" t="e">
        <f>AL88^3+AJ82*AL88+AK82</f>
        <v>#VALUE!</v>
      </c>
      <c r="AN88" s="118" t="e">
        <f>3*AL88^2+AJ82</f>
        <v>#VALUE!</v>
      </c>
      <c r="AO88" s="118" t="e">
        <f t="shared" si="18"/>
        <v>#VALUE!</v>
      </c>
      <c r="AP88" s="116"/>
      <c r="AQ88" s="117"/>
      <c r="AS88" s="277" t="e">
        <f>3*(AV98^2)*AW98/(8*AX98*AY98)</f>
        <v>#VALUE!</v>
      </c>
      <c r="AT88" s="278"/>
      <c r="AU88" s="118" t="e">
        <f t="shared" si="24"/>
        <v>#VALUE!</v>
      </c>
      <c r="AV88" s="118" t="e">
        <f>AU88^3+AS82*AU88+AT82</f>
        <v>#VALUE!</v>
      </c>
      <c r="AW88" s="118" t="e">
        <f>3*AU88^2+AS82</f>
        <v>#VALUE!</v>
      </c>
      <c r="AX88" s="118" t="e">
        <f t="shared" si="19"/>
        <v>#VALUE!</v>
      </c>
      <c r="AY88" s="116"/>
      <c r="AZ88" s="117"/>
      <c r="BB88" s="277" t="e">
        <f>3*(BE98^2)*BF98/(8*BG98*BH98)</f>
        <v>#VALUE!</v>
      </c>
      <c r="BC88" s="278"/>
      <c r="BD88" s="118" t="e">
        <f t="shared" si="25"/>
        <v>#VALUE!</v>
      </c>
      <c r="BE88" s="118" t="e">
        <f>BD88^3+BB82*BD88+BC82</f>
        <v>#VALUE!</v>
      </c>
      <c r="BF88" s="118" t="e">
        <f>3*BD88^2+BB82</f>
        <v>#VALUE!</v>
      </c>
      <c r="BG88" s="118" t="e">
        <f t="shared" si="20"/>
        <v>#VALUE!</v>
      </c>
      <c r="BH88" s="116"/>
      <c r="BI88" s="117"/>
      <c r="BK88" s="277" t="e">
        <f>3*(BN98^2)*BO98/(8*BP98*BQ98)</f>
        <v>#VALUE!</v>
      </c>
      <c r="BL88" s="278"/>
      <c r="BM88" s="118" t="e">
        <f t="shared" si="26"/>
        <v>#VALUE!</v>
      </c>
      <c r="BN88" s="118" t="e">
        <f>BM88^3+BK82*BM88+BL82</f>
        <v>#VALUE!</v>
      </c>
      <c r="BO88" s="118" t="e">
        <f>3*BM88^2+BK82</f>
        <v>#VALUE!</v>
      </c>
      <c r="BP88" s="118" t="e">
        <f t="shared" si="21"/>
        <v>#VALUE!</v>
      </c>
      <c r="BQ88" s="116"/>
      <c r="BR88" s="117"/>
      <c r="BT88" s="277" t="e">
        <f>3*(BW98^2)*BX98/(8*BY98*BZ98)</f>
        <v>#VALUE!</v>
      </c>
      <c r="BU88" s="278"/>
      <c r="BV88" s="118" t="e">
        <f t="shared" si="27"/>
        <v>#VALUE!</v>
      </c>
      <c r="BW88" s="118" t="e">
        <f>BV88^3+BT82*BV88+BU82</f>
        <v>#VALUE!</v>
      </c>
      <c r="BX88" s="118" t="e">
        <f>3*BV88^2+BT82</f>
        <v>#VALUE!</v>
      </c>
      <c r="BY88" s="118" t="e">
        <f t="shared" si="22"/>
        <v>#VALUE!</v>
      </c>
      <c r="BZ88" s="116"/>
      <c r="CA88" s="117"/>
    </row>
    <row r="89" spans="36:79" ht="18" hidden="1" customHeight="1" x14ac:dyDescent="0.15">
      <c r="AJ89" s="121"/>
      <c r="AK89" s="122"/>
      <c r="AL89" s="118" t="e">
        <f t="shared" si="23"/>
        <v>#VALUE!</v>
      </c>
      <c r="AM89" s="118" t="e">
        <f>AL89^3+AJ82*AL89+AK82</f>
        <v>#VALUE!</v>
      </c>
      <c r="AN89" s="118" t="e">
        <f>3*AL89^2+AJ82</f>
        <v>#VALUE!</v>
      </c>
      <c r="AO89" s="118" t="e">
        <f t="shared" si="18"/>
        <v>#VALUE!</v>
      </c>
      <c r="AP89" s="119"/>
      <c r="AQ89" s="120"/>
      <c r="AS89" s="121"/>
      <c r="AT89" s="122"/>
      <c r="AU89" s="118" t="e">
        <f t="shared" si="24"/>
        <v>#VALUE!</v>
      </c>
      <c r="AV89" s="118" t="e">
        <f>AU89^3+AS82*AU89+AT82</f>
        <v>#VALUE!</v>
      </c>
      <c r="AW89" s="118" t="e">
        <f>3*AU89^2+AS82</f>
        <v>#VALUE!</v>
      </c>
      <c r="AX89" s="118" t="e">
        <f t="shared" si="19"/>
        <v>#VALUE!</v>
      </c>
      <c r="AY89" s="119"/>
      <c r="AZ89" s="120"/>
      <c r="BB89" s="121"/>
      <c r="BC89" s="122"/>
      <c r="BD89" s="118" t="e">
        <f t="shared" si="25"/>
        <v>#VALUE!</v>
      </c>
      <c r="BE89" s="118" t="e">
        <f>BD89^3+BB82*BD89+BC82</f>
        <v>#VALUE!</v>
      </c>
      <c r="BF89" s="118" t="e">
        <f>3*BD89^2+BB82</f>
        <v>#VALUE!</v>
      </c>
      <c r="BG89" s="118" t="e">
        <f t="shared" si="20"/>
        <v>#VALUE!</v>
      </c>
      <c r="BH89" s="119"/>
      <c r="BI89" s="120"/>
      <c r="BK89" s="121"/>
      <c r="BL89" s="122"/>
      <c r="BM89" s="118" t="e">
        <f t="shared" si="26"/>
        <v>#VALUE!</v>
      </c>
      <c r="BN89" s="118" t="e">
        <f>BM89^3+BK82*BM89+BL82</f>
        <v>#VALUE!</v>
      </c>
      <c r="BO89" s="118" t="e">
        <f>3*BM89^2+BK82</f>
        <v>#VALUE!</v>
      </c>
      <c r="BP89" s="118" t="e">
        <f t="shared" si="21"/>
        <v>#VALUE!</v>
      </c>
      <c r="BQ89" s="119"/>
      <c r="BR89" s="120"/>
      <c r="BT89" s="121"/>
      <c r="BU89" s="122"/>
      <c r="BV89" s="118" t="e">
        <f t="shared" si="27"/>
        <v>#VALUE!</v>
      </c>
      <c r="BW89" s="118" t="e">
        <f>BV89^3+BT82*BV89+BU82</f>
        <v>#VALUE!</v>
      </c>
      <c r="BX89" s="118" t="e">
        <f>3*BV89^2+BT82</f>
        <v>#VALUE!</v>
      </c>
      <c r="BY89" s="118" t="e">
        <f t="shared" si="22"/>
        <v>#VALUE!</v>
      </c>
      <c r="BZ89" s="119"/>
      <c r="CA89" s="120"/>
    </row>
    <row r="90" spans="36:79" ht="18" hidden="1" customHeight="1" x14ac:dyDescent="0.15">
      <c r="AJ90" s="269" t="s">
        <v>244</v>
      </c>
      <c r="AK90" s="270"/>
      <c r="AL90" s="118" t="e">
        <f t="shared" si="23"/>
        <v>#VALUE!</v>
      </c>
      <c r="AM90" s="118" t="e">
        <f>AL90^3+AJ82*AL90+AK82</f>
        <v>#VALUE!</v>
      </c>
      <c r="AN90" s="118" t="e">
        <f>3*AL90^2+AJ82</f>
        <v>#VALUE!</v>
      </c>
      <c r="AO90" s="118" t="e">
        <f t="shared" si="18"/>
        <v>#VALUE!</v>
      </c>
      <c r="AP90" s="14" t="s">
        <v>245</v>
      </c>
      <c r="AQ90" s="123" t="e">
        <f>AO96</f>
        <v>#VALUE!</v>
      </c>
      <c r="AS90" s="269" t="s">
        <v>244</v>
      </c>
      <c r="AT90" s="270"/>
      <c r="AU90" s="118" t="e">
        <f t="shared" si="24"/>
        <v>#VALUE!</v>
      </c>
      <c r="AV90" s="118" t="e">
        <f>AU90^3+AS82*AU90+AT82</f>
        <v>#VALUE!</v>
      </c>
      <c r="AW90" s="118" t="e">
        <f>3*AU90^2+AS82</f>
        <v>#VALUE!</v>
      </c>
      <c r="AX90" s="118" t="e">
        <f t="shared" si="19"/>
        <v>#VALUE!</v>
      </c>
      <c r="AY90" s="14" t="s">
        <v>245</v>
      </c>
      <c r="AZ90" s="123" t="e">
        <f>AX96</f>
        <v>#VALUE!</v>
      </c>
      <c r="BB90" s="269" t="s">
        <v>244</v>
      </c>
      <c r="BC90" s="270"/>
      <c r="BD90" s="118" t="e">
        <f t="shared" si="25"/>
        <v>#VALUE!</v>
      </c>
      <c r="BE90" s="118" t="e">
        <f>BD90^3+BB82*BD90+BC82</f>
        <v>#VALUE!</v>
      </c>
      <c r="BF90" s="118" t="e">
        <f>3*BD90^2+BB82</f>
        <v>#VALUE!</v>
      </c>
      <c r="BG90" s="118" t="e">
        <f t="shared" si="20"/>
        <v>#VALUE!</v>
      </c>
      <c r="BH90" s="14" t="s">
        <v>245</v>
      </c>
      <c r="BI90" s="123" t="e">
        <f>BG96</f>
        <v>#VALUE!</v>
      </c>
      <c r="BK90" s="269" t="s">
        <v>244</v>
      </c>
      <c r="BL90" s="270"/>
      <c r="BM90" s="118" t="e">
        <f t="shared" si="26"/>
        <v>#VALUE!</v>
      </c>
      <c r="BN90" s="118" t="e">
        <f>BM90^3+BK82*BM90+BL82</f>
        <v>#VALUE!</v>
      </c>
      <c r="BO90" s="118" t="e">
        <f>3*BM90^2+BK82</f>
        <v>#VALUE!</v>
      </c>
      <c r="BP90" s="118" t="e">
        <f t="shared" si="21"/>
        <v>#VALUE!</v>
      </c>
      <c r="BQ90" s="14" t="s">
        <v>245</v>
      </c>
      <c r="BR90" s="123" t="e">
        <f>BP96</f>
        <v>#VALUE!</v>
      </c>
      <c r="BT90" s="269" t="s">
        <v>244</v>
      </c>
      <c r="BU90" s="270"/>
      <c r="BV90" s="118" t="e">
        <f t="shared" si="27"/>
        <v>#VALUE!</v>
      </c>
      <c r="BW90" s="118" t="e">
        <f>BV90^3+BT82*BV90+BU82</f>
        <v>#VALUE!</v>
      </c>
      <c r="BX90" s="118" t="e">
        <f>3*BV90^2+BT82</f>
        <v>#VALUE!</v>
      </c>
      <c r="BY90" s="118" t="e">
        <f t="shared" si="22"/>
        <v>#VALUE!</v>
      </c>
      <c r="BZ90" s="14" t="s">
        <v>245</v>
      </c>
      <c r="CA90" s="123" t="e">
        <f>BY96</f>
        <v>#VALUE!</v>
      </c>
    </row>
    <row r="91" spans="36:79" ht="18" hidden="1" customHeight="1" x14ac:dyDescent="0.15">
      <c r="AJ91" s="271" t="e">
        <f>AJ88*AL98*AJ98/AK98</f>
        <v>#VALUE!</v>
      </c>
      <c r="AK91" s="272"/>
      <c r="AL91" s="118" t="e">
        <f t="shared" si="23"/>
        <v>#VALUE!</v>
      </c>
      <c r="AM91" s="118" t="e">
        <f>AL91^3+AJ82*AL91+AK82</f>
        <v>#VALUE!</v>
      </c>
      <c r="AN91" s="118" t="e">
        <f>3*AL91^2+AJ82</f>
        <v>#VALUE!</v>
      </c>
      <c r="AO91" s="118" t="e">
        <f t="shared" si="18"/>
        <v>#VALUE!</v>
      </c>
      <c r="AP91" s="14" t="s">
        <v>246</v>
      </c>
      <c r="AQ91" s="124" t="e">
        <f>AJ98*AM98^2/(8*AO96)</f>
        <v>#VALUE!</v>
      </c>
      <c r="AS91" s="271" t="e">
        <f>AS88*AU98*AS98/AT98</f>
        <v>#VALUE!</v>
      </c>
      <c r="AT91" s="272"/>
      <c r="AU91" s="118" t="e">
        <f t="shared" si="24"/>
        <v>#VALUE!</v>
      </c>
      <c r="AV91" s="118" t="e">
        <f>AU91^3+AS82*AU91+AT82</f>
        <v>#VALUE!</v>
      </c>
      <c r="AW91" s="118" t="e">
        <f>3*AU91^2+AS82</f>
        <v>#VALUE!</v>
      </c>
      <c r="AX91" s="118" t="e">
        <f t="shared" si="19"/>
        <v>#VALUE!</v>
      </c>
      <c r="AY91" s="14" t="s">
        <v>246</v>
      </c>
      <c r="AZ91" s="124" t="e">
        <f>AS98*AV98^2/(8*AX96)</f>
        <v>#VALUE!</v>
      </c>
      <c r="BB91" s="271" t="e">
        <f>BB88*BD98*BB98/BC98</f>
        <v>#VALUE!</v>
      </c>
      <c r="BC91" s="272"/>
      <c r="BD91" s="118" t="e">
        <f t="shared" si="25"/>
        <v>#VALUE!</v>
      </c>
      <c r="BE91" s="118" t="e">
        <f>BD91^3+BB82*BD91+BC82</f>
        <v>#VALUE!</v>
      </c>
      <c r="BF91" s="118" t="e">
        <f>3*BD91^2+BB82</f>
        <v>#VALUE!</v>
      </c>
      <c r="BG91" s="118" t="e">
        <f t="shared" si="20"/>
        <v>#VALUE!</v>
      </c>
      <c r="BH91" s="14" t="s">
        <v>246</v>
      </c>
      <c r="BI91" s="124" t="e">
        <f>BB98*BE98^2/(8*BG96)</f>
        <v>#VALUE!</v>
      </c>
      <c r="BK91" s="271" t="e">
        <f>BK88*BM98*BK98/BL98</f>
        <v>#VALUE!</v>
      </c>
      <c r="BL91" s="272"/>
      <c r="BM91" s="118" t="e">
        <f t="shared" si="26"/>
        <v>#VALUE!</v>
      </c>
      <c r="BN91" s="118" t="e">
        <f>BM91^3+BK82*BM91+BL82</f>
        <v>#VALUE!</v>
      </c>
      <c r="BO91" s="118" t="e">
        <f>3*BM91^2+BK82</f>
        <v>#VALUE!</v>
      </c>
      <c r="BP91" s="118" t="e">
        <f t="shared" si="21"/>
        <v>#VALUE!</v>
      </c>
      <c r="BQ91" s="14" t="s">
        <v>246</v>
      </c>
      <c r="BR91" s="124" t="e">
        <f>BK98*BN98^2/(8*BP96)</f>
        <v>#VALUE!</v>
      </c>
      <c r="BT91" s="271" t="e">
        <f>BT88*BV98*BT98/BU98</f>
        <v>#VALUE!</v>
      </c>
      <c r="BU91" s="272"/>
      <c r="BV91" s="118" t="e">
        <f t="shared" si="27"/>
        <v>#VALUE!</v>
      </c>
      <c r="BW91" s="118" t="e">
        <f>BV91^3+BT82*BV91+BU82</f>
        <v>#VALUE!</v>
      </c>
      <c r="BX91" s="118" t="e">
        <f>3*BV91^2+BT82</f>
        <v>#VALUE!</v>
      </c>
      <c r="BY91" s="118" t="e">
        <f t="shared" si="22"/>
        <v>#VALUE!</v>
      </c>
      <c r="BZ91" s="14" t="s">
        <v>246</v>
      </c>
      <c r="CA91" s="124" t="e">
        <f>BT98*BW98^2/(8*BY96)</f>
        <v>#VALUE!</v>
      </c>
    </row>
    <row r="92" spans="36:79" ht="18" hidden="1" customHeight="1" x14ac:dyDescent="0.15">
      <c r="AJ92" s="125"/>
      <c r="AK92" s="126"/>
      <c r="AL92" s="118" t="e">
        <f t="shared" si="23"/>
        <v>#VALUE!</v>
      </c>
      <c r="AM92" s="118" t="e">
        <f>AL92^3+AJ82*AL92+AK82</f>
        <v>#VALUE!</v>
      </c>
      <c r="AN92" s="118" t="e">
        <f>3*AL92^2+AJ82</f>
        <v>#VALUE!</v>
      </c>
      <c r="AO92" s="118" t="e">
        <f t="shared" si="18"/>
        <v>#VALUE!</v>
      </c>
      <c r="AP92" s="116"/>
      <c r="AQ92" s="117"/>
      <c r="AS92" s="125"/>
      <c r="AT92" s="126"/>
      <c r="AU92" s="118" t="e">
        <f t="shared" si="24"/>
        <v>#VALUE!</v>
      </c>
      <c r="AV92" s="118" t="e">
        <f>AU92^3+AS82*AU92+AT82</f>
        <v>#VALUE!</v>
      </c>
      <c r="AW92" s="118" t="e">
        <f>3*AU92^2+AS82</f>
        <v>#VALUE!</v>
      </c>
      <c r="AX92" s="118" t="e">
        <f t="shared" si="19"/>
        <v>#VALUE!</v>
      </c>
      <c r="AY92" s="116"/>
      <c r="AZ92" s="117"/>
      <c r="BB92" s="125"/>
      <c r="BC92" s="126"/>
      <c r="BD92" s="118" t="e">
        <f t="shared" si="25"/>
        <v>#VALUE!</v>
      </c>
      <c r="BE92" s="118" t="e">
        <f>BD92^3+BB82*BD92+BC82</f>
        <v>#VALUE!</v>
      </c>
      <c r="BF92" s="118" t="e">
        <f>3*BD92^2+BB82</f>
        <v>#VALUE!</v>
      </c>
      <c r="BG92" s="118" t="e">
        <f t="shared" si="20"/>
        <v>#VALUE!</v>
      </c>
      <c r="BH92" s="116"/>
      <c r="BI92" s="117"/>
      <c r="BK92" s="125"/>
      <c r="BL92" s="126"/>
      <c r="BM92" s="118" t="e">
        <f t="shared" si="26"/>
        <v>#VALUE!</v>
      </c>
      <c r="BN92" s="118" t="e">
        <f>BM92^3+BK82*BM92+BL82</f>
        <v>#VALUE!</v>
      </c>
      <c r="BO92" s="118" t="e">
        <f>3*BM92^2+BK82</f>
        <v>#VALUE!</v>
      </c>
      <c r="BP92" s="118" t="e">
        <f t="shared" si="21"/>
        <v>#VALUE!</v>
      </c>
      <c r="BQ92" s="116"/>
      <c r="BR92" s="117"/>
      <c r="BT92" s="125"/>
      <c r="BU92" s="126"/>
      <c r="BV92" s="118" t="e">
        <f t="shared" si="27"/>
        <v>#VALUE!</v>
      </c>
      <c r="BW92" s="118" t="e">
        <f>BV92^3+BT82*BV92+BU82</f>
        <v>#VALUE!</v>
      </c>
      <c r="BX92" s="118" t="e">
        <f>3*BV92^2+BT82</f>
        <v>#VALUE!</v>
      </c>
      <c r="BY92" s="118" t="e">
        <f t="shared" si="22"/>
        <v>#VALUE!</v>
      </c>
      <c r="BZ92" s="116"/>
      <c r="CA92" s="117"/>
    </row>
    <row r="93" spans="36:79" ht="18" hidden="1" customHeight="1" x14ac:dyDescent="0.15">
      <c r="AJ93" s="125"/>
      <c r="AK93" s="126"/>
      <c r="AL93" s="118" t="e">
        <f t="shared" si="23"/>
        <v>#VALUE!</v>
      </c>
      <c r="AM93" s="118" t="e">
        <f>AL93^3+AJ82*AL93+AK82</f>
        <v>#VALUE!</v>
      </c>
      <c r="AN93" s="118" t="e">
        <f>3*AL93^2+AJ82</f>
        <v>#VALUE!</v>
      </c>
      <c r="AO93" s="118" t="e">
        <f t="shared" si="18"/>
        <v>#VALUE!</v>
      </c>
      <c r="AP93" s="112" t="s">
        <v>147</v>
      </c>
      <c r="AQ93" s="113">
        <v>-15</v>
      </c>
      <c r="AS93" s="125"/>
      <c r="AT93" s="126"/>
      <c r="AU93" s="118" t="e">
        <f t="shared" si="24"/>
        <v>#VALUE!</v>
      </c>
      <c r="AV93" s="118" t="e">
        <f>AU93^3+AS82*AU93+AT82</f>
        <v>#VALUE!</v>
      </c>
      <c r="AW93" s="118" t="e">
        <f>3*AU93^2+AS82</f>
        <v>#VALUE!</v>
      </c>
      <c r="AX93" s="118" t="e">
        <f t="shared" si="19"/>
        <v>#VALUE!</v>
      </c>
      <c r="AY93" s="112" t="s">
        <v>147</v>
      </c>
      <c r="AZ93" s="113">
        <v>-15</v>
      </c>
      <c r="BB93" s="125"/>
      <c r="BC93" s="126"/>
      <c r="BD93" s="118" t="e">
        <f t="shared" si="25"/>
        <v>#VALUE!</v>
      </c>
      <c r="BE93" s="118" t="e">
        <f>BD93^3+BB82*BD93+BC82</f>
        <v>#VALUE!</v>
      </c>
      <c r="BF93" s="118" t="e">
        <f>3*BD93^2+BB82</f>
        <v>#VALUE!</v>
      </c>
      <c r="BG93" s="118" t="e">
        <f t="shared" si="20"/>
        <v>#VALUE!</v>
      </c>
      <c r="BH93" s="112" t="s">
        <v>147</v>
      </c>
      <c r="BI93" s="113">
        <v>-15</v>
      </c>
      <c r="BK93" s="125"/>
      <c r="BL93" s="126"/>
      <c r="BM93" s="118" t="e">
        <f t="shared" si="26"/>
        <v>#VALUE!</v>
      </c>
      <c r="BN93" s="118" t="e">
        <f>BM93^3+BK82*BM93+BL82</f>
        <v>#VALUE!</v>
      </c>
      <c r="BO93" s="118" t="e">
        <f>3*BM93^2+BK82</f>
        <v>#VALUE!</v>
      </c>
      <c r="BP93" s="118" t="e">
        <f t="shared" si="21"/>
        <v>#VALUE!</v>
      </c>
      <c r="BQ93" s="112" t="s">
        <v>147</v>
      </c>
      <c r="BR93" s="113">
        <v>-15</v>
      </c>
      <c r="BT93" s="125"/>
      <c r="BU93" s="126"/>
      <c r="BV93" s="118" t="e">
        <f t="shared" si="27"/>
        <v>#VALUE!</v>
      </c>
      <c r="BW93" s="118" t="e">
        <f>BV93^3+BT82*BV93+BU82</f>
        <v>#VALUE!</v>
      </c>
      <c r="BX93" s="118" t="e">
        <f>3*BV93^2+BT82</f>
        <v>#VALUE!</v>
      </c>
      <c r="BY93" s="118" t="e">
        <f t="shared" si="22"/>
        <v>#VALUE!</v>
      </c>
      <c r="BZ93" s="112" t="s">
        <v>147</v>
      </c>
      <c r="CA93" s="113">
        <v>-15</v>
      </c>
    </row>
    <row r="94" spans="36:79" ht="18" hidden="1" customHeight="1" x14ac:dyDescent="0.15">
      <c r="AJ94" s="125"/>
      <c r="AK94" s="126"/>
      <c r="AL94" s="118" t="e">
        <f t="shared" si="23"/>
        <v>#VALUE!</v>
      </c>
      <c r="AM94" s="118" t="e">
        <f>AL94^3+AJ82*AL94+AK82</f>
        <v>#VALUE!</v>
      </c>
      <c r="AN94" s="118" t="e">
        <f>3*AL94^2+AJ82</f>
        <v>#VALUE!</v>
      </c>
      <c r="AO94" s="118" t="e">
        <f t="shared" si="18"/>
        <v>#VALUE!</v>
      </c>
      <c r="AP94" s="128" t="s">
        <v>218</v>
      </c>
      <c r="AQ94" s="32"/>
      <c r="AS94" s="125"/>
      <c r="AT94" s="126"/>
      <c r="AU94" s="118" t="e">
        <f t="shared" si="24"/>
        <v>#VALUE!</v>
      </c>
      <c r="AV94" s="118" t="e">
        <f>AU94^3+AS82*AU94+AT82</f>
        <v>#VALUE!</v>
      </c>
      <c r="AW94" s="118" t="e">
        <f>3*AU94^2+AS82</f>
        <v>#VALUE!</v>
      </c>
      <c r="AX94" s="118" t="e">
        <f t="shared" si="19"/>
        <v>#VALUE!</v>
      </c>
      <c r="AY94" s="128" t="s">
        <v>219</v>
      </c>
      <c r="AZ94" s="32"/>
      <c r="BB94" s="125"/>
      <c r="BC94" s="126"/>
      <c r="BD94" s="118" t="e">
        <f t="shared" si="25"/>
        <v>#VALUE!</v>
      </c>
      <c r="BE94" s="118" t="e">
        <f>BD94^3+BB82*BD94+BC82</f>
        <v>#VALUE!</v>
      </c>
      <c r="BF94" s="118" t="e">
        <f>3*BD94^2+BB82</f>
        <v>#VALUE!</v>
      </c>
      <c r="BG94" s="118" t="e">
        <f t="shared" si="20"/>
        <v>#VALUE!</v>
      </c>
      <c r="BH94" s="128" t="s">
        <v>220</v>
      </c>
      <c r="BI94" s="32"/>
      <c r="BK94" s="125"/>
      <c r="BL94" s="126"/>
      <c r="BM94" s="118" t="e">
        <f t="shared" si="26"/>
        <v>#VALUE!</v>
      </c>
      <c r="BN94" s="118" t="e">
        <f>BM94^3+BK82*BM94+BL82</f>
        <v>#VALUE!</v>
      </c>
      <c r="BO94" s="118" t="e">
        <f>3*BM94^2+BK82</f>
        <v>#VALUE!</v>
      </c>
      <c r="BP94" s="118" t="e">
        <f t="shared" si="21"/>
        <v>#VALUE!</v>
      </c>
      <c r="BQ94" s="128" t="s">
        <v>221</v>
      </c>
      <c r="BR94" s="32"/>
      <c r="BT94" s="125"/>
      <c r="BU94" s="126"/>
      <c r="BV94" s="118" t="e">
        <f t="shared" si="27"/>
        <v>#VALUE!</v>
      </c>
      <c r="BW94" s="118" t="e">
        <f>BV94^3+BT82*BV94+BU82</f>
        <v>#VALUE!</v>
      </c>
      <c r="BX94" s="118" t="e">
        <f>3*BV94^2+BT82</f>
        <v>#VALUE!</v>
      </c>
      <c r="BY94" s="118" t="e">
        <f t="shared" si="22"/>
        <v>#VALUE!</v>
      </c>
      <c r="BZ94" s="128" t="s">
        <v>222</v>
      </c>
      <c r="CA94" s="32"/>
    </row>
    <row r="95" spans="36:79" ht="18" hidden="1" customHeight="1" x14ac:dyDescent="0.15">
      <c r="AJ95" s="125"/>
      <c r="AK95" s="126"/>
      <c r="AL95" s="18" t="e">
        <f t="shared" si="23"/>
        <v>#VALUE!</v>
      </c>
      <c r="AM95" s="18" t="e">
        <f>AL95^3+AJ82*AL95+AK82</f>
        <v>#VALUE!</v>
      </c>
      <c r="AN95" s="18" t="e">
        <f>3*AL95^2+AJ82</f>
        <v>#VALUE!</v>
      </c>
      <c r="AO95" s="18" t="e">
        <f t="shared" si="18"/>
        <v>#VALUE!</v>
      </c>
      <c r="AP95" s="283" t="str">
        <f>M50</f>
        <v>無 着 氷 雪 時
-15[℃],50[Kg/ｍ2]</v>
      </c>
      <c r="AQ95" s="284"/>
      <c r="AS95" s="125"/>
      <c r="AT95" s="126"/>
      <c r="AU95" s="18" t="e">
        <f t="shared" si="24"/>
        <v>#VALUE!</v>
      </c>
      <c r="AV95" s="18" t="e">
        <f>AU95^3+AS82*AU95+AT82</f>
        <v>#VALUE!</v>
      </c>
      <c r="AW95" s="18" t="e">
        <f>3*AU95^2+AS82</f>
        <v>#VALUE!</v>
      </c>
      <c r="AX95" s="18" t="e">
        <f t="shared" si="19"/>
        <v>#VALUE!</v>
      </c>
      <c r="AY95" s="283" t="str">
        <f>M50</f>
        <v>無 着 氷 雪 時
-15[℃],50[Kg/ｍ2]</v>
      </c>
      <c r="AZ95" s="284"/>
      <c r="BB95" s="125"/>
      <c r="BC95" s="126"/>
      <c r="BD95" s="18" t="e">
        <f t="shared" si="25"/>
        <v>#VALUE!</v>
      </c>
      <c r="BE95" s="18" t="e">
        <f>BD95^3+BB82*BD95+BC82</f>
        <v>#VALUE!</v>
      </c>
      <c r="BF95" s="18" t="e">
        <f>3*BD95^2+BB82</f>
        <v>#VALUE!</v>
      </c>
      <c r="BG95" s="18" t="e">
        <f t="shared" si="20"/>
        <v>#VALUE!</v>
      </c>
      <c r="BH95" s="283" t="str">
        <f>M50</f>
        <v>無 着 氷 雪 時
-15[℃],50[Kg/ｍ2]</v>
      </c>
      <c r="BI95" s="284"/>
      <c r="BK95" s="125"/>
      <c r="BL95" s="126"/>
      <c r="BM95" s="18" t="e">
        <f t="shared" si="26"/>
        <v>#VALUE!</v>
      </c>
      <c r="BN95" s="18" t="e">
        <f>BM95^3+BK82*BM95+BL82</f>
        <v>#VALUE!</v>
      </c>
      <c r="BO95" s="18" t="e">
        <f>3*BM95^2+BK82</f>
        <v>#VALUE!</v>
      </c>
      <c r="BP95" s="18" t="e">
        <f t="shared" si="21"/>
        <v>#VALUE!</v>
      </c>
      <c r="BQ95" s="283" t="str">
        <f>M50</f>
        <v>無 着 氷 雪 時
-15[℃],50[Kg/ｍ2]</v>
      </c>
      <c r="BR95" s="284"/>
      <c r="BT95" s="125"/>
      <c r="BU95" s="126"/>
      <c r="BV95" s="18" t="e">
        <f t="shared" si="27"/>
        <v>#VALUE!</v>
      </c>
      <c r="BW95" s="18" t="e">
        <f>BV95^3+BT82*BV95+BU82</f>
        <v>#VALUE!</v>
      </c>
      <c r="BX95" s="18" t="e">
        <f>3*BV95^2+BT82</f>
        <v>#VALUE!</v>
      </c>
      <c r="BY95" s="18" t="e">
        <f t="shared" si="22"/>
        <v>#VALUE!</v>
      </c>
      <c r="BZ95" s="283" t="str">
        <f>M50</f>
        <v>無 着 氷 雪 時
-15[℃],50[Kg/ｍ2]</v>
      </c>
      <c r="CA95" s="284"/>
    </row>
    <row r="96" spans="36:79" ht="18" hidden="1" customHeight="1" thickBot="1" x14ac:dyDescent="0.2">
      <c r="AJ96" s="125"/>
      <c r="AK96" s="126"/>
      <c r="AL96" s="114" t="e">
        <f t="shared" si="23"/>
        <v>#VALUE!</v>
      </c>
      <c r="AM96" s="115" t="e">
        <f>AL96^3+AJ82*AL96+AK82</f>
        <v>#VALUE!</v>
      </c>
      <c r="AN96" s="115" t="e">
        <f>3*AL96^2+AJ82</f>
        <v>#VALUE!</v>
      </c>
      <c r="AO96" s="115" t="e">
        <f t="shared" si="18"/>
        <v>#VALUE!</v>
      </c>
      <c r="AP96" s="285"/>
      <c r="AQ96" s="286"/>
      <c r="AS96" s="125"/>
      <c r="AT96" s="126"/>
      <c r="AU96" s="114" t="e">
        <f t="shared" si="24"/>
        <v>#VALUE!</v>
      </c>
      <c r="AV96" s="115" t="e">
        <f>AU96^3+AS82*AU96+AT82</f>
        <v>#VALUE!</v>
      </c>
      <c r="AW96" s="115" t="e">
        <f>3*AU96^2+AS82</f>
        <v>#VALUE!</v>
      </c>
      <c r="AX96" s="115" t="e">
        <f t="shared" si="19"/>
        <v>#VALUE!</v>
      </c>
      <c r="AY96" s="285"/>
      <c r="AZ96" s="286"/>
      <c r="BB96" s="125"/>
      <c r="BC96" s="126"/>
      <c r="BD96" s="114" t="e">
        <f t="shared" si="25"/>
        <v>#VALUE!</v>
      </c>
      <c r="BE96" s="115" t="e">
        <f>BD96^3+BB82*BD96+BC82</f>
        <v>#VALUE!</v>
      </c>
      <c r="BF96" s="115" t="e">
        <f>3*BD96^2+BB82</f>
        <v>#VALUE!</v>
      </c>
      <c r="BG96" s="115" t="e">
        <f t="shared" si="20"/>
        <v>#VALUE!</v>
      </c>
      <c r="BH96" s="285"/>
      <c r="BI96" s="286"/>
      <c r="BK96" s="125"/>
      <c r="BL96" s="126"/>
      <c r="BM96" s="114" t="e">
        <f t="shared" si="26"/>
        <v>#VALUE!</v>
      </c>
      <c r="BN96" s="115" t="e">
        <f>BM96^3+BK82*BM96+BL82</f>
        <v>#VALUE!</v>
      </c>
      <c r="BO96" s="115" t="e">
        <f>3*BM96^2+BK82</f>
        <v>#VALUE!</v>
      </c>
      <c r="BP96" s="115" t="e">
        <f t="shared" si="21"/>
        <v>#VALUE!</v>
      </c>
      <c r="BQ96" s="285"/>
      <c r="BR96" s="286"/>
      <c r="BT96" s="125"/>
      <c r="BU96" s="126"/>
      <c r="BV96" s="114" t="e">
        <f t="shared" si="27"/>
        <v>#VALUE!</v>
      </c>
      <c r="BW96" s="115" t="e">
        <f>BV96^3+BT82*BV96+BU82</f>
        <v>#VALUE!</v>
      </c>
      <c r="BX96" s="115" t="e">
        <f>3*BV96^2+BT82</f>
        <v>#VALUE!</v>
      </c>
      <c r="BY96" s="115" t="e">
        <f t="shared" si="22"/>
        <v>#VALUE!</v>
      </c>
      <c r="BZ96" s="285"/>
      <c r="CA96" s="286"/>
    </row>
    <row r="97" spans="36:79" ht="18" hidden="1" customHeight="1" x14ac:dyDescent="0.15">
      <c r="AJ97" s="62" t="s">
        <v>223</v>
      </c>
      <c r="AK97" s="12" t="s">
        <v>224</v>
      </c>
      <c r="AL97" s="12" t="s">
        <v>225</v>
      </c>
      <c r="AM97" s="12" t="s">
        <v>226</v>
      </c>
      <c r="AN97" s="12" t="s">
        <v>227</v>
      </c>
      <c r="AO97" s="63" t="s">
        <v>228</v>
      </c>
      <c r="AP97" s="12" t="s">
        <v>229</v>
      </c>
      <c r="AQ97" s="13" t="s">
        <v>230</v>
      </c>
      <c r="AS97" s="62" t="s">
        <v>223</v>
      </c>
      <c r="AT97" s="12" t="s">
        <v>224</v>
      </c>
      <c r="AU97" s="12" t="s">
        <v>225</v>
      </c>
      <c r="AV97" s="12" t="s">
        <v>226</v>
      </c>
      <c r="AW97" s="12" t="s">
        <v>227</v>
      </c>
      <c r="AX97" s="63" t="s">
        <v>228</v>
      </c>
      <c r="AY97" s="12" t="s">
        <v>229</v>
      </c>
      <c r="AZ97" s="13" t="s">
        <v>230</v>
      </c>
      <c r="BB97" s="62" t="s">
        <v>223</v>
      </c>
      <c r="BC97" s="12" t="s">
        <v>224</v>
      </c>
      <c r="BD97" s="12" t="s">
        <v>225</v>
      </c>
      <c r="BE97" s="12" t="s">
        <v>226</v>
      </c>
      <c r="BF97" s="12" t="s">
        <v>227</v>
      </c>
      <c r="BG97" s="63" t="s">
        <v>228</v>
      </c>
      <c r="BH97" s="12" t="s">
        <v>229</v>
      </c>
      <c r="BI97" s="13" t="s">
        <v>230</v>
      </c>
      <c r="BK97" s="62" t="s">
        <v>223</v>
      </c>
      <c r="BL97" s="12" t="s">
        <v>224</v>
      </c>
      <c r="BM97" s="12" t="s">
        <v>225</v>
      </c>
      <c r="BN97" s="12" t="s">
        <v>226</v>
      </c>
      <c r="BO97" s="12" t="s">
        <v>227</v>
      </c>
      <c r="BP97" s="63" t="s">
        <v>228</v>
      </c>
      <c r="BQ97" s="12" t="s">
        <v>229</v>
      </c>
      <c r="BR97" s="13" t="s">
        <v>230</v>
      </c>
      <c r="BT97" s="62" t="s">
        <v>223</v>
      </c>
      <c r="BU97" s="12" t="s">
        <v>224</v>
      </c>
      <c r="BV97" s="12" t="s">
        <v>225</v>
      </c>
      <c r="BW97" s="12" t="s">
        <v>226</v>
      </c>
      <c r="BX97" s="12" t="s">
        <v>227</v>
      </c>
      <c r="BY97" s="63" t="s">
        <v>228</v>
      </c>
      <c r="BZ97" s="12" t="s">
        <v>229</v>
      </c>
      <c r="CA97" s="13" t="s">
        <v>230</v>
      </c>
    </row>
    <row r="98" spans="36:79" ht="18" hidden="1" customHeight="1" thickBot="1" x14ac:dyDescent="0.2">
      <c r="AJ98" s="107" t="str">
        <f>Q23</f>
        <v/>
      </c>
      <c r="AK98" s="108" t="e">
        <f>M23+U23</f>
        <v>#VALUE!</v>
      </c>
      <c r="AL98" s="108">
        <f>IF(C33="",L19*(F19/40)^2,C33)</f>
        <v>0</v>
      </c>
      <c r="AM98" s="108">
        <f>F19</f>
        <v>0</v>
      </c>
      <c r="AN98" s="108" t="e">
        <f>AK78*1600/(8*L19)</f>
        <v>#VALUE!</v>
      </c>
      <c r="AO98" s="109">
        <f>V23</f>
        <v>0</v>
      </c>
      <c r="AP98" s="108" t="str">
        <f>L23</f>
        <v/>
      </c>
      <c r="AQ98" s="110">
        <f>W23</f>
        <v>0</v>
      </c>
      <c r="AS98" s="107" t="str">
        <f>IF(B24="使用電線-2",Q24,IF(B25="使用電線-2",Q25,IF(B26="使用電線-2",Q26,IF(B27="使用電線-2",Q27,IF(B28="使用電線-2",Q28,IF(B29="使用電線-2",Q29,""))))))</f>
        <v/>
      </c>
      <c r="AT98" s="108" t="str">
        <f>IF(B24="使用電線-2",M24+U24,IF(B25="使用電線-2",M25+U25,IF(B26="使用電線-2",M26+U26,IF(B27="使用電線-2",M27+U27,IF(B28="使用電線-2",M28+U28,IF(B29="使用電線-2",M29+U29,""))))))</f>
        <v/>
      </c>
      <c r="AU98" s="108">
        <f>IF(I33="",L19*(F19/40)^2,I33)</f>
        <v>0</v>
      </c>
      <c r="AV98" s="108">
        <f>F19</f>
        <v>0</v>
      </c>
      <c r="AW98" s="108" t="e">
        <f>AT98*1600/(8*L19)</f>
        <v>#VALUE!</v>
      </c>
      <c r="AX98" s="109" t="str">
        <f>IF(B24="使用電線-2",V24,IF(B25="使用電線-2",V25,IF(B26="使用電線-2",V26,IF(B27="使用電線-2",V27,IF(B28="使用電線-2",V28,IF(B29="使用電線-2",V29,""))))))</f>
        <v/>
      </c>
      <c r="AY98" s="108" t="str">
        <f>IF(B24="使用電線-2",L24,IF(B25="使用電線-2",L25,IF(B26="使用電線-2",L26,IF(B27="使用電線-2",L27,IF(B28="使用電線-2",L28,IF(B29="使用電線-2",L29,""))))))</f>
        <v/>
      </c>
      <c r="AZ98" s="110" t="str">
        <f>IF(B24="使用電線-2",W24,IF(B25="使用電線-2",W25,IF(B26="使用電線-2",W26,IF(B27="使用電線-2",W27,IF(B28="使用電線-2",W28,IF(B29="使用電線-2",W29,""))))))</f>
        <v/>
      </c>
      <c r="BB98" s="107" t="str">
        <f>IF(B25="使用電線-3",Q25,IF(B26="使用電線-3",Q26,IF(B27="使用電線-3",Q27,IF(B28="使用電線-3",Q28,IF(B29="使用電線-3",Q29,"")))))</f>
        <v/>
      </c>
      <c r="BC98" s="108" t="str">
        <f>IF(B25="使用電線-3",M25+U25,IF(B26="使用電線-3",M26+U26,IF(B27="使用電線-3",M27+U27,IF(B28="使用電線-3",M28+U28,IF(B29="使用電線-3",M29+U29,"")))))</f>
        <v/>
      </c>
      <c r="BD98" s="108">
        <f>IF(N33="",L19*(F19/40)^2,N33)</f>
        <v>0</v>
      </c>
      <c r="BE98" s="108">
        <f>F19</f>
        <v>0</v>
      </c>
      <c r="BF98" s="108" t="e">
        <f>BC98*1600/(8*L19)</f>
        <v>#VALUE!</v>
      </c>
      <c r="BG98" s="109" t="str">
        <f>IF(B25="使用電線-3",V25,IF(B26="使用電線-3",V26,IF(B27="使用電線-3",V27,IF(B28="使用電線-3",V28,IF(B29="使用電線-3",V29,"")))))</f>
        <v/>
      </c>
      <c r="BH98" s="108" t="str">
        <f>IF(B25="使用電線-3",L25,IF(B26="使用電線-3",L26,IF(B27="使用電線-3",L27,IF(B28="使用電線-3",L28,IF(B29="使用電線-3",L29,"")))))</f>
        <v/>
      </c>
      <c r="BI98" s="110" t="str">
        <f>IF(B25="使用電線-3",W25,IF(B26="使用電線-3",W26,IF(B27="使用電線-3",W27,IF(B28="使用電線-3",W28,IF(B29="使用電線-3",W29,"")))))</f>
        <v/>
      </c>
      <c r="BK98" s="107" t="str">
        <f>IF(B26="使用電線-4",Q26,IF(B27="使用電線-4",Q27,IF(B28="使用電線-4",Q28,IF(B29="使用電線-4",Q29,""))))</f>
        <v/>
      </c>
      <c r="BL98" s="108" t="str">
        <f>IF(B26="使用電線-4",M26+U26,IF(B27="使用電線-4",M27+U27,IF(B28="使用電線-4",M28+U28,IF(B29="使用電線-4",M29+U29,""))))</f>
        <v/>
      </c>
      <c r="BM98" s="108">
        <f>IF(C47="",L19*(F19/40)^2,C47)</f>
        <v>0</v>
      </c>
      <c r="BN98" s="108">
        <f>F19</f>
        <v>0</v>
      </c>
      <c r="BO98" s="127" t="e">
        <f>BL98*1600/(8*L19)</f>
        <v>#VALUE!</v>
      </c>
      <c r="BP98" s="109" t="str">
        <f>IF(B26="使用電線-4",V26,IF(B27="使用電線-4",V27,IF(B28="使用電線-4",V28,IF(B29="使用電線-4",V29,""))))</f>
        <v/>
      </c>
      <c r="BQ98" s="108" t="str">
        <f>IF(B26="使用電線-4",L26,IF(B27="使用電線-4",L27,IF(B28="使用電線-4",L28,IF(B29="使用電線-4",L29,""))))</f>
        <v/>
      </c>
      <c r="BR98" s="110" t="str">
        <f>IF(B26="使用電線-4",W26,IF(B27="使用電線-4",W27,IF(B28="使用電線-4",W28,IF(B29="使用電線-4",W29,""))))</f>
        <v/>
      </c>
      <c r="BT98" s="107" t="str">
        <f>IF(B27="使用電線-5",Q27,IF(B28="使用電線-5",Q28,IF(B29="使用電線-5",Q29,"")))</f>
        <v/>
      </c>
      <c r="BU98" s="108" t="str">
        <f>IF(B27="使用電線-5",M27+U27,IF(B28="使用電線-5",M28+U28,IF(B29="使用電線-5",M29+U29,"")))</f>
        <v/>
      </c>
      <c r="BV98" s="108">
        <f>IF(I47="",L19*(F19/40)^2,I47)</f>
        <v>0</v>
      </c>
      <c r="BW98" s="108">
        <f>F19</f>
        <v>0</v>
      </c>
      <c r="BX98" s="127" t="e">
        <f>BU98*1600/(8*L19)</f>
        <v>#VALUE!</v>
      </c>
      <c r="BY98" s="109" t="str">
        <f>IF(B27="使用電線-5",V27,IF(B28="使用電線-5",V28,IF(B29="使用電線-5",V29,"")))</f>
        <v/>
      </c>
      <c r="BZ98" s="108" t="str">
        <f>IF(B27="使用電線-5",L27,IF(B28="使用電線-5",L28,IF(B29="使用電線-5",L29,"")))</f>
        <v/>
      </c>
      <c r="CA98" s="110" t="str">
        <f>IF(B27="使用電線-5",W27,IF(B28="使用電線-5",W28,IF(B29="使用電線-5",W29,"")))</f>
        <v/>
      </c>
    </row>
    <row r="99" spans="36:79" ht="18" hidden="1" customHeight="1" x14ac:dyDescent="0.15"/>
    <row r="100" spans="36:79" ht="18" hidden="1" customHeight="1" thickBot="1" x14ac:dyDescent="0.2"/>
    <row r="101" spans="36:79" ht="18" hidden="1" customHeight="1" x14ac:dyDescent="0.15">
      <c r="AJ101" s="2" t="s">
        <v>232</v>
      </c>
      <c r="AK101" s="111" t="s">
        <v>233</v>
      </c>
      <c r="AL101" s="12" t="s">
        <v>234</v>
      </c>
      <c r="AM101" s="12" t="s">
        <v>235</v>
      </c>
      <c r="AN101" s="12" t="s">
        <v>236</v>
      </c>
      <c r="AO101" s="12" t="s">
        <v>237</v>
      </c>
      <c r="AP101" s="12" t="s">
        <v>238</v>
      </c>
      <c r="AQ101" s="13" t="s">
        <v>239</v>
      </c>
      <c r="AS101" s="2" t="s">
        <v>232</v>
      </c>
      <c r="AT101" s="111" t="s">
        <v>233</v>
      </c>
      <c r="AU101" s="12" t="s">
        <v>234</v>
      </c>
      <c r="AV101" s="12" t="s">
        <v>235</v>
      </c>
      <c r="AW101" s="12" t="s">
        <v>236</v>
      </c>
      <c r="AX101" s="12" t="s">
        <v>237</v>
      </c>
      <c r="AY101" s="12" t="s">
        <v>238</v>
      </c>
      <c r="AZ101" s="13" t="s">
        <v>239</v>
      </c>
      <c r="BB101" s="2" t="s">
        <v>232</v>
      </c>
      <c r="BC101" s="111" t="s">
        <v>233</v>
      </c>
      <c r="BD101" s="12" t="s">
        <v>234</v>
      </c>
      <c r="BE101" s="12" t="s">
        <v>235</v>
      </c>
      <c r="BF101" s="12" t="s">
        <v>236</v>
      </c>
      <c r="BG101" s="12" t="s">
        <v>237</v>
      </c>
      <c r="BH101" s="12" t="s">
        <v>238</v>
      </c>
      <c r="BI101" s="13" t="s">
        <v>239</v>
      </c>
      <c r="BK101" s="2" t="s">
        <v>232</v>
      </c>
      <c r="BL101" s="111" t="s">
        <v>233</v>
      </c>
      <c r="BM101" s="12" t="s">
        <v>234</v>
      </c>
      <c r="BN101" s="12" t="s">
        <v>235</v>
      </c>
      <c r="BO101" s="12" t="s">
        <v>236</v>
      </c>
      <c r="BP101" s="12" t="s">
        <v>237</v>
      </c>
      <c r="BQ101" s="12" t="s">
        <v>238</v>
      </c>
      <c r="BR101" s="13" t="s">
        <v>239</v>
      </c>
      <c r="BT101" s="2" t="s">
        <v>232</v>
      </c>
      <c r="BU101" s="111" t="s">
        <v>233</v>
      </c>
      <c r="BV101" s="12" t="s">
        <v>234</v>
      </c>
      <c r="BW101" s="12" t="s">
        <v>235</v>
      </c>
      <c r="BX101" s="12" t="s">
        <v>236</v>
      </c>
      <c r="BY101" s="12" t="s">
        <v>237</v>
      </c>
      <c r="BZ101" s="12" t="s">
        <v>238</v>
      </c>
      <c r="CA101" s="13" t="s">
        <v>239</v>
      </c>
    </row>
    <row r="102" spans="36:79" ht="18" hidden="1" customHeight="1" x14ac:dyDescent="0.15">
      <c r="AJ102" s="16" t="e">
        <f>-AJ105+AJ108</f>
        <v>#VALUE!</v>
      </c>
      <c r="AK102" s="17" t="e">
        <f>-AJ111</f>
        <v>#VALUE!</v>
      </c>
      <c r="AL102" s="18" t="e">
        <f>IF(AND(AP105&lt;0,AQ105&lt;0),AQ102*1.2,IF(AND(AP105&gt;0,AQ105&gt;0),AP102*0.8,10))</f>
        <v>#VALUE!</v>
      </c>
      <c r="AM102" s="18" t="e">
        <f>AL102^3+AJ102*AL102+AK102</f>
        <v>#VALUE!</v>
      </c>
      <c r="AN102" s="18" t="e">
        <f>3*AL102^2+AJ102</f>
        <v>#VALUE!</v>
      </c>
      <c r="AO102" s="18" t="e">
        <f t="shared" ref="AO102:AO116" si="28">AL102-AM102/AN102</f>
        <v>#VALUE!</v>
      </c>
      <c r="AP102" s="18" t="e">
        <f>-SQRT(ABS(-4*3*AJ102))/6</f>
        <v>#VALUE!</v>
      </c>
      <c r="AQ102" s="19" t="e">
        <f>SQRT(ABS(-4*3*AJ102))/6</f>
        <v>#VALUE!</v>
      </c>
      <c r="AS102" s="16" t="e">
        <f>-AS105+AS108</f>
        <v>#VALUE!</v>
      </c>
      <c r="AT102" s="17" t="e">
        <f>-AS111</f>
        <v>#VALUE!</v>
      </c>
      <c r="AU102" s="18" t="e">
        <f>IF(AND(AY105&lt;0,AZ105&lt;0),AZ102*1.2,IF(AND(AY105&gt;0,AZ105&gt;0),AY102*0.8,10))</f>
        <v>#VALUE!</v>
      </c>
      <c r="AV102" s="18" t="e">
        <f>AU102^3+AS102*AU102+AT102</f>
        <v>#VALUE!</v>
      </c>
      <c r="AW102" s="18" t="e">
        <f>3*AU102^2+AS102</f>
        <v>#VALUE!</v>
      </c>
      <c r="AX102" s="18" t="e">
        <f t="shared" ref="AX102:AX116" si="29">AU102-AV102/AW102</f>
        <v>#VALUE!</v>
      </c>
      <c r="AY102" s="18" t="e">
        <f>-SQRT(ABS(-4*3*AS102))/6</f>
        <v>#VALUE!</v>
      </c>
      <c r="AZ102" s="19" t="e">
        <f>SQRT(ABS(-4*3*AS102))/6</f>
        <v>#VALUE!</v>
      </c>
      <c r="BB102" s="16" t="e">
        <f>-BB105+BB108</f>
        <v>#VALUE!</v>
      </c>
      <c r="BC102" s="17" t="e">
        <f>-BB111</f>
        <v>#VALUE!</v>
      </c>
      <c r="BD102" s="18" t="e">
        <f>IF(AND(BH105&lt;0,BI105&lt;0),BI102*1.2,IF(AND(BH105&gt;0,BI105&gt;0),BH102*0.8,10))</f>
        <v>#VALUE!</v>
      </c>
      <c r="BE102" s="18" t="e">
        <f>BD102^3+BB102*BD102+BC102</f>
        <v>#VALUE!</v>
      </c>
      <c r="BF102" s="18" t="e">
        <f>3*BD102^2+BB102</f>
        <v>#VALUE!</v>
      </c>
      <c r="BG102" s="18" t="e">
        <f t="shared" ref="BG102:BG116" si="30">BD102-BE102/BF102</f>
        <v>#VALUE!</v>
      </c>
      <c r="BH102" s="18" t="e">
        <f>-SQRT(ABS(-4*3*BB102))/6</f>
        <v>#VALUE!</v>
      </c>
      <c r="BI102" s="19" t="e">
        <f>SQRT(ABS(-4*3*BB102))/6</f>
        <v>#VALUE!</v>
      </c>
      <c r="BK102" s="16" t="e">
        <f>-BK105+BK108</f>
        <v>#VALUE!</v>
      </c>
      <c r="BL102" s="17" t="e">
        <f>-BK111</f>
        <v>#VALUE!</v>
      </c>
      <c r="BM102" s="18" t="e">
        <f>IF(AND(BQ105&lt;0,BR105&lt;0),BR102*1.2,IF(AND(BQ105&gt;0,BR105&gt;0),BQ102*0.8,10))</f>
        <v>#VALUE!</v>
      </c>
      <c r="BN102" s="18" t="e">
        <f>BM102^3+BK102*BM102+BL102</f>
        <v>#VALUE!</v>
      </c>
      <c r="BO102" s="18" t="e">
        <f>3*BM102^2+BK102</f>
        <v>#VALUE!</v>
      </c>
      <c r="BP102" s="18" t="e">
        <f t="shared" ref="BP102:BP116" si="31">BM102-BN102/BO102</f>
        <v>#VALUE!</v>
      </c>
      <c r="BQ102" s="18" t="e">
        <f>-SQRT(ABS(-4*3*BK102))/6</f>
        <v>#VALUE!</v>
      </c>
      <c r="BR102" s="19" t="e">
        <f>SQRT(ABS(-4*3*BK102))/6</f>
        <v>#VALUE!</v>
      </c>
      <c r="BT102" s="16" t="e">
        <f>-BT105+BT108</f>
        <v>#VALUE!</v>
      </c>
      <c r="BU102" s="17" t="e">
        <f>-BT111</f>
        <v>#VALUE!</v>
      </c>
      <c r="BV102" s="18" t="e">
        <f>IF(AND(BZ105&lt;0,CA105&lt;0),CA102*1.2,IF(AND(BZ105&gt;0,CA105&gt;0),BZ102*0.8,10))</f>
        <v>#VALUE!</v>
      </c>
      <c r="BW102" s="18" t="e">
        <f>BV102^3+BT102*BV102+BU102</f>
        <v>#VALUE!</v>
      </c>
      <c r="BX102" s="18" t="e">
        <f>3*BV102^2+BT102</f>
        <v>#VALUE!</v>
      </c>
      <c r="BY102" s="18" t="e">
        <f t="shared" ref="BY102:BY116" si="32">BV102-BW102/BX102</f>
        <v>#VALUE!</v>
      </c>
      <c r="BZ102" s="18" t="e">
        <f>-SQRT(ABS(-4*3*BT102))/6</f>
        <v>#VALUE!</v>
      </c>
      <c r="CA102" s="19" t="e">
        <f>SQRT(ABS(-4*3*BT102))/6</f>
        <v>#VALUE!</v>
      </c>
    </row>
    <row r="103" spans="36:79" ht="18" hidden="1" customHeight="1" x14ac:dyDescent="0.15">
      <c r="AJ103" s="267"/>
      <c r="AK103" s="268"/>
      <c r="AL103" s="18" t="e">
        <f t="shared" ref="AL103:AL116" si="33">AO102</f>
        <v>#VALUE!</v>
      </c>
      <c r="AM103" s="18" t="e">
        <f>AL103^3+AJ102*AL103+AK102</f>
        <v>#VALUE!</v>
      </c>
      <c r="AN103" s="18" t="e">
        <f>3*AL103^2+AJ102</f>
        <v>#VALUE!</v>
      </c>
      <c r="AO103" s="18" t="e">
        <f t="shared" si="28"/>
        <v>#VALUE!</v>
      </c>
      <c r="AP103" s="6"/>
      <c r="AQ103" s="7"/>
      <c r="AS103" s="267"/>
      <c r="AT103" s="268"/>
      <c r="AU103" s="18" t="e">
        <f t="shared" ref="AU103:AU116" si="34">AX102</f>
        <v>#VALUE!</v>
      </c>
      <c r="AV103" s="18" t="e">
        <f>AU103^3+AS102*AU103+AT102</f>
        <v>#VALUE!</v>
      </c>
      <c r="AW103" s="18" t="e">
        <f>3*AU103^2+AS102</f>
        <v>#VALUE!</v>
      </c>
      <c r="AX103" s="18" t="e">
        <f t="shared" si="29"/>
        <v>#VALUE!</v>
      </c>
      <c r="AY103" s="6"/>
      <c r="AZ103" s="7"/>
      <c r="BB103" s="267"/>
      <c r="BC103" s="268"/>
      <c r="BD103" s="18" t="e">
        <f t="shared" ref="BD103:BD116" si="35">BG102</f>
        <v>#VALUE!</v>
      </c>
      <c r="BE103" s="18" t="e">
        <f>BD103^3+BB102*BD103+BC102</f>
        <v>#VALUE!</v>
      </c>
      <c r="BF103" s="18" t="e">
        <f>3*BD103^2+BB102</f>
        <v>#VALUE!</v>
      </c>
      <c r="BG103" s="18" t="e">
        <f t="shared" si="30"/>
        <v>#VALUE!</v>
      </c>
      <c r="BH103" s="6"/>
      <c r="BI103" s="7"/>
      <c r="BK103" s="267"/>
      <c r="BL103" s="268"/>
      <c r="BM103" s="18" t="e">
        <f t="shared" ref="BM103:BM116" si="36">BP102</f>
        <v>#VALUE!</v>
      </c>
      <c r="BN103" s="18" t="e">
        <f>BM103^3+BK102*BM103+BL102</f>
        <v>#VALUE!</v>
      </c>
      <c r="BO103" s="18" t="e">
        <f>3*BM103^2+BK102</f>
        <v>#VALUE!</v>
      </c>
      <c r="BP103" s="18" t="e">
        <f t="shared" si="31"/>
        <v>#VALUE!</v>
      </c>
      <c r="BQ103" s="6"/>
      <c r="BR103" s="7"/>
      <c r="BT103" s="267"/>
      <c r="BU103" s="268"/>
      <c r="BV103" s="18" t="e">
        <f t="shared" ref="BV103:BV116" si="37">BY102</f>
        <v>#VALUE!</v>
      </c>
      <c r="BW103" s="18" t="e">
        <f>BV103^3+BT102*BV103+BU102</f>
        <v>#VALUE!</v>
      </c>
      <c r="BX103" s="18" t="e">
        <f>3*BV103^2+BT102</f>
        <v>#VALUE!</v>
      </c>
      <c r="BY103" s="18" t="e">
        <f t="shared" si="32"/>
        <v>#VALUE!</v>
      </c>
      <c r="BZ103" s="6"/>
      <c r="CA103" s="7"/>
    </row>
    <row r="104" spans="36:79" ht="18" hidden="1" customHeight="1" x14ac:dyDescent="0.15">
      <c r="AJ104" s="269" t="s">
        <v>240</v>
      </c>
      <c r="AK104" s="270"/>
      <c r="AL104" s="18" t="e">
        <f t="shared" si="33"/>
        <v>#VALUE!</v>
      </c>
      <c r="AM104" s="18" t="e">
        <f>AL104^3+AJ102*AL104+AK102</f>
        <v>#VALUE!</v>
      </c>
      <c r="AN104" s="18" t="e">
        <f>3*AL104^2+AJ102</f>
        <v>#VALUE!</v>
      </c>
      <c r="AO104" s="18" t="e">
        <f t="shared" si="28"/>
        <v>#VALUE!</v>
      </c>
      <c r="AP104" s="14" t="s">
        <v>241</v>
      </c>
      <c r="AQ104" s="15" t="s">
        <v>242</v>
      </c>
      <c r="AS104" s="269" t="s">
        <v>240</v>
      </c>
      <c r="AT104" s="270"/>
      <c r="AU104" s="18" t="e">
        <f t="shared" si="34"/>
        <v>#VALUE!</v>
      </c>
      <c r="AV104" s="18" t="e">
        <f>AU104^3+AS102*AU104+AT102</f>
        <v>#VALUE!</v>
      </c>
      <c r="AW104" s="18" t="e">
        <f>3*AU104^2+AS102</f>
        <v>#VALUE!</v>
      </c>
      <c r="AX104" s="18" t="e">
        <f t="shared" si="29"/>
        <v>#VALUE!</v>
      </c>
      <c r="AY104" s="14" t="s">
        <v>241</v>
      </c>
      <c r="AZ104" s="15" t="s">
        <v>242</v>
      </c>
      <c r="BB104" s="269" t="s">
        <v>240</v>
      </c>
      <c r="BC104" s="270"/>
      <c r="BD104" s="18" t="e">
        <f t="shared" si="35"/>
        <v>#VALUE!</v>
      </c>
      <c r="BE104" s="18" t="e">
        <f>BD104^3+BB102*BD104+BC102</f>
        <v>#VALUE!</v>
      </c>
      <c r="BF104" s="18" t="e">
        <f>3*BD104^2+BB102</f>
        <v>#VALUE!</v>
      </c>
      <c r="BG104" s="18" t="e">
        <f t="shared" si="30"/>
        <v>#VALUE!</v>
      </c>
      <c r="BH104" s="14" t="s">
        <v>241</v>
      </c>
      <c r="BI104" s="15" t="s">
        <v>242</v>
      </c>
      <c r="BK104" s="269" t="s">
        <v>240</v>
      </c>
      <c r="BL104" s="270"/>
      <c r="BM104" s="18" t="e">
        <f t="shared" si="36"/>
        <v>#VALUE!</v>
      </c>
      <c r="BN104" s="18" t="e">
        <f>BM104^3+BK102*BM104+BL102</f>
        <v>#VALUE!</v>
      </c>
      <c r="BO104" s="18" t="e">
        <f>3*BM104^2+BK102</f>
        <v>#VALUE!</v>
      </c>
      <c r="BP104" s="18" t="e">
        <f t="shared" si="31"/>
        <v>#VALUE!</v>
      </c>
      <c r="BQ104" s="14" t="s">
        <v>241</v>
      </c>
      <c r="BR104" s="15" t="s">
        <v>242</v>
      </c>
      <c r="BT104" s="269" t="s">
        <v>240</v>
      </c>
      <c r="BU104" s="270"/>
      <c r="BV104" s="18" t="e">
        <f t="shared" si="37"/>
        <v>#VALUE!</v>
      </c>
      <c r="BW104" s="18" t="e">
        <f>BV104^3+BT102*BV104+BU102</f>
        <v>#VALUE!</v>
      </c>
      <c r="BX104" s="18" t="e">
        <f>3*BV104^2+BT102</f>
        <v>#VALUE!</v>
      </c>
      <c r="BY104" s="18" t="e">
        <f t="shared" si="32"/>
        <v>#VALUE!</v>
      </c>
      <c r="BZ104" s="14" t="s">
        <v>241</v>
      </c>
      <c r="CA104" s="15" t="s">
        <v>242</v>
      </c>
    </row>
    <row r="105" spans="36:79" ht="18" hidden="1" customHeight="1" x14ac:dyDescent="0.15">
      <c r="AJ105" s="269">
        <f>(AL118^2)+3*(AM118^2)*AQ118*(AQ113-15)/(8*10^7)</f>
        <v>0</v>
      </c>
      <c r="AK105" s="270"/>
      <c r="AL105" s="18" t="e">
        <f t="shared" si="33"/>
        <v>#VALUE!</v>
      </c>
      <c r="AM105" s="18" t="e">
        <f>AL105^3+AJ102*AL105+AK102</f>
        <v>#VALUE!</v>
      </c>
      <c r="AN105" s="18" t="e">
        <f>3*AL105^2+AJ102</f>
        <v>#VALUE!</v>
      </c>
      <c r="AO105" s="18" t="e">
        <f t="shared" si="28"/>
        <v>#VALUE!</v>
      </c>
      <c r="AP105" s="18" t="e">
        <f>AP102^3+AJ102*AP102+AK102</f>
        <v>#VALUE!</v>
      </c>
      <c r="AQ105" s="19" t="e">
        <f>AQ102^3+AJ102*AQ102+AK102</f>
        <v>#VALUE!</v>
      </c>
      <c r="AS105" s="269" t="e">
        <f>(AU118^2)+3*(AV118^2)*AZ118*(AZ113-15)/(8*10^7)</f>
        <v>#VALUE!</v>
      </c>
      <c r="AT105" s="270"/>
      <c r="AU105" s="18" t="e">
        <f t="shared" si="34"/>
        <v>#VALUE!</v>
      </c>
      <c r="AV105" s="18" t="e">
        <f>AU105^3+AS102*AU105+AT102</f>
        <v>#VALUE!</v>
      </c>
      <c r="AW105" s="18" t="e">
        <f>3*AU105^2+AS102</f>
        <v>#VALUE!</v>
      </c>
      <c r="AX105" s="18" t="e">
        <f t="shared" si="29"/>
        <v>#VALUE!</v>
      </c>
      <c r="AY105" s="18" t="e">
        <f>AY102^3+AS102*AY102+AT102</f>
        <v>#VALUE!</v>
      </c>
      <c r="AZ105" s="19" t="e">
        <f>AZ102^3+AS102*AZ102+AT102</f>
        <v>#VALUE!</v>
      </c>
      <c r="BB105" s="269" t="e">
        <f>(BD118^2)+3*(BE118^2)*BI118*(BI113-15)/(8*10^7)</f>
        <v>#VALUE!</v>
      </c>
      <c r="BC105" s="270"/>
      <c r="BD105" s="18" t="e">
        <f t="shared" si="35"/>
        <v>#VALUE!</v>
      </c>
      <c r="BE105" s="18" t="e">
        <f>BD105^3+BB102*BD105+BC102</f>
        <v>#VALUE!</v>
      </c>
      <c r="BF105" s="18" t="e">
        <f>3*BD105^2+BB102</f>
        <v>#VALUE!</v>
      </c>
      <c r="BG105" s="18" t="e">
        <f t="shared" si="30"/>
        <v>#VALUE!</v>
      </c>
      <c r="BH105" s="18" t="e">
        <f>BH102^3+BB102*BH102+BC102</f>
        <v>#VALUE!</v>
      </c>
      <c r="BI105" s="19" t="e">
        <f>BI102^3+BB102*BI102+BC102</f>
        <v>#VALUE!</v>
      </c>
      <c r="BK105" s="269" t="e">
        <f>(BM118^2)+3*(BN118^2)*BR118*(BR113-15)/(8*10^7)</f>
        <v>#VALUE!</v>
      </c>
      <c r="BL105" s="270"/>
      <c r="BM105" s="18" t="e">
        <f t="shared" si="36"/>
        <v>#VALUE!</v>
      </c>
      <c r="BN105" s="18" t="e">
        <f>BM105^3+BK102*BM105+BL102</f>
        <v>#VALUE!</v>
      </c>
      <c r="BO105" s="18" t="e">
        <f>3*BM105^2+BK102</f>
        <v>#VALUE!</v>
      </c>
      <c r="BP105" s="18" t="e">
        <f t="shared" si="31"/>
        <v>#VALUE!</v>
      </c>
      <c r="BQ105" s="18" t="e">
        <f>BQ102^3+BK102*BQ102+BL102</f>
        <v>#VALUE!</v>
      </c>
      <c r="BR105" s="19" t="e">
        <f>BR102^3+BK102*BR102+BL102</f>
        <v>#VALUE!</v>
      </c>
      <c r="BT105" s="269" t="e">
        <f>(BV118^2)+3*(BW118^2)*CA118*(CA113-15)/(8*10^7)</f>
        <v>#VALUE!</v>
      </c>
      <c r="BU105" s="270"/>
      <c r="BV105" s="18" t="e">
        <f t="shared" si="37"/>
        <v>#VALUE!</v>
      </c>
      <c r="BW105" s="18" t="e">
        <f>BV105^3+BT102*BV105+BU102</f>
        <v>#VALUE!</v>
      </c>
      <c r="BX105" s="18" t="e">
        <f>3*BV105^2+BT102</f>
        <v>#VALUE!</v>
      </c>
      <c r="BY105" s="18" t="e">
        <f t="shared" si="32"/>
        <v>#VALUE!</v>
      </c>
      <c r="BZ105" s="18" t="e">
        <f>BZ102^3+BT102*BZ102+BU102</f>
        <v>#VALUE!</v>
      </c>
      <c r="CA105" s="19" t="e">
        <f>CA102^3+BT102*CA102+BU102</f>
        <v>#VALUE!</v>
      </c>
    </row>
    <row r="106" spans="36:79" ht="18" hidden="1" customHeight="1" x14ac:dyDescent="0.15">
      <c r="AJ106" s="267"/>
      <c r="AK106" s="268"/>
      <c r="AL106" s="18" t="e">
        <f t="shared" si="33"/>
        <v>#VALUE!</v>
      </c>
      <c r="AM106" s="18" t="e">
        <f>AL106^3+AJ102*AL106+AK102</f>
        <v>#VALUE!</v>
      </c>
      <c r="AN106" s="18" t="e">
        <f>3*AL106^2+AJ102</f>
        <v>#VALUE!</v>
      </c>
      <c r="AO106" s="18" t="e">
        <f t="shared" si="28"/>
        <v>#VALUE!</v>
      </c>
      <c r="AP106" s="31"/>
      <c r="AQ106" s="32"/>
      <c r="AS106" s="267"/>
      <c r="AT106" s="268"/>
      <c r="AU106" s="18" t="e">
        <f t="shared" si="34"/>
        <v>#VALUE!</v>
      </c>
      <c r="AV106" s="18" t="e">
        <f>AU106^3+AS102*AU106+AT102</f>
        <v>#VALUE!</v>
      </c>
      <c r="AW106" s="18" t="e">
        <f>3*AU106^2+AS102</f>
        <v>#VALUE!</v>
      </c>
      <c r="AX106" s="18" t="e">
        <f t="shared" si="29"/>
        <v>#VALUE!</v>
      </c>
      <c r="AY106" s="31"/>
      <c r="AZ106" s="32"/>
      <c r="BB106" s="267"/>
      <c r="BC106" s="268"/>
      <c r="BD106" s="18" t="e">
        <f t="shared" si="35"/>
        <v>#VALUE!</v>
      </c>
      <c r="BE106" s="18" t="e">
        <f>BD106^3+BB102*BD106+BC102</f>
        <v>#VALUE!</v>
      </c>
      <c r="BF106" s="18" t="e">
        <f>3*BD106^2+BB102</f>
        <v>#VALUE!</v>
      </c>
      <c r="BG106" s="18" t="e">
        <f t="shared" si="30"/>
        <v>#VALUE!</v>
      </c>
      <c r="BH106" s="31"/>
      <c r="BI106" s="32"/>
      <c r="BK106" s="267"/>
      <c r="BL106" s="268"/>
      <c r="BM106" s="18" t="e">
        <f t="shared" si="36"/>
        <v>#VALUE!</v>
      </c>
      <c r="BN106" s="18" t="e">
        <f>BM106^3+BK102*BM106+BL102</f>
        <v>#VALUE!</v>
      </c>
      <c r="BO106" s="18" t="e">
        <f>3*BM106^2+BK102</f>
        <v>#VALUE!</v>
      </c>
      <c r="BP106" s="18" t="e">
        <f t="shared" si="31"/>
        <v>#VALUE!</v>
      </c>
      <c r="BQ106" s="31"/>
      <c r="BR106" s="32"/>
      <c r="BT106" s="267"/>
      <c r="BU106" s="268"/>
      <c r="BV106" s="18" t="e">
        <f t="shared" si="37"/>
        <v>#VALUE!</v>
      </c>
      <c r="BW106" s="18" t="e">
        <f>BV106^3+BT102*BV106+BU102</f>
        <v>#VALUE!</v>
      </c>
      <c r="BX106" s="18" t="e">
        <f>3*BV106^2+BT102</f>
        <v>#VALUE!</v>
      </c>
      <c r="BY106" s="18" t="e">
        <f t="shared" si="32"/>
        <v>#VALUE!</v>
      </c>
      <c r="BZ106" s="31"/>
      <c r="CA106" s="32"/>
    </row>
    <row r="107" spans="36:79" ht="18" hidden="1" customHeight="1" x14ac:dyDescent="0.15">
      <c r="AJ107" s="269" t="s">
        <v>243</v>
      </c>
      <c r="AK107" s="270"/>
      <c r="AL107" s="18" t="e">
        <f t="shared" si="33"/>
        <v>#VALUE!</v>
      </c>
      <c r="AM107" s="18" t="e">
        <f>AL107^3+AJ102*AL107+AK102</f>
        <v>#VALUE!</v>
      </c>
      <c r="AN107" s="18" t="e">
        <f>3*AL107^2+AJ102</f>
        <v>#VALUE!</v>
      </c>
      <c r="AO107" s="18" t="e">
        <f t="shared" si="28"/>
        <v>#VALUE!</v>
      </c>
      <c r="AP107" s="31"/>
      <c r="AQ107" s="32"/>
      <c r="AS107" s="269" t="s">
        <v>243</v>
      </c>
      <c r="AT107" s="270"/>
      <c r="AU107" s="18" t="e">
        <f t="shared" si="34"/>
        <v>#VALUE!</v>
      </c>
      <c r="AV107" s="18" t="e">
        <f>AU107^3+AS102*AU107+AT102</f>
        <v>#VALUE!</v>
      </c>
      <c r="AW107" s="18" t="e">
        <f>3*AU107^2+AS102</f>
        <v>#VALUE!</v>
      </c>
      <c r="AX107" s="18" t="e">
        <f t="shared" si="29"/>
        <v>#VALUE!</v>
      </c>
      <c r="AY107" s="31"/>
      <c r="AZ107" s="32"/>
      <c r="BB107" s="269" t="s">
        <v>243</v>
      </c>
      <c r="BC107" s="270"/>
      <c r="BD107" s="18" t="e">
        <f t="shared" si="35"/>
        <v>#VALUE!</v>
      </c>
      <c r="BE107" s="18" t="e">
        <f>BD107^3+BB102*BD107+BC102</f>
        <v>#VALUE!</v>
      </c>
      <c r="BF107" s="18" t="e">
        <f>3*BD107^2+BB102</f>
        <v>#VALUE!</v>
      </c>
      <c r="BG107" s="18" t="e">
        <f t="shared" si="30"/>
        <v>#VALUE!</v>
      </c>
      <c r="BH107" s="31"/>
      <c r="BI107" s="32"/>
      <c r="BK107" s="269" t="s">
        <v>243</v>
      </c>
      <c r="BL107" s="270"/>
      <c r="BM107" s="18" t="e">
        <f t="shared" si="36"/>
        <v>#VALUE!</v>
      </c>
      <c r="BN107" s="18" t="e">
        <f>BM107^3+BK102*BM107+BL102</f>
        <v>#VALUE!</v>
      </c>
      <c r="BO107" s="18" t="e">
        <f>3*BM107^2+BK102</f>
        <v>#VALUE!</v>
      </c>
      <c r="BP107" s="18" t="e">
        <f t="shared" si="31"/>
        <v>#VALUE!</v>
      </c>
      <c r="BQ107" s="31"/>
      <c r="BR107" s="32"/>
      <c r="BT107" s="269" t="s">
        <v>243</v>
      </c>
      <c r="BU107" s="270"/>
      <c r="BV107" s="18" t="e">
        <f t="shared" si="37"/>
        <v>#VALUE!</v>
      </c>
      <c r="BW107" s="18" t="e">
        <f>BV107^3+BT102*BV107+BU102</f>
        <v>#VALUE!</v>
      </c>
      <c r="BX107" s="18" t="e">
        <f>3*BV107^2+BT102</f>
        <v>#VALUE!</v>
      </c>
      <c r="BY107" s="18" t="e">
        <f t="shared" si="32"/>
        <v>#VALUE!</v>
      </c>
      <c r="BZ107" s="31"/>
      <c r="CA107" s="32"/>
    </row>
    <row r="108" spans="36:79" ht="18" hidden="1" customHeight="1" x14ac:dyDescent="0.15">
      <c r="AJ108" s="277" t="e">
        <f>3*(AM118^2)*AN118/(8*AO118*AP118)</f>
        <v>#VALUE!</v>
      </c>
      <c r="AK108" s="278"/>
      <c r="AL108" s="118" t="e">
        <f t="shared" si="33"/>
        <v>#VALUE!</v>
      </c>
      <c r="AM108" s="118" t="e">
        <f>AL108^3+AJ102*AL108+AK102</f>
        <v>#VALUE!</v>
      </c>
      <c r="AN108" s="118" t="e">
        <f>3*AL108^2+AJ102</f>
        <v>#VALUE!</v>
      </c>
      <c r="AO108" s="118" t="e">
        <f t="shared" si="28"/>
        <v>#VALUE!</v>
      </c>
      <c r="AP108" s="116"/>
      <c r="AQ108" s="117"/>
      <c r="AS108" s="277" t="e">
        <f>3*(AV118^2)*AW118/(8*AX118*AY118)</f>
        <v>#VALUE!</v>
      </c>
      <c r="AT108" s="278"/>
      <c r="AU108" s="118" t="e">
        <f t="shared" si="34"/>
        <v>#VALUE!</v>
      </c>
      <c r="AV108" s="118" t="e">
        <f>AU108^3+AS102*AU108+AT102</f>
        <v>#VALUE!</v>
      </c>
      <c r="AW108" s="118" t="e">
        <f>3*AU108^2+AS102</f>
        <v>#VALUE!</v>
      </c>
      <c r="AX108" s="118" t="e">
        <f t="shared" si="29"/>
        <v>#VALUE!</v>
      </c>
      <c r="AY108" s="116"/>
      <c r="AZ108" s="117"/>
      <c r="BB108" s="277" t="e">
        <f>3*(BE118^2)*BF118/(8*BG118*BH118)</f>
        <v>#VALUE!</v>
      </c>
      <c r="BC108" s="278"/>
      <c r="BD108" s="118" t="e">
        <f t="shared" si="35"/>
        <v>#VALUE!</v>
      </c>
      <c r="BE108" s="118" t="e">
        <f>BD108^3+BB102*BD108+BC102</f>
        <v>#VALUE!</v>
      </c>
      <c r="BF108" s="118" t="e">
        <f>3*BD108^2+BB102</f>
        <v>#VALUE!</v>
      </c>
      <c r="BG108" s="118" t="e">
        <f t="shared" si="30"/>
        <v>#VALUE!</v>
      </c>
      <c r="BH108" s="116"/>
      <c r="BI108" s="117"/>
      <c r="BK108" s="277" t="e">
        <f>3*(BN118^2)*BO118/(8*BP118*BQ118)</f>
        <v>#VALUE!</v>
      </c>
      <c r="BL108" s="278"/>
      <c r="BM108" s="118" t="e">
        <f t="shared" si="36"/>
        <v>#VALUE!</v>
      </c>
      <c r="BN108" s="118" t="e">
        <f>BM108^3+BK102*BM108+BL102</f>
        <v>#VALUE!</v>
      </c>
      <c r="BO108" s="118" t="e">
        <f>3*BM108^2+BK102</f>
        <v>#VALUE!</v>
      </c>
      <c r="BP108" s="118" t="e">
        <f t="shared" si="31"/>
        <v>#VALUE!</v>
      </c>
      <c r="BQ108" s="116"/>
      <c r="BR108" s="117"/>
      <c r="BT108" s="277" t="e">
        <f>3*(BW118^2)*BX118/(8*BY118*BZ118)</f>
        <v>#VALUE!</v>
      </c>
      <c r="BU108" s="278"/>
      <c r="BV108" s="118" t="e">
        <f t="shared" si="37"/>
        <v>#VALUE!</v>
      </c>
      <c r="BW108" s="118" t="e">
        <f>BV108^3+BT102*BV108+BU102</f>
        <v>#VALUE!</v>
      </c>
      <c r="BX108" s="118" t="e">
        <f>3*BV108^2+BT102</f>
        <v>#VALUE!</v>
      </c>
      <c r="BY108" s="118" t="e">
        <f t="shared" si="32"/>
        <v>#VALUE!</v>
      </c>
      <c r="BZ108" s="116"/>
      <c r="CA108" s="117"/>
    </row>
    <row r="109" spans="36:79" ht="18" hidden="1" customHeight="1" x14ac:dyDescent="0.15">
      <c r="AJ109" s="121"/>
      <c r="AK109" s="122"/>
      <c r="AL109" s="118" t="e">
        <f t="shared" si="33"/>
        <v>#VALUE!</v>
      </c>
      <c r="AM109" s="118" t="e">
        <f>AL109^3+AJ102*AL109+AK102</f>
        <v>#VALUE!</v>
      </c>
      <c r="AN109" s="118" t="e">
        <f>3*AL109^2+AJ102</f>
        <v>#VALUE!</v>
      </c>
      <c r="AO109" s="118" t="e">
        <f t="shared" si="28"/>
        <v>#VALUE!</v>
      </c>
      <c r="AP109" s="119"/>
      <c r="AQ109" s="120"/>
      <c r="AS109" s="121"/>
      <c r="AT109" s="122"/>
      <c r="AU109" s="118" t="e">
        <f t="shared" si="34"/>
        <v>#VALUE!</v>
      </c>
      <c r="AV109" s="118" t="e">
        <f>AU109^3+AS102*AU109+AT102</f>
        <v>#VALUE!</v>
      </c>
      <c r="AW109" s="118" t="e">
        <f>3*AU109^2+AS102</f>
        <v>#VALUE!</v>
      </c>
      <c r="AX109" s="118" t="e">
        <f t="shared" si="29"/>
        <v>#VALUE!</v>
      </c>
      <c r="AY109" s="119"/>
      <c r="AZ109" s="120"/>
      <c r="BB109" s="121"/>
      <c r="BC109" s="122"/>
      <c r="BD109" s="118" t="e">
        <f t="shared" si="35"/>
        <v>#VALUE!</v>
      </c>
      <c r="BE109" s="118" t="e">
        <f>BD109^3+BB102*BD109+BC102</f>
        <v>#VALUE!</v>
      </c>
      <c r="BF109" s="118" t="e">
        <f>3*BD109^2+BB102</f>
        <v>#VALUE!</v>
      </c>
      <c r="BG109" s="118" t="e">
        <f t="shared" si="30"/>
        <v>#VALUE!</v>
      </c>
      <c r="BH109" s="119"/>
      <c r="BI109" s="120"/>
      <c r="BK109" s="121"/>
      <c r="BL109" s="122"/>
      <c r="BM109" s="118" t="e">
        <f t="shared" si="36"/>
        <v>#VALUE!</v>
      </c>
      <c r="BN109" s="118" t="e">
        <f>BM109^3+BK102*BM109+BL102</f>
        <v>#VALUE!</v>
      </c>
      <c r="BO109" s="118" t="e">
        <f>3*BM109^2+BK102</f>
        <v>#VALUE!</v>
      </c>
      <c r="BP109" s="118" t="e">
        <f t="shared" si="31"/>
        <v>#VALUE!</v>
      </c>
      <c r="BQ109" s="119"/>
      <c r="BR109" s="120"/>
      <c r="BT109" s="121"/>
      <c r="BU109" s="122"/>
      <c r="BV109" s="118" t="e">
        <f t="shared" si="37"/>
        <v>#VALUE!</v>
      </c>
      <c r="BW109" s="118" t="e">
        <f>BV109^3+BT102*BV109+BU102</f>
        <v>#VALUE!</v>
      </c>
      <c r="BX109" s="118" t="e">
        <f>3*BV109^2+BT102</f>
        <v>#VALUE!</v>
      </c>
      <c r="BY109" s="118" t="e">
        <f t="shared" si="32"/>
        <v>#VALUE!</v>
      </c>
      <c r="BZ109" s="119"/>
      <c r="CA109" s="120"/>
    </row>
    <row r="110" spans="36:79" ht="18" hidden="1" customHeight="1" x14ac:dyDescent="0.15">
      <c r="AJ110" s="269" t="s">
        <v>244</v>
      </c>
      <c r="AK110" s="270"/>
      <c r="AL110" s="118" t="e">
        <f t="shared" si="33"/>
        <v>#VALUE!</v>
      </c>
      <c r="AM110" s="118" t="e">
        <f>AL110^3+AJ102*AL110+AK102</f>
        <v>#VALUE!</v>
      </c>
      <c r="AN110" s="118" t="e">
        <f>3*AL110^2+AJ102</f>
        <v>#VALUE!</v>
      </c>
      <c r="AO110" s="118" t="e">
        <f t="shared" si="28"/>
        <v>#VALUE!</v>
      </c>
      <c r="AP110" s="14" t="s">
        <v>245</v>
      </c>
      <c r="AQ110" s="123" t="e">
        <f>AO116</f>
        <v>#VALUE!</v>
      </c>
      <c r="AS110" s="269" t="s">
        <v>244</v>
      </c>
      <c r="AT110" s="270"/>
      <c r="AU110" s="118" t="e">
        <f t="shared" si="34"/>
        <v>#VALUE!</v>
      </c>
      <c r="AV110" s="118" t="e">
        <f>AU110^3+AS102*AU110+AT102</f>
        <v>#VALUE!</v>
      </c>
      <c r="AW110" s="118" t="e">
        <f>3*AU110^2+AS102</f>
        <v>#VALUE!</v>
      </c>
      <c r="AX110" s="118" t="e">
        <f t="shared" si="29"/>
        <v>#VALUE!</v>
      </c>
      <c r="AY110" s="14" t="s">
        <v>245</v>
      </c>
      <c r="AZ110" s="123" t="e">
        <f>AX116</f>
        <v>#VALUE!</v>
      </c>
      <c r="BB110" s="269" t="s">
        <v>244</v>
      </c>
      <c r="BC110" s="270"/>
      <c r="BD110" s="118" t="e">
        <f t="shared" si="35"/>
        <v>#VALUE!</v>
      </c>
      <c r="BE110" s="118" t="e">
        <f>BD110^3+BB102*BD110+BC102</f>
        <v>#VALUE!</v>
      </c>
      <c r="BF110" s="118" t="e">
        <f>3*BD110^2+BB102</f>
        <v>#VALUE!</v>
      </c>
      <c r="BG110" s="118" t="e">
        <f t="shared" si="30"/>
        <v>#VALUE!</v>
      </c>
      <c r="BH110" s="14" t="s">
        <v>245</v>
      </c>
      <c r="BI110" s="123" t="e">
        <f>BG116</f>
        <v>#VALUE!</v>
      </c>
      <c r="BK110" s="269" t="s">
        <v>244</v>
      </c>
      <c r="BL110" s="270"/>
      <c r="BM110" s="118" t="e">
        <f t="shared" si="36"/>
        <v>#VALUE!</v>
      </c>
      <c r="BN110" s="118" t="e">
        <f>BM110^3+BK102*BM110+BL102</f>
        <v>#VALUE!</v>
      </c>
      <c r="BO110" s="118" t="e">
        <f>3*BM110^2+BK102</f>
        <v>#VALUE!</v>
      </c>
      <c r="BP110" s="118" t="e">
        <f t="shared" si="31"/>
        <v>#VALUE!</v>
      </c>
      <c r="BQ110" s="14" t="s">
        <v>245</v>
      </c>
      <c r="BR110" s="123" t="e">
        <f>BP116</f>
        <v>#VALUE!</v>
      </c>
      <c r="BT110" s="269" t="s">
        <v>244</v>
      </c>
      <c r="BU110" s="270"/>
      <c r="BV110" s="118" t="e">
        <f t="shared" si="37"/>
        <v>#VALUE!</v>
      </c>
      <c r="BW110" s="118" t="e">
        <f>BV110^3+BT102*BV110+BU102</f>
        <v>#VALUE!</v>
      </c>
      <c r="BX110" s="118" t="e">
        <f>3*BV110^2+BT102</f>
        <v>#VALUE!</v>
      </c>
      <c r="BY110" s="118" t="e">
        <f t="shared" si="32"/>
        <v>#VALUE!</v>
      </c>
      <c r="BZ110" s="14" t="s">
        <v>245</v>
      </c>
      <c r="CA110" s="123" t="e">
        <f>BY116</f>
        <v>#VALUE!</v>
      </c>
    </row>
    <row r="111" spans="36:79" ht="18" hidden="1" customHeight="1" x14ac:dyDescent="0.15">
      <c r="AJ111" s="271" t="e">
        <f>AJ108*AL118*AJ118/AK118</f>
        <v>#VALUE!</v>
      </c>
      <c r="AK111" s="272"/>
      <c r="AL111" s="118" t="e">
        <f t="shared" si="33"/>
        <v>#VALUE!</v>
      </c>
      <c r="AM111" s="118" t="e">
        <f>AL111^3+AJ102*AL111+AK102</f>
        <v>#VALUE!</v>
      </c>
      <c r="AN111" s="118" t="e">
        <f>3*AL111^2+AJ102</f>
        <v>#VALUE!</v>
      </c>
      <c r="AO111" s="118" t="e">
        <f t="shared" si="28"/>
        <v>#VALUE!</v>
      </c>
      <c r="AP111" s="14" t="s">
        <v>246</v>
      </c>
      <c r="AQ111" s="124" t="e">
        <f>AJ118*AM118^2/(8*AO116)</f>
        <v>#VALUE!</v>
      </c>
      <c r="AS111" s="271" t="e">
        <f>AS108*AU118*AS118/AT118</f>
        <v>#VALUE!</v>
      </c>
      <c r="AT111" s="272"/>
      <c r="AU111" s="118" t="e">
        <f t="shared" si="34"/>
        <v>#VALUE!</v>
      </c>
      <c r="AV111" s="118" t="e">
        <f>AU111^3+AS102*AU111+AT102</f>
        <v>#VALUE!</v>
      </c>
      <c r="AW111" s="118" t="e">
        <f>3*AU111^2+AS102</f>
        <v>#VALUE!</v>
      </c>
      <c r="AX111" s="118" t="e">
        <f t="shared" si="29"/>
        <v>#VALUE!</v>
      </c>
      <c r="AY111" s="14" t="s">
        <v>246</v>
      </c>
      <c r="AZ111" s="124" t="e">
        <f>AS118*AV118^2/(8*AX116)</f>
        <v>#VALUE!</v>
      </c>
      <c r="BB111" s="271" t="e">
        <f>BB108*BD118*BB118/BC118</f>
        <v>#VALUE!</v>
      </c>
      <c r="BC111" s="272"/>
      <c r="BD111" s="118" t="e">
        <f t="shared" si="35"/>
        <v>#VALUE!</v>
      </c>
      <c r="BE111" s="118" t="e">
        <f>BD111^3+BB102*BD111+BC102</f>
        <v>#VALUE!</v>
      </c>
      <c r="BF111" s="118" t="e">
        <f>3*BD111^2+BB102</f>
        <v>#VALUE!</v>
      </c>
      <c r="BG111" s="118" t="e">
        <f t="shared" si="30"/>
        <v>#VALUE!</v>
      </c>
      <c r="BH111" s="14" t="s">
        <v>246</v>
      </c>
      <c r="BI111" s="124" t="e">
        <f>BB118*BE118^2/(8*BG116)</f>
        <v>#VALUE!</v>
      </c>
      <c r="BK111" s="271" t="e">
        <f>BK108*BM118*BK118/BL118</f>
        <v>#VALUE!</v>
      </c>
      <c r="BL111" s="272"/>
      <c r="BM111" s="118" t="e">
        <f t="shared" si="36"/>
        <v>#VALUE!</v>
      </c>
      <c r="BN111" s="118" t="e">
        <f>BM111^3+BK102*BM111+BL102</f>
        <v>#VALUE!</v>
      </c>
      <c r="BO111" s="118" t="e">
        <f>3*BM111^2+BK102</f>
        <v>#VALUE!</v>
      </c>
      <c r="BP111" s="118" t="e">
        <f t="shared" si="31"/>
        <v>#VALUE!</v>
      </c>
      <c r="BQ111" s="14" t="s">
        <v>246</v>
      </c>
      <c r="BR111" s="124" t="e">
        <f>BK118*BN118^2/(8*BP116)</f>
        <v>#VALUE!</v>
      </c>
      <c r="BT111" s="271" t="e">
        <f>BT108*BV118*BT118/BU118</f>
        <v>#VALUE!</v>
      </c>
      <c r="BU111" s="272"/>
      <c r="BV111" s="118" t="e">
        <f t="shared" si="37"/>
        <v>#VALUE!</v>
      </c>
      <c r="BW111" s="118" t="e">
        <f>BV111^3+BT102*BV111+BU102</f>
        <v>#VALUE!</v>
      </c>
      <c r="BX111" s="118" t="e">
        <f>3*BV111^2+BT102</f>
        <v>#VALUE!</v>
      </c>
      <c r="BY111" s="118" t="e">
        <f t="shared" si="32"/>
        <v>#VALUE!</v>
      </c>
      <c r="BZ111" s="14" t="s">
        <v>246</v>
      </c>
      <c r="CA111" s="124" t="e">
        <f>BT118*BW118^2/(8*BY116)</f>
        <v>#VALUE!</v>
      </c>
    </row>
    <row r="112" spans="36:79" ht="18" hidden="1" customHeight="1" x14ac:dyDescent="0.15">
      <c r="AJ112" s="125"/>
      <c r="AK112" s="126"/>
      <c r="AL112" s="118" t="e">
        <f t="shared" si="33"/>
        <v>#VALUE!</v>
      </c>
      <c r="AM112" s="118" t="e">
        <f>AL112^3+AJ102*AL112+AK102</f>
        <v>#VALUE!</v>
      </c>
      <c r="AN112" s="118" t="e">
        <f>3*AL112^2+AJ102</f>
        <v>#VALUE!</v>
      </c>
      <c r="AO112" s="118" t="e">
        <f t="shared" si="28"/>
        <v>#VALUE!</v>
      </c>
      <c r="AP112" s="116"/>
      <c r="AQ112" s="117"/>
      <c r="AS112" s="125"/>
      <c r="AT112" s="126"/>
      <c r="AU112" s="118" t="e">
        <f t="shared" si="34"/>
        <v>#VALUE!</v>
      </c>
      <c r="AV112" s="118" t="e">
        <f>AU112^3+AS102*AU112+AT102</f>
        <v>#VALUE!</v>
      </c>
      <c r="AW112" s="118" t="e">
        <f>3*AU112^2+AS102</f>
        <v>#VALUE!</v>
      </c>
      <c r="AX112" s="118" t="e">
        <f t="shared" si="29"/>
        <v>#VALUE!</v>
      </c>
      <c r="AY112" s="116"/>
      <c r="AZ112" s="117"/>
      <c r="BB112" s="125"/>
      <c r="BC112" s="126"/>
      <c r="BD112" s="118" t="e">
        <f t="shared" si="35"/>
        <v>#VALUE!</v>
      </c>
      <c r="BE112" s="118" t="e">
        <f>BD112^3+BB102*BD112+BC102</f>
        <v>#VALUE!</v>
      </c>
      <c r="BF112" s="118" t="e">
        <f>3*BD112^2+BB102</f>
        <v>#VALUE!</v>
      </c>
      <c r="BG112" s="118" t="e">
        <f t="shared" si="30"/>
        <v>#VALUE!</v>
      </c>
      <c r="BH112" s="116"/>
      <c r="BI112" s="117"/>
      <c r="BK112" s="125"/>
      <c r="BL112" s="126"/>
      <c r="BM112" s="118" t="e">
        <f t="shared" si="36"/>
        <v>#VALUE!</v>
      </c>
      <c r="BN112" s="118" t="e">
        <f>BM112^3+BK102*BM112+BL102</f>
        <v>#VALUE!</v>
      </c>
      <c r="BO112" s="118" t="e">
        <f>3*BM112^2+BK102</f>
        <v>#VALUE!</v>
      </c>
      <c r="BP112" s="118" t="e">
        <f t="shared" si="31"/>
        <v>#VALUE!</v>
      </c>
      <c r="BQ112" s="116"/>
      <c r="BR112" s="117"/>
      <c r="BT112" s="125"/>
      <c r="BU112" s="126"/>
      <c r="BV112" s="118" t="e">
        <f t="shared" si="37"/>
        <v>#VALUE!</v>
      </c>
      <c r="BW112" s="118" t="e">
        <f>BV112^3+BT102*BV112+BU102</f>
        <v>#VALUE!</v>
      </c>
      <c r="BX112" s="118" t="e">
        <f>3*BV112^2+BT102</f>
        <v>#VALUE!</v>
      </c>
      <c r="BY112" s="118" t="e">
        <f t="shared" si="32"/>
        <v>#VALUE!</v>
      </c>
      <c r="BZ112" s="116"/>
      <c r="CA112" s="117"/>
    </row>
    <row r="113" spans="36:79" ht="18" hidden="1" customHeight="1" x14ac:dyDescent="0.15">
      <c r="AJ113" s="125"/>
      <c r="AK113" s="126"/>
      <c r="AL113" s="118" t="e">
        <f t="shared" si="33"/>
        <v>#VALUE!</v>
      </c>
      <c r="AM113" s="118" t="e">
        <f>AL113^3+AJ102*AL113+AK102</f>
        <v>#VALUE!</v>
      </c>
      <c r="AN113" s="118" t="e">
        <f>3*AL113^2+AJ102</f>
        <v>#VALUE!</v>
      </c>
      <c r="AO113" s="118" t="e">
        <f t="shared" si="28"/>
        <v>#VALUE!</v>
      </c>
      <c r="AP113" s="112" t="s">
        <v>147</v>
      </c>
      <c r="AQ113" s="113">
        <v>-15</v>
      </c>
      <c r="AS113" s="125"/>
      <c r="AT113" s="126"/>
      <c r="AU113" s="118" t="e">
        <f t="shared" si="34"/>
        <v>#VALUE!</v>
      </c>
      <c r="AV113" s="118" t="e">
        <f>AU113^3+AS102*AU113+AT102</f>
        <v>#VALUE!</v>
      </c>
      <c r="AW113" s="118" t="e">
        <f>3*AU113^2+AS102</f>
        <v>#VALUE!</v>
      </c>
      <c r="AX113" s="118" t="e">
        <f t="shared" si="29"/>
        <v>#VALUE!</v>
      </c>
      <c r="AY113" s="112" t="s">
        <v>147</v>
      </c>
      <c r="AZ113" s="113">
        <v>-15</v>
      </c>
      <c r="BB113" s="125"/>
      <c r="BC113" s="126"/>
      <c r="BD113" s="118" t="e">
        <f t="shared" si="35"/>
        <v>#VALUE!</v>
      </c>
      <c r="BE113" s="118" t="e">
        <f>BD113^3+BB102*BD113+BC102</f>
        <v>#VALUE!</v>
      </c>
      <c r="BF113" s="118" t="e">
        <f>3*BD113^2+BB102</f>
        <v>#VALUE!</v>
      </c>
      <c r="BG113" s="118" t="e">
        <f t="shared" si="30"/>
        <v>#VALUE!</v>
      </c>
      <c r="BH113" s="112" t="s">
        <v>147</v>
      </c>
      <c r="BI113" s="113">
        <v>-15</v>
      </c>
      <c r="BK113" s="125"/>
      <c r="BL113" s="126"/>
      <c r="BM113" s="118" t="e">
        <f t="shared" si="36"/>
        <v>#VALUE!</v>
      </c>
      <c r="BN113" s="118" t="e">
        <f>BM113^3+BK102*BM113+BL102</f>
        <v>#VALUE!</v>
      </c>
      <c r="BO113" s="118" t="e">
        <f>3*BM113^2+BK102</f>
        <v>#VALUE!</v>
      </c>
      <c r="BP113" s="118" t="e">
        <f t="shared" si="31"/>
        <v>#VALUE!</v>
      </c>
      <c r="BQ113" s="112" t="s">
        <v>147</v>
      </c>
      <c r="BR113" s="113">
        <v>-15</v>
      </c>
      <c r="BT113" s="125"/>
      <c r="BU113" s="126"/>
      <c r="BV113" s="118" t="e">
        <f t="shared" si="37"/>
        <v>#VALUE!</v>
      </c>
      <c r="BW113" s="118" t="e">
        <f>BV113^3+BT102*BV113+BU102</f>
        <v>#VALUE!</v>
      </c>
      <c r="BX113" s="118" t="e">
        <f>3*BV113^2+BT102</f>
        <v>#VALUE!</v>
      </c>
      <c r="BY113" s="118" t="e">
        <f t="shared" si="32"/>
        <v>#VALUE!</v>
      </c>
      <c r="BZ113" s="112" t="s">
        <v>147</v>
      </c>
      <c r="CA113" s="113">
        <v>-15</v>
      </c>
    </row>
    <row r="114" spans="36:79" ht="18" hidden="1" customHeight="1" x14ac:dyDescent="0.15">
      <c r="AJ114" s="125"/>
      <c r="AK114" s="126"/>
      <c r="AL114" s="118" t="e">
        <f t="shared" si="33"/>
        <v>#VALUE!</v>
      </c>
      <c r="AM114" s="118" t="e">
        <f>AL114^3+AJ102*AL114+AK102</f>
        <v>#VALUE!</v>
      </c>
      <c r="AN114" s="118" t="e">
        <f>3*AL114^2+AJ102</f>
        <v>#VALUE!</v>
      </c>
      <c r="AO114" s="118" t="e">
        <f t="shared" si="28"/>
        <v>#VALUE!</v>
      </c>
      <c r="AP114" s="128" t="s">
        <v>218</v>
      </c>
      <c r="AQ114" s="32"/>
      <c r="AS114" s="125"/>
      <c r="AT114" s="126"/>
      <c r="AU114" s="118" t="e">
        <f t="shared" si="34"/>
        <v>#VALUE!</v>
      </c>
      <c r="AV114" s="118" t="e">
        <f>AU114^3+AS102*AU114+AT102</f>
        <v>#VALUE!</v>
      </c>
      <c r="AW114" s="118" t="e">
        <f>3*AU114^2+AS102</f>
        <v>#VALUE!</v>
      </c>
      <c r="AX114" s="118" t="e">
        <f t="shared" si="29"/>
        <v>#VALUE!</v>
      </c>
      <c r="AY114" s="128" t="s">
        <v>219</v>
      </c>
      <c r="AZ114" s="32"/>
      <c r="BB114" s="125"/>
      <c r="BC114" s="126"/>
      <c r="BD114" s="118" t="e">
        <f t="shared" si="35"/>
        <v>#VALUE!</v>
      </c>
      <c r="BE114" s="118" t="e">
        <f>BD114^3+BB102*BD114+BC102</f>
        <v>#VALUE!</v>
      </c>
      <c r="BF114" s="118" t="e">
        <f>3*BD114^2+BB102</f>
        <v>#VALUE!</v>
      </c>
      <c r="BG114" s="118" t="e">
        <f t="shared" si="30"/>
        <v>#VALUE!</v>
      </c>
      <c r="BH114" s="128" t="s">
        <v>220</v>
      </c>
      <c r="BI114" s="32"/>
      <c r="BK114" s="125"/>
      <c r="BL114" s="126"/>
      <c r="BM114" s="118" t="e">
        <f t="shared" si="36"/>
        <v>#VALUE!</v>
      </c>
      <c r="BN114" s="118" t="e">
        <f>BM114^3+BK102*BM114+BL102</f>
        <v>#VALUE!</v>
      </c>
      <c r="BO114" s="118" t="e">
        <f>3*BM114^2+BK102</f>
        <v>#VALUE!</v>
      </c>
      <c r="BP114" s="118" t="e">
        <f t="shared" si="31"/>
        <v>#VALUE!</v>
      </c>
      <c r="BQ114" s="128" t="s">
        <v>221</v>
      </c>
      <c r="BR114" s="32"/>
      <c r="BT114" s="125"/>
      <c r="BU114" s="126"/>
      <c r="BV114" s="118" t="e">
        <f t="shared" si="37"/>
        <v>#VALUE!</v>
      </c>
      <c r="BW114" s="118" t="e">
        <f>BV114^3+BT102*BV114+BU102</f>
        <v>#VALUE!</v>
      </c>
      <c r="BX114" s="118" t="e">
        <f>3*BV114^2+BT102</f>
        <v>#VALUE!</v>
      </c>
      <c r="BY114" s="118" t="e">
        <f t="shared" si="32"/>
        <v>#VALUE!</v>
      </c>
      <c r="BZ114" s="128" t="s">
        <v>222</v>
      </c>
      <c r="CA114" s="32"/>
    </row>
    <row r="115" spans="36:79" ht="18" hidden="1" customHeight="1" x14ac:dyDescent="0.15">
      <c r="AJ115" s="125"/>
      <c r="AK115" s="126"/>
      <c r="AL115" s="18" t="e">
        <f t="shared" si="33"/>
        <v>#VALUE!</v>
      </c>
      <c r="AM115" s="18" t="e">
        <f>AL115^3+AJ102*AL115+AK102</f>
        <v>#VALUE!</v>
      </c>
      <c r="AN115" s="18" t="e">
        <f>3*AL115^2+AJ102</f>
        <v>#VALUE!</v>
      </c>
      <c r="AO115" s="18" t="e">
        <f t="shared" si="28"/>
        <v>#VALUE!</v>
      </c>
      <c r="AP115" s="279" t="s">
        <v>247</v>
      </c>
      <c r="AQ115" s="280"/>
      <c r="AS115" s="125"/>
      <c r="AT115" s="126"/>
      <c r="AU115" s="18" t="e">
        <f t="shared" si="34"/>
        <v>#VALUE!</v>
      </c>
      <c r="AV115" s="18" t="e">
        <f>AU115^3+AS102*AU115+AT102</f>
        <v>#VALUE!</v>
      </c>
      <c r="AW115" s="18" t="e">
        <f>3*AU115^2+AS102</f>
        <v>#VALUE!</v>
      </c>
      <c r="AX115" s="18" t="e">
        <f t="shared" si="29"/>
        <v>#VALUE!</v>
      </c>
      <c r="AY115" s="279" t="s">
        <v>247</v>
      </c>
      <c r="AZ115" s="280"/>
      <c r="BB115" s="125"/>
      <c r="BC115" s="126"/>
      <c r="BD115" s="18" t="e">
        <f t="shared" si="35"/>
        <v>#VALUE!</v>
      </c>
      <c r="BE115" s="18" t="e">
        <f>BD115^3+BB102*BD115+BC102</f>
        <v>#VALUE!</v>
      </c>
      <c r="BF115" s="18" t="e">
        <f>3*BD115^2+BB102</f>
        <v>#VALUE!</v>
      </c>
      <c r="BG115" s="18" t="e">
        <f t="shared" si="30"/>
        <v>#VALUE!</v>
      </c>
      <c r="BH115" s="279" t="s">
        <v>247</v>
      </c>
      <c r="BI115" s="280"/>
      <c r="BK115" s="125"/>
      <c r="BL115" s="126"/>
      <c r="BM115" s="18" t="e">
        <f t="shared" si="36"/>
        <v>#VALUE!</v>
      </c>
      <c r="BN115" s="18" t="e">
        <f>BM115^3+BK102*BM115+BL102</f>
        <v>#VALUE!</v>
      </c>
      <c r="BO115" s="18" t="e">
        <f>3*BM115^2+BK102</f>
        <v>#VALUE!</v>
      </c>
      <c r="BP115" s="18" t="e">
        <f t="shared" si="31"/>
        <v>#VALUE!</v>
      </c>
      <c r="BQ115" s="279" t="s">
        <v>247</v>
      </c>
      <c r="BR115" s="280"/>
      <c r="BT115" s="125"/>
      <c r="BU115" s="126"/>
      <c r="BV115" s="18" t="e">
        <f t="shared" si="37"/>
        <v>#VALUE!</v>
      </c>
      <c r="BW115" s="18" t="e">
        <f>BV115^3+BT102*BV115+BU102</f>
        <v>#VALUE!</v>
      </c>
      <c r="BX115" s="18" t="e">
        <f>3*BV115^2+BT102</f>
        <v>#VALUE!</v>
      </c>
      <c r="BY115" s="18" t="e">
        <f t="shared" si="32"/>
        <v>#VALUE!</v>
      </c>
      <c r="BZ115" s="279" t="s">
        <v>247</v>
      </c>
      <c r="CA115" s="280"/>
    </row>
    <row r="116" spans="36:79" ht="18" hidden="1" customHeight="1" thickBot="1" x14ac:dyDescent="0.2">
      <c r="AJ116" s="125"/>
      <c r="AK116" s="126"/>
      <c r="AL116" s="114" t="e">
        <f t="shared" si="33"/>
        <v>#VALUE!</v>
      </c>
      <c r="AM116" s="115" t="e">
        <f>AL116^3+AJ102*AL116+AK102</f>
        <v>#VALUE!</v>
      </c>
      <c r="AN116" s="115" t="e">
        <f>3*AL116^2+AJ102</f>
        <v>#VALUE!</v>
      </c>
      <c r="AO116" s="115" t="e">
        <f t="shared" si="28"/>
        <v>#VALUE!</v>
      </c>
      <c r="AP116" s="281"/>
      <c r="AQ116" s="282"/>
      <c r="AS116" s="125"/>
      <c r="AT116" s="126"/>
      <c r="AU116" s="114" t="e">
        <f t="shared" si="34"/>
        <v>#VALUE!</v>
      </c>
      <c r="AV116" s="115" t="e">
        <f>AU116^3+AS102*AU116+AT102</f>
        <v>#VALUE!</v>
      </c>
      <c r="AW116" s="115" t="e">
        <f>3*AU116^2+AS102</f>
        <v>#VALUE!</v>
      </c>
      <c r="AX116" s="115" t="e">
        <f t="shared" si="29"/>
        <v>#VALUE!</v>
      </c>
      <c r="AY116" s="281"/>
      <c r="AZ116" s="282"/>
      <c r="BB116" s="125"/>
      <c r="BC116" s="126"/>
      <c r="BD116" s="114" t="e">
        <f t="shared" si="35"/>
        <v>#VALUE!</v>
      </c>
      <c r="BE116" s="115" t="e">
        <f>BD116^3+BB102*BD116+BC102</f>
        <v>#VALUE!</v>
      </c>
      <c r="BF116" s="115" t="e">
        <f>3*BD116^2+BB102</f>
        <v>#VALUE!</v>
      </c>
      <c r="BG116" s="115" t="e">
        <f t="shared" si="30"/>
        <v>#VALUE!</v>
      </c>
      <c r="BH116" s="281"/>
      <c r="BI116" s="282"/>
      <c r="BK116" s="125"/>
      <c r="BL116" s="126"/>
      <c r="BM116" s="114" t="e">
        <f t="shared" si="36"/>
        <v>#VALUE!</v>
      </c>
      <c r="BN116" s="115" t="e">
        <f>BM116^3+BK102*BM116+BL102</f>
        <v>#VALUE!</v>
      </c>
      <c r="BO116" s="115" t="e">
        <f>3*BM116^2+BK102</f>
        <v>#VALUE!</v>
      </c>
      <c r="BP116" s="115" t="e">
        <f t="shared" si="31"/>
        <v>#VALUE!</v>
      </c>
      <c r="BQ116" s="281"/>
      <c r="BR116" s="282"/>
      <c r="BT116" s="125"/>
      <c r="BU116" s="126"/>
      <c r="BV116" s="114" t="e">
        <f t="shared" si="37"/>
        <v>#VALUE!</v>
      </c>
      <c r="BW116" s="115" t="e">
        <f>BV116^3+BT102*BV116+BU102</f>
        <v>#VALUE!</v>
      </c>
      <c r="BX116" s="115" t="e">
        <f>3*BV116^2+BT102</f>
        <v>#VALUE!</v>
      </c>
      <c r="BY116" s="115" t="e">
        <f t="shared" si="32"/>
        <v>#VALUE!</v>
      </c>
      <c r="BZ116" s="281"/>
      <c r="CA116" s="282"/>
    </row>
    <row r="117" spans="36:79" ht="18" hidden="1" customHeight="1" x14ac:dyDescent="0.15">
      <c r="AJ117" s="62" t="s">
        <v>223</v>
      </c>
      <c r="AK117" s="12" t="s">
        <v>224</v>
      </c>
      <c r="AL117" s="12" t="s">
        <v>225</v>
      </c>
      <c r="AM117" s="12" t="s">
        <v>226</v>
      </c>
      <c r="AN117" s="12" t="s">
        <v>227</v>
      </c>
      <c r="AO117" s="63" t="s">
        <v>228</v>
      </c>
      <c r="AP117" s="12" t="s">
        <v>229</v>
      </c>
      <c r="AQ117" s="13" t="s">
        <v>230</v>
      </c>
      <c r="AS117" s="62" t="s">
        <v>223</v>
      </c>
      <c r="AT117" s="12" t="s">
        <v>224</v>
      </c>
      <c r="AU117" s="12" t="s">
        <v>225</v>
      </c>
      <c r="AV117" s="12" t="s">
        <v>226</v>
      </c>
      <c r="AW117" s="12" t="s">
        <v>227</v>
      </c>
      <c r="AX117" s="63" t="s">
        <v>228</v>
      </c>
      <c r="AY117" s="12" t="s">
        <v>229</v>
      </c>
      <c r="AZ117" s="13" t="s">
        <v>230</v>
      </c>
      <c r="BB117" s="62" t="s">
        <v>223</v>
      </c>
      <c r="BC117" s="12" t="s">
        <v>224</v>
      </c>
      <c r="BD117" s="12" t="s">
        <v>225</v>
      </c>
      <c r="BE117" s="12" t="s">
        <v>226</v>
      </c>
      <c r="BF117" s="12" t="s">
        <v>227</v>
      </c>
      <c r="BG117" s="63" t="s">
        <v>228</v>
      </c>
      <c r="BH117" s="12" t="s">
        <v>229</v>
      </c>
      <c r="BI117" s="13" t="s">
        <v>230</v>
      </c>
      <c r="BK117" s="62" t="s">
        <v>223</v>
      </c>
      <c r="BL117" s="12" t="s">
        <v>224</v>
      </c>
      <c r="BM117" s="12" t="s">
        <v>225</v>
      </c>
      <c r="BN117" s="12" t="s">
        <v>226</v>
      </c>
      <c r="BO117" s="12" t="s">
        <v>227</v>
      </c>
      <c r="BP117" s="63" t="s">
        <v>228</v>
      </c>
      <c r="BQ117" s="12" t="s">
        <v>229</v>
      </c>
      <c r="BR117" s="13" t="s">
        <v>230</v>
      </c>
      <c r="BT117" s="62" t="s">
        <v>223</v>
      </c>
      <c r="BU117" s="12" t="s">
        <v>224</v>
      </c>
      <c r="BV117" s="12" t="s">
        <v>225</v>
      </c>
      <c r="BW117" s="12" t="s">
        <v>226</v>
      </c>
      <c r="BX117" s="12" t="s">
        <v>227</v>
      </c>
      <c r="BY117" s="63" t="s">
        <v>228</v>
      </c>
      <c r="BZ117" s="12" t="s">
        <v>229</v>
      </c>
      <c r="CA117" s="13" t="s">
        <v>230</v>
      </c>
    </row>
    <row r="118" spans="36:79" ht="18" hidden="1" customHeight="1" thickBot="1" x14ac:dyDescent="0.2">
      <c r="AJ118" s="107" t="str">
        <f>P23</f>
        <v/>
      </c>
      <c r="AK118" s="108" t="e">
        <f>M23+U23</f>
        <v>#VALUE!</v>
      </c>
      <c r="AL118" s="108">
        <f>IF(C33="",L19*(F19/40)^2,C33)</f>
        <v>0</v>
      </c>
      <c r="AM118" s="108">
        <f>F19</f>
        <v>0</v>
      </c>
      <c r="AN118" s="108" t="e">
        <f>AK78*1600/(8*L19)</f>
        <v>#VALUE!</v>
      </c>
      <c r="AO118" s="109">
        <f>V23</f>
        <v>0</v>
      </c>
      <c r="AP118" s="108" t="str">
        <f>L23</f>
        <v/>
      </c>
      <c r="AQ118" s="110">
        <f>W23</f>
        <v>0</v>
      </c>
      <c r="AS118" s="107" t="str">
        <f>IF(B24="使用電線-2",P24,IF(B25="使用電線-2",P25,IF(B26="使用電線-2",P26,IF(B27="使用電線-2",P27,IF(B28="使用電線-2",P28,IF(B29="使用電線-2",P29,""))))))</f>
        <v/>
      </c>
      <c r="AT118" s="108" t="str">
        <f>IF(B24="使用電線-2",M24+U24,IF(B25="使用電線-2",M25+U25,IF(B26="使用電線-2",M26+U26,IF(B27="使用電線-2",M27+U27,IF(B28="使用電線-2",M28+U28,IF(B29="使用電線-2",M29+U29,""))))))</f>
        <v/>
      </c>
      <c r="AU118" s="108">
        <f>IF(I33="",L19*(F19/40)^2,I33)</f>
        <v>0</v>
      </c>
      <c r="AV118" s="108">
        <f>F19</f>
        <v>0</v>
      </c>
      <c r="AW118" s="108" t="e">
        <f>AT118*1600/(8*L19)</f>
        <v>#VALUE!</v>
      </c>
      <c r="AX118" s="109" t="str">
        <f>IF(B24="使用電線-2",V24,IF(B25="使用電線-2",V25,IF(B26="使用電線-2",V26,IF(B27="使用電線-2",V27,IF(B28="使用電線-2",V28,IF(B29="使用電線-2",V29,""))))))</f>
        <v/>
      </c>
      <c r="AY118" s="108" t="str">
        <f>IF(B24="使用電線-2",L24,IF(B25="使用電線-2",L25,IF(B26="使用電線-2",L26,IF(B27="使用電線-2",L27,IF(B28="使用電線-2",L28,IF(B29="使用電線-2",L29,""))))))</f>
        <v/>
      </c>
      <c r="AZ118" s="110" t="str">
        <f>IF(B24="使用電線-2",W24,IF(B25="使用電線-2",W25,IF(B26="使用電線-2",W26,IF(B27="使用電線-2",W27,IF(B28="使用電線-2",W28,IF(B29="使用電線-2",W29,""))))))</f>
        <v/>
      </c>
      <c r="BB118" s="107" t="str">
        <f>IF(B25="使用電線-3",P25,IF(B26="使用電線-3",P26,IF(B27="使用電線-3",P27,IF(B28="使用電線-3",P28,IF(B29="使用電線-3",P29,"")))))</f>
        <v/>
      </c>
      <c r="BC118" s="108" t="str">
        <f>IF(B25="使用電線-3",M25+U25,IF(B26="使用電線-3",M26+U26,IF(B27="使用電線-3",M27+U27,IF(B28="使用電線-3",M28+U28,IF(B29="使用電線-3",M29+U29,"")))))</f>
        <v/>
      </c>
      <c r="BD118" s="108">
        <f>IF(N33="",L19*(F19/40)^2,N33)</f>
        <v>0</v>
      </c>
      <c r="BE118" s="108">
        <f>F19</f>
        <v>0</v>
      </c>
      <c r="BF118" s="108" t="e">
        <f>BC118*1600/(8*L19)</f>
        <v>#VALUE!</v>
      </c>
      <c r="BG118" s="109" t="str">
        <f>IF(B25="使用電線-3",V25,IF(B26="使用電線-3",V26,IF(B27="使用電線-3",V27,IF(B28="使用電線-3",V28,IF(B29="使用電線-3",V29,"")))))</f>
        <v/>
      </c>
      <c r="BH118" s="108" t="str">
        <f>IF(B25="使用電線-3",L25,IF(B26="使用電線-3",L26,IF(B27="使用電線-3",L27,IF(B28="使用電線-3",L28,IF(B29="使用電線-3",L29,"")))))</f>
        <v/>
      </c>
      <c r="BI118" s="110" t="str">
        <f>IF(B25="使用電線-3",W25,IF(B26="使用電線-3",W26,IF(B27="使用電線-3",W27,IF(B28="使用電線-3",W28,IF(B29="使用電線-3",W29,"")))))</f>
        <v/>
      </c>
      <c r="BK118" s="107" t="str">
        <f>IF(B26="使用電線-4",P26,IF(B27="使用電線-4",P27,IF(B28="使用電線-4",P28,IF(B29="使用電線-4",P29,""))))</f>
        <v/>
      </c>
      <c r="BL118" s="108" t="str">
        <f>IF(B26="使用電線-4",M26+U26,IF(B27="使用電線-4",M27+U27,IF(B28="使用電線-4",M28+U28,IF(B29="使用電線-4",M29+U29,""))))</f>
        <v/>
      </c>
      <c r="BM118" s="108">
        <f>IF(C47="",L19*(F19/40)^2,C47)</f>
        <v>0</v>
      </c>
      <c r="BN118" s="108">
        <f>F19</f>
        <v>0</v>
      </c>
      <c r="BO118" s="127" t="e">
        <f>BL118*1600/(8*L19)</f>
        <v>#VALUE!</v>
      </c>
      <c r="BP118" s="109" t="str">
        <f>IF(B26="使用電線-4",V26,IF(B27="使用電線-4",V27,IF(B28="使用電線-4",V28,IF(B29="使用電線-4",V29,""))))</f>
        <v/>
      </c>
      <c r="BQ118" s="108" t="str">
        <f>IF(B26="使用電線-4",L26,IF(B27="使用電線-4",L27,IF(B28="使用電線-4",L28,IF(B29="使用電線-4",L29,""))))</f>
        <v/>
      </c>
      <c r="BR118" s="110" t="str">
        <f>IF(B26="使用電線-4",W26,IF(B27="使用電線-4",W27,IF(B28="使用電線-4",W28,IF(B29="使用電線-4",W29,""))))</f>
        <v/>
      </c>
      <c r="BT118" s="107" t="str">
        <f>IF(B27="使用電線-5",P27,IF(B28="使用電線-5",P28,IF(B29="使用電線-5",P29,"")))</f>
        <v/>
      </c>
      <c r="BU118" s="108" t="str">
        <f>IF(B27="使用電線-5",M27+U27,IF(B28="使用電線-5",M28+U28,IF(B29="使用電線-5",M29+U29,"")))</f>
        <v/>
      </c>
      <c r="BV118" s="108">
        <f>IF(I47="",L19*(F19/40)^2,I47)</f>
        <v>0</v>
      </c>
      <c r="BW118" s="108">
        <f>F19</f>
        <v>0</v>
      </c>
      <c r="BX118" s="127" t="e">
        <f>BU118*1600/(8*L19)</f>
        <v>#VALUE!</v>
      </c>
      <c r="BY118" s="109" t="str">
        <f>IF(B27="使用電線-5",V27,IF(B28="使用電線-5",V28,IF(B29="使用電線-5",V29,"")))</f>
        <v/>
      </c>
      <c r="BZ118" s="108" t="str">
        <f>IF(B27="使用電線-5",L27,IF(B28="使用電線-5",L28,IF(B29="使用電線-5",L29,"")))</f>
        <v/>
      </c>
      <c r="CA118" s="110" t="str">
        <f>IF(B27="使用電線-5",W27,IF(B28="使用電線-5",W28,IF(B29="使用電線-5",W29,"")))</f>
        <v/>
      </c>
    </row>
    <row r="119" spans="36:79" ht="18" hidden="1" customHeight="1" x14ac:dyDescent="0.15"/>
    <row r="120" spans="36:79" ht="18" hidden="1" customHeight="1" thickBot="1" x14ac:dyDescent="0.2"/>
    <row r="121" spans="36:79" ht="18" hidden="1" customHeight="1" x14ac:dyDescent="0.15">
      <c r="AJ121" s="2" t="s">
        <v>232</v>
      </c>
      <c r="AK121" s="111" t="s">
        <v>233</v>
      </c>
      <c r="AL121" s="12" t="s">
        <v>234</v>
      </c>
      <c r="AM121" s="12" t="s">
        <v>235</v>
      </c>
      <c r="AN121" s="12" t="s">
        <v>236</v>
      </c>
      <c r="AO121" s="12" t="s">
        <v>237</v>
      </c>
      <c r="AP121" s="12" t="s">
        <v>238</v>
      </c>
      <c r="AQ121" s="13" t="s">
        <v>239</v>
      </c>
      <c r="AS121" s="2" t="s">
        <v>232</v>
      </c>
      <c r="AT121" s="111" t="s">
        <v>233</v>
      </c>
      <c r="AU121" s="12" t="s">
        <v>234</v>
      </c>
      <c r="AV121" s="12" t="s">
        <v>235</v>
      </c>
      <c r="AW121" s="12" t="s">
        <v>236</v>
      </c>
      <c r="AX121" s="12" t="s">
        <v>237</v>
      </c>
      <c r="AY121" s="12" t="s">
        <v>238</v>
      </c>
      <c r="AZ121" s="13" t="s">
        <v>239</v>
      </c>
      <c r="BB121" s="2" t="s">
        <v>232</v>
      </c>
      <c r="BC121" s="111" t="s">
        <v>233</v>
      </c>
      <c r="BD121" s="12" t="s">
        <v>234</v>
      </c>
      <c r="BE121" s="12" t="s">
        <v>235</v>
      </c>
      <c r="BF121" s="12" t="s">
        <v>236</v>
      </c>
      <c r="BG121" s="12" t="s">
        <v>237</v>
      </c>
      <c r="BH121" s="12" t="s">
        <v>238</v>
      </c>
      <c r="BI121" s="13" t="s">
        <v>239</v>
      </c>
      <c r="BK121" s="2" t="s">
        <v>232</v>
      </c>
      <c r="BL121" s="111" t="s">
        <v>233</v>
      </c>
      <c r="BM121" s="12" t="s">
        <v>234</v>
      </c>
      <c r="BN121" s="12" t="s">
        <v>235</v>
      </c>
      <c r="BO121" s="12" t="s">
        <v>236</v>
      </c>
      <c r="BP121" s="12" t="s">
        <v>237</v>
      </c>
      <c r="BQ121" s="12" t="s">
        <v>238</v>
      </c>
      <c r="BR121" s="13" t="s">
        <v>239</v>
      </c>
      <c r="BT121" s="2" t="s">
        <v>232</v>
      </c>
      <c r="BU121" s="111" t="s">
        <v>233</v>
      </c>
      <c r="BV121" s="12" t="s">
        <v>234</v>
      </c>
      <c r="BW121" s="12" t="s">
        <v>235</v>
      </c>
      <c r="BX121" s="12" t="s">
        <v>236</v>
      </c>
      <c r="BY121" s="12" t="s">
        <v>237</v>
      </c>
      <c r="BZ121" s="12" t="s">
        <v>238</v>
      </c>
      <c r="CA121" s="13" t="s">
        <v>239</v>
      </c>
    </row>
    <row r="122" spans="36:79" ht="18" hidden="1" customHeight="1" x14ac:dyDescent="0.15">
      <c r="AJ122" s="16" t="e">
        <f>-AJ125+AJ128</f>
        <v>#VALUE!</v>
      </c>
      <c r="AK122" s="17" t="e">
        <f>-AJ131</f>
        <v>#VALUE!</v>
      </c>
      <c r="AL122" s="18" t="e">
        <f>IF(AND(AP125&lt;0,AQ125&lt;0),AQ122*1.2,IF(AND(AP125&gt;0,AQ125&gt;0),AP122*0.8,10))</f>
        <v>#VALUE!</v>
      </c>
      <c r="AM122" s="18" t="e">
        <f>AL122^3+AJ122*AL122+AK122</f>
        <v>#VALUE!</v>
      </c>
      <c r="AN122" s="18" t="e">
        <f>3*AL122^2+AJ122</f>
        <v>#VALUE!</v>
      </c>
      <c r="AO122" s="18" t="e">
        <f t="shared" ref="AO122:AO136" si="38">AL122-AM122/AN122</f>
        <v>#VALUE!</v>
      </c>
      <c r="AP122" s="18" t="e">
        <f>-SQRT(ABS(-4*3*AJ122))/6</f>
        <v>#VALUE!</v>
      </c>
      <c r="AQ122" s="19" t="e">
        <f>SQRT(ABS(-4*3*AJ122))/6</f>
        <v>#VALUE!</v>
      </c>
      <c r="AS122" s="16" t="e">
        <f>-AS125+AS128</f>
        <v>#VALUE!</v>
      </c>
      <c r="AT122" s="17" t="e">
        <f>-AS131</f>
        <v>#VALUE!</v>
      </c>
      <c r="AU122" s="18" t="e">
        <f>IF(AND(AY125&lt;0,AZ125&lt;0),AZ122*1.2,IF(AND(AY125&gt;0,AZ125&gt;0),AY122*0.8,10))</f>
        <v>#VALUE!</v>
      </c>
      <c r="AV122" s="18" t="e">
        <f>AU122^3+AS122*AU122+AT122</f>
        <v>#VALUE!</v>
      </c>
      <c r="AW122" s="18" t="e">
        <f>3*AU122^2+AS122</f>
        <v>#VALUE!</v>
      </c>
      <c r="AX122" s="18" t="e">
        <f t="shared" ref="AX122:AX136" si="39">AU122-AV122/AW122</f>
        <v>#VALUE!</v>
      </c>
      <c r="AY122" s="18" t="e">
        <f>-SQRT(ABS(-4*3*AS122))/6</f>
        <v>#VALUE!</v>
      </c>
      <c r="AZ122" s="19" t="e">
        <f>SQRT(ABS(-4*3*AS122))/6</f>
        <v>#VALUE!</v>
      </c>
      <c r="BB122" s="16" t="e">
        <f>-BB125+BB128</f>
        <v>#VALUE!</v>
      </c>
      <c r="BC122" s="17" t="e">
        <f>-BB131</f>
        <v>#VALUE!</v>
      </c>
      <c r="BD122" s="18" t="e">
        <f>IF(AND(BH125&lt;0,BI125&lt;0),BI122*1.2,IF(AND(BH125&gt;0,BI125&gt;0),BH122*0.8,10))</f>
        <v>#VALUE!</v>
      </c>
      <c r="BE122" s="18" t="e">
        <f>BD122^3+BB122*BD122+BC122</f>
        <v>#VALUE!</v>
      </c>
      <c r="BF122" s="18" t="e">
        <f>3*BD122^2+BB122</f>
        <v>#VALUE!</v>
      </c>
      <c r="BG122" s="18" t="e">
        <f t="shared" ref="BG122:BG136" si="40">BD122-BE122/BF122</f>
        <v>#VALUE!</v>
      </c>
      <c r="BH122" s="18" t="e">
        <f>-SQRT(ABS(-4*3*BB122))/6</f>
        <v>#VALUE!</v>
      </c>
      <c r="BI122" s="19" t="e">
        <f>SQRT(ABS(-4*3*BB122))/6</f>
        <v>#VALUE!</v>
      </c>
      <c r="BK122" s="16" t="e">
        <f>-BK125+BK128</f>
        <v>#VALUE!</v>
      </c>
      <c r="BL122" s="17" t="e">
        <f>-BK131</f>
        <v>#VALUE!</v>
      </c>
      <c r="BM122" s="18" t="e">
        <f>IF(AND(BQ125&lt;0,BR125&lt;0),BR122*1.2,IF(AND(BQ125&gt;0,BR125&gt;0),BQ122*0.8,10))</f>
        <v>#VALUE!</v>
      </c>
      <c r="BN122" s="18" t="e">
        <f>BM122^3+BK122*BM122+BL122</f>
        <v>#VALUE!</v>
      </c>
      <c r="BO122" s="18" t="e">
        <f>3*BM122^2+BK122</f>
        <v>#VALUE!</v>
      </c>
      <c r="BP122" s="18" t="e">
        <f t="shared" ref="BP122:BP136" si="41">BM122-BN122/BO122</f>
        <v>#VALUE!</v>
      </c>
      <c r="BQ122" s="18" t="e">
        <f>-SQRT(ABS(-4*3*BK122))/6</f>
        <v>#VALUE!</v>
      </c>
      <c r="BR122" s="19" t="e">
        <f>SQRT(ABS(-4*3*BK122))/6</f>
        <v>#VALUE!</v>
      </c>
      <c r="BT122" s="16" t="e">
        <f>-BT125+BT128</f>
        <v>#VALUE!</v>
      </c>
      <c r="BU122" s="17" t="e">
        <f>-BT131</f>
        <v>#VALUE!</v>
      </c>
      <c r="BV122" s="18" t="e">
        <f>IF(AND(BZ125&lt;0,CA125&lt;0),CA122*1.2,IF(AND(BZ125&gt;0,CA125&gt;0),BZ122*0.8,10))</f>
        <v>#VALUE!</v>
      </c>
      <c r="BW122" s="18" t="e">
        <f>BV122^3+BT122*BV122+BU122</f>
        <v>#VALUE!</v>
      </c>
      <c r="BX122" s="18" t="e">
        <f>3*BV122^2+BT122</f>
        <v>#VALUE!</v>
      </c>
      <c r="BY122" s="18" t="e">
        <f t="shared" ref="BY122:BY136" si="42">BV122-BW122/BX122</f>
        <v>#VALUE!</v>
      </c>
      <c r="BZ122" s="18" t="e">
        <f>-SQRT(ABS(-4*3*BT122))/6</f>
        <v>#VALUE!</v>
      </c>
      <c r="CA122" s="19" t="e">
        <f>SQRT(ABS(-4*3*BT122))/6</f>
        <v>#VALUE!</v>
      </c>
    </row>
    <row r="123" spans="36:79" ht="18" hidden="1" customHeight="1" x14ac:dyDescent="0.15">
      <c r="AJ123" s="267"/>
      <c r="AK123" s="268"/>
      <c r="AL123" s="18" t="e">
        <f t="shared" ref="AL123:AL136" si="43">AO122</f>
        <v>#VALUE!</v>
      </c>
      <c r="AM123" s="18" t="e">
        <f>AL123^3+AJ122*AL123+AK122</f>
        <v>#VALUE!</v>
      </c>
      <c r="AN123" s="18" t="e">
        <f>3*AL123^2+AJ122</f>
        <v>#VALUE!</v>
      </c>
      <c r="AO123" s="18" t="e">
        <f t="shared" si="38"/>
        <v>#VALUE!</v>
      </c>
      <c r="AP123" s="6"/>
      <c r="AQ123" s="7"/>
      <c r="AS123" s="267"/>
      <c r="AT123" s="268"/>
      <c r="AU123" s="18" t="e">
        <f t="shared" ref="AU123:AU136" si="44">AX122</f>
        <v>#VALUE!</v>
      </c>
      <c r="AV123" s="18" t="e">
        <f>AU123^3+AS122*AU123+AT122</f>
        <v>#VALUE!</v>
      </c>
      <c r="AW123" s="18" t="e">
        <f>3*AU123^2+AS122</f>
        <v>#VALUE!</v>
      </c>
      <c r="AX123" s="18" t="e">
        <f t="shared" si="39"/>
        <v>#VALUE!</v>
      </c>
      <c r="AY123" s="6"/>
      <c r="AZ123" s="7"/>
      <c r="BB123" s="267"/>
      <c r="BC123" s="268"/>
      <c r="BD123" s="18" t="e">
        <f t="shared" ref="BD123:BD136" si="45">BG122</f>
        <v>#VALUE!</v>
      </c>
      <c r="BE123" s="18" t="e">
        <f>BD123^3+BB122*BD123+BC122</f>
        <v>#VALUE!</v>
      </c>
      <c r="BF123" s="18" t="e">
        <f>3*BD123^2+BB122</f>
        <v>#VALUE!</v>
      </c>
      <c r="BG123" s="18" t="e">
        <f t="shared" si="40"/>
        <v>#VALUE!</v>
      </c>
      <c r="BH123" s="6"/>
      <c r="BI123" s="7"/>
      <c r="BK123" s="267"/>
      <c r="BL123" s="268"/>
      <c r="BM123" s="18" t="e">
        <f t="shared" ref="BM123:BM136" si="46">BP122</f>
        <v>#VALUE!</v>
      </c>
      <c r="BN123" s="18" t="e">
        <f>BM123^3+BK122*BM123+BL122</f>
        <v>#VALUE!</v>
      </c>
      <c r="BO123" s="18" t="e">
        <f>3*BM123^2+BK122</f>
        <v>#VALUE!</v>
      </c>
      <c r="BP123" s="18" t="e">
        <f t="shared" si="41"/>
        <v>#VALUE!</v>
      </c>
      <c r="BQ123" s="6"/>
      <c r="BR123" s="7"/>
      <c r="BT123" s="267"/>
      <c r="BU123" s="268"/>
      <c r="BV123" s="18" t="e">
        <f t="shared" ref="BV123:BV136" si="47">BY122</f>
        <v>#VALUE!</v>
      </c>
      <c r="BW123" s="18" t="e">
        <f>BV123^3+BT122*BV123+BU122</f>
        <v>#VALUE!</v>
      </c>
      <c r="BX123" s="18" t="e">
        <f>3*BV123^2+BT122</f>
        <v>#VALUE!</v>
      </c>
      <c r="BY123" s="18" t="e">
        <f t="shared" si="42"/>
        <v>#VALUE!</v>
      </c>
      <c r="BZ123" s="6"/>
      <c r="CA123" s="7"/>
    </row>
    <row r="124" spans="36:79" ht="18" hidden="1" customHeight="1" x14ac:dyDescent="0.15">
      <c r="AJ124" s="269" t="s">
        <v>240</v>
      </c>
      <c r="AK124" s="270"/>
      <c r="AL124" s="18" t="e">
        <f t="shared" si="43"/>
        <v>#VALUE!</v>
      </c>
      <c r="AM124" s="18" t="e">
        <f>AL124^3+AJ122*AL124+AK122</f>
        <v>#VALUE!</v>
      </c>
      <c r="AN124" s="18" t="e">
        <f>3*AL124^2+AJ122</f>
        <v>#VALUE!</v>
      </c>
      <c r="AO124" s="18" t="e">
        <f t="shared" si="38"/>
        <v>#VALUE!</v>
      </c>
      <c r="AP124" s="14" t="s">
        <v>241</v>
      </c>
      <c r="AQ124" s="15" t="s">
        <v>242</v>
      </c>
      <c r="AS124" s="269" t="s">
        <v>240</v>
      </c>
      <c r="AT124" s="270"/>
      <c r="AU124" s="18" t="e">
        <f t="shared" si="44"/>
        <v>#VALUE!</v>
      </c>
      <c r="AV124" s="18" t="e">
        <f>AU124^3+AS122*AU124+AT122</f>
        <v>#VALUE!</v>
      </c>
      <c r="AW124" s="18" t="e">
        <f>3*AU124^2+AS122</f>
        <v>#VALUE!</v>
      </c>
      <c r="AX124" s="18" t="e">
        <f t="shared" si="39"/>
        <v>#VALUE!</v>
      </c>
      <c r="AY124" s="14" t="s">
        <v>241</v>
      </c>
      <c r="AZ124" s="15" t="s">
        <v>242</v>
      </c>
      <c r="BB124" s="269" t="s">
        <v>240</v>
      </c>
      <c r="BC124" s="270"/>
      <c r="BD124" s="18" t="e">
        <f t="shared" si="45"/>
        <v>#VALUE!</v>
      </c>
      <c r="BE124" s="18" t="e">
        <f>BD124^3+BB122*BD124+BC122</f>
        <v>#VALUE!</v>
      </c>
      <c r="BF124" s="18" t="e">
        <f>3*BD124^2+BB122</f>
        <v>#VALUE!</v>
      </c>
      <c r="BG124" s="18" t="e">
        <f t="shared" si="40"/>
        <v>#VALUE!</v>
      </c>
      <c r="BH124" s="14" t="s">
        <v>241</v>
      </c>
      <c r="BI124" s="15" t="s">
        <v>242</v>
      </c>
      <c r="BK124" s="269" t="s">
        <v>240</v>
      </c>
      <c r="BL124" s="270"/>
      <c r="BM124" s="18" t="e">
        <f t="shared" si="46"/>
        <v>#VALUE!</v>
      </c>
      <c r="BN124" s="18" t="e">
        <f>BM124^3+BK122*BM124+BL122</f>
        <v>#VALUE!</v>
      </c>
      <c r="BO124" s="18" t="e">
        <f>3*BM124^2+BK122</f>
        <v>#VALUE!</v>
      </c>
      <c r="BP124" s="18" t="e">
        <f t="shared" si="41"/>
        <v>#VALUE!</v>
      </c>
      <c r="BQ124" s="14" t="s">
        <v>241</v>
      </c>
      <c r="BR124" s="15" t="s">
        <v>242</v>
      </c>
      <c r="BT124" s="269" t="s">
        <v>240</v>
      </c>
      <c r="BU124" s="270"/>
      <c r="BV124" s="18" t="e">
        <f t="shared" si="47"/>
        <v>#VALUE!</v>
      </c>
      <c r="BW124" s="18" t="e">
        <f>BV124^3+BT122*BV124+BU122</f>
        <v>#VALUE!</v>
      </c>
      <c r="BX124" s="18" t="e">
        <f>3*BV124^2+BT122</f>
        <v>#VALUE!</v>
      </c>
      <c r="BY124" s="18" t="e">
        <f t="shared" si="42"/>
        <v>#VALUE!</v>
      </c>
      <c r="BZ124" s="14" t="s">
        <v>241</v>
      </c>
      <c r="CA124" s="15" t="s">
        <v>242</v>
      </c>
    </row>
    <row r="125" spans="36:79" ht="18" hidden="1" customHeight="1" x14ac:dyDescent="0.15">
      <c r="AJ125" s="269">
        <f>(AL138^2)+3*(AM138^2)*AQ138*(AQ133-15)/(8*10^7)</f>
        <v>0</v>
      </c>
      <c r="AK125" s="270"/>
      <c r="AL125" s="18" t="e">
        <f t="shared" si="43"/>
        <v>#VALUE!</v>
      </c>
      <c r="AM125" s="18" t="e">
        <f>AL125^3+AJ122*AL125+AK122</f>
        <v>#VALUE!</v>
      </c>
      <c r="AN125" s="18" t="e">
        <f>3*AL125^2+AJ122</f>
        <v>#VALUE!</v>
      </c>
      <c r="AO125" s="18" t="e">
        <f t="shared" si="38"/>
        <v>#VALUE!</v>
      </c>
      <c r="AP125" s="18" t="e">
        <f>AP122^3+AJ122*AP122+AK122</f>
        <v>#VALUE!</v>
      </c>
      <c r="AQ125" s="19" t="e">
        <f>AQ122^3+AJ122*AQ122+AK122</f>
        <v>#VALUE!</v>
      </c>
      <c r="AS125" s="269" t="e">
        <f>(AU138^2)+3*(AV138^2)*AZ138*(AZ133-15)/(8*10^7)</f>
        <v>#VALUE!</v>
      </c>
      <c r="AT125" s="270"/>
      <c r="AU125" s="18" t="e">
        <f t="shared" si="44"/>
        <v>#VALUE!</v>
      </c>
      <c r="AV125" s="18" t="e">
        <f>AU125^3+AS122*AU125+AT122</f>
        <v>#VALUE!</v>
      </c>
      <c r="AW125" s="18" t="e">
        <f>3*AU125^2+AS122</f>
        <v>#VALUE!</v>
      </c>
      <c r="AX125" s="18" t="e">
        <f t="shared" si="39"/>
        <v>#VALUE!</v>
      </c>
      <c r="AY125" s="18" t="e">
        <f>AY122^3+AS122*AY122+AT122</f>
        <v>#VALUE!</v>
      </c>
      <c r="AZ125" s="19" t="e">
        <f>AZ122^3+AS122*AZ122+AT122</f>
        <v>#VALUE!</v>
      </c>
      <c r="BB125" s="269" t="e">
        <f>(BD138^2)+3*(BE138^2)*BI138*(BI133-15)/(8*10^7)</f>
        <v>#VALUE!</v>
      </c>
      <c r="BC125" s="270"/>
      <c r="BD125" s="18" t="e">
        <f t="shared" si="45"/>
        <v>#VALUE!</v>
      </c>
      <c r="BE125" s="18" t="e">
        <f>BD125^3+BB122*BD125+BC122</f>
        <v>#VALUE!</v>
      </c>
      <c r="BF125" s="18" t="e">
        <f>3*BD125^2+BB122</f>
        <v>#VALUE!</v>
      </c>
      <c r="BG125" s="18" t="e">
        <f t="shared" si="40"/>
        <v>#VALUE!</v>
      </c>
      <c r="BH125" s="18" t="e">
        <f>BH122^3+BB122*BH122+BC122</f>
        <v>#VALUE!</v>
      </c>
      <c r="BI125" s="19" t="e">
        <f>BI122^3+BB122*BI122+BC122</f>
        <v>#VALUE!</v>
      </c>
      <c r="BK125" s="269" t="e">
        <f>(BM138^2)+3*(BN138^2)*BR138*(BR133-15)/(8*10^7)</f>
        <v>#VALUE!</v>
      </c>
      <c r="BL125" s="270"/>
      <c r="BM125" s="18" t="e">
        <f t="shared" si="46"/>
        <v>#VALUE!</v>
      </c>
      <c r="BN125" s="18" t="e">
        <f>BM125^3+BK122*BM125+BL122</f>
        <v>#VALUE!</v>
      </c>
      <c r="BO125" s="18" t="e">
        <f>3*BM125^2+BK122</f>
        <v>#VALUE!</v>
      </c>
      <c r="BP125" s="18" t="e">
        <f t="shared" si="41"/>
        <v>#VALUE!</v>
      </c>
      <c r="BQ125" s="18" t="e">
        <f>BQ122^3+BK122*BQ122+BL122</f>
        <v>#VALUE!</v>
      </c>
      <c r="BR125" s="19" t="e">
        <f>BR122^3+BK122*BR122+BL122</f>
        <v>#VALUE!</v>
      </c>
      <c r="BT125" s="269" t="e">
        <f>(BV138^2)+3*(BW138^2)*CA138*(CA133-15)/(8*10^7)</f>
        <v>#VALUE!</v>
      </c>
      <c r="BU125" s="270"/>
      <c r="BV125" s="18" t="e">
        <f t="shared" si="47"/>
        <v>#VALUE!</v>
      </c>
      <c r="BW125" s="18" t="e">
        <f>BV125^3+BT122*BV125+BU122</f>
        <v>#VALUE!</v>
      </c>
      <c r="BX125" s="18" t="e">
        <f>3*BV125^2+BT122</f>
        <v>#VALUE!</v>
      </c>
      <c r="BY125" s="18" t="e">
        <f t="shared" si="42"/>
        <v>#VALUE!</v>
      </c>
      <c r="BZ125" s="18" t="e">
        <f>BZ122^3+BT122*BZ122+BU122</f>
        <v>#VALUE!</v>
      </c>
      <c r="CA125" s="19" t="e">
        <f>CA122^3+BT122*CA122+BU122</f>
        <v>#VALUE!</v>
      </c>
    </row>
    <row r="126" spans="36:79" ht="18" hidden="1" customHeight="1" x14ac:dyDescent="0.15">
      <c r="AJ126" s="267"/>
      <c r="AK126" s="268"/>
      <c r="AL126" s="18" t="e">
        <f t="shared" si="43"/>
        <v>#VALUE!</v>
      </c>
      <c r="AM126" s="18" t="e">
        <f>AL126^3+AJ122*AL126+AK122</f>
        <v>#VALUE!</v>
      </c>
      <c r="AN126" s="18" t="e">
        <f>3*AL126^2+AJ122</f>
        <v>#VALUE!</v>
      </c>
      <c r="AO126" s="18" t="e">
        <f t="shared" si="38"/>
        <v>#VALUE!</v>
      </c>
      <c r="AP126" s="31"/>
      <c r="AQ126" s="32"/>
      <c r="AS126" s="267"/>
      <c r="AT126" s="268"/>
      <c r="AU126" s="18" t="e">
        <f t="shared" si="44"/>
        <v>#VALUE!</v>
      </c>
      <c r="AV126" s="18" t="e">
        <f>AU126^3+AS122*AU126+AT122</f>
        <v>#VALUE!</v>
      </c>
      <c r="AW126" s="18" t="e">
        <f>3*AU126^2+AS122</f>
        <v>#VALUE!</v>
      </c>
      <c r="AX126" s="18" t="e">
        <f t="shared" si="39"/>
        <v>#VALUE!</v>
      </c>
      <c r="AY126" s="31"/>
      <c r="AZ126" s="32"/>
      <c r="BB126" s="267"/>
      <c r="BC126" s="268"/>
      <c r="BD126" s="18" t="e">
        <f t="shared" si="45"/>
        <v>#VALUE!</v>
      </c>
      <c r="BE126" s="18" t="e">
        <f>BD126^3+BB122*BD126+BC122</f>
        <v>#VALUE!</v>
      </c>
      <c r="BF126" s="18" t="e">
        <f>3*BD126^2+BB122</f>
        <v>#VALUE!</v>
      </c>
      <c r="BG126" s="18" t="e">
        <f t="shared" si="40"/>
        <v>#VALUE!</v>
      </c>
      <c r="BH126" s="31"/>
      <c r="BI126" s="32"/>
      <c r="BK126" s="267"/>
      <c r="BL126" s="268"/>
      <c r="BM126" s="18" t="e">
        <f t="shared" si="46"/>
        <v>#VALUE!</v>
      </c>
      <c r="BN126" s="18" t="e">
        <f>BM126^3+BK122*BM126+BL122</f>
        <v>#VALUE!</v>
      </c>
      <c r="BO126" s="18" t="e">
        <f>3*BM126^2+BK122</f>
        <v>#VALUE!</v>
      </c>
      <c r="BP126" s="18" t="e">
        <f t="shared" si="41"/>
        <v>#VALUE!</v>
      </c>
      <c r="BQ126" s="31"/>
      <c r="BR126" s="32"/>
      <c r="BT126" s="267"/>
      <c r="BU126" s="268"/>
      <c r="BV126" s="18" t="e">
        <f t="shared" si="47"/>
        <v>#VALUE!</v>
      </c>
      <c r="BW126" s="18" t="e">
        <f>BV126^3+BT122*BV126+BU122</f>
        <v>#VALUE!</v>
      </c>
      <c r="BX126" s="18" t="e">
        <f>3*BV126^2+BT122</f>
        <v>#VALUE!</v>
      </c>
      <c r="BY126" s="18" t="e">
        <f t="shared" si="42"/>
        <v>#VALUE!</v>
      </c>
      <c r="BZ126" s="31"/>
      <c r="CA126" s="32"/>
    </row>
    <row r="127" spans="36:79" ht="18" hidden="1" customHeight="1" x14ac:dyDescent="0.15">
      <c r="AJ127" s="269" t="s">
        <v>243</v>
      </c>
      <c r="AK127" s="270"/>
      <c r="AL127" s="18" t="e">
        <f t="shared" si="43"/>
        <v>#VALUE!</v>
      </c>
      <c r="AM127" s="18" t="e">
        <f>AL127^3+AJ122*AL127+AK122</f>
        <v>#VALUE!</v>
      </c>
      <c r="AN127" s="18" t="e">
        <f>3*AL127^2+AJ122</f>
        <v>#VALUE!</v>
      </c>
      <c r="AO127" s="18" t="e">
        <f t="shared" si="38"/>
        <v>#VALUE!</v>
      </c>
      <c r="AP127" s="31"/>
      <c r="AQ127" s="32"/>
      <c r="AS127" s="269" t="s">
        <v>243</v>
      </c>
      <c r="AT127" s="270"/>
      <c r="AU127" s="18" t="e">
        <f t="shared" si="44"/>
        <v>#VALUE!</v>
      </c>
      <c r="AV127" s="18" t="e">
        <f>AU127^3+AS122*AU127+AT122</f>
        <v>#VALUE!</v>
      </c>
      <c r="AW127" s="18" t="e">
        <f>3*AU127^2+AS122</f>
        <v>#VALUE!</v>
      </c>
      <c r="AX127" s="18" t="e">
        <f t="shared" si="39"/>
        <v>#VALUE!</v>
      </c>
      <c r="AY127" s="31"/>
      <c r="AZ127" s="32"/>
      <c r="BB127" s="269" t="s">
        <v>243</v>
      </c>
      <c r="BC127" s="270"/>
      <c r="BD127" s="18" t="e">
        <f t="shared" si="45"/>
        <v>#VALUE!</v>
      </c>
      <c r="BE127" s="18" t="e">
        <f>BD127^3+BB122*BD127+BC122</f>
        <v>#VALUE!</v>
      </c>
      <c r="BF127" s="18" t="e">
        <f>3*BD127^2+BB122</f>
        <v>#VALUE!</v>
      </c>
      <c r="BG127" s="18" t="e">
        <f t="shared" si="40"/>
        <v>#VALUE!</v>
      </c>
      <c r="BH127" s="31"/>
      <c r="BI127" s="32"/>
      <c r="BK127" s="269" t="s">
        <v>243</v>
      </c>
      <c r="BL127" s="270"/>
      <c r="BM127" s="18" t="e">
        <f t="shared" si="46"/>
        <v>#VALUE!</v>
      </c>
      <c r="BN127" s="18" t="e">
        <f>BM127^3+BK122*BM127+BL122</f>
        <v>#VALUE!</v>
      </c>
      <c r="BO127" s="18" t="e">
        <f>3*BM127^2+BK122</f>
        <v>#VALUE!</v>
      </c>
      <c r="BP127" s="18" t="e">
        <f t="shared" si="41"/>
        <v>#VALUE!</v>
      </c>
      <c r="BQ127" s="31"/>
      <c r="BR127" s="32"/>
      <c r="BT127" s="269" t="s">
        <v>243</v>
      </c>
      <c r="BU127" s="270"/>
      <c r="BV127" s="18" t="e">
        <f t="shared" si="47"/>
        <v>#VALUE!</v>
      </c>
      <c r="BW127" s="18" t="e">
        <f>BV127^3+BT122*BV127+BU122</f>
        <v>#VALUE!</v>
      </c>
      <c r="BX127" s="18" t="e">
        <f>3*BV127^2+BT122</f>
        <v>#VALUE!</v>
      </c>
      <c r="BY127" s="18" t="e">
        <f t="shared" si="42"/>
        <v>#VALUE!</v>
      </c>
      <c r="BZ127" s="31"/>
      <c r="CA127" s="32"/>
    </row>
    <row r="128" spans="36:79" ht="18" hidden="1" customHeight="1" x14ac:dyDescent="0.15">
      <c r="AJ128" s="277" t="e">
        <f>3*(AM138^2)*AN138/(8*AO138*AP138)</f>
        <v>#VALUE!</v>
      </c>
      <c r="AK128" s="278"/>
      <c r="AL128" s="118" t="e">
        <f t="shared" si="43"/>
        <v>#VALUE!</v>
      </c>
      <c r="AM128" s="118" t="e">
        <f>AL128^3+AJ122*AL128+AK122</f>
        <v>#VALUE!</v>
      </c>
      <c r="AN128" s="118" t="e">
        <f>3*AL128^2+AJ122</f>
        <v>#VALUE!</v>
      </c>
      <c r="AO128" s="118" t="e">
        <f t="shared" si="38"/>
        <v>#VALUE!</v>
      </c>
      <c r="AP128" s="116"/>
      <c r="AQ128" s="117"/>
      <c r="AS128" s="277" t="e">
        <f>3*(AV138^2)*AW138/(8*AX138*AY138)</f>
        <v>#VALUE!</v>
      </c>
      <c r="AT128" s="278"/>
      <c r="AU128" s="118" t="e">
        <f t="shared" si="44"/>
        <v>#VALUE!</v>
      </c>
      <c r="AV128" s="118" t="e">
        <f>AU128^3+AS122*AU128+AT122</f>
        <v>#VALUE!</v>
      </c>
      <c r="AW128" s="118" t="e">
        <f>3*AU128^2+AS122</f>
        <v>#VALUE!</v>
      </c>
      <c r="AX128" s="118" t="e">
        <f t="shared" si="39"/>
        <v>#VALUE!</v>
      </c>
      <c r="AY128" s="116"/>
      <c r="AZ128" s="117"/>
      <c r="BB128" s="277" t="e">
        <f>3*(BE138^2)*BF138/(8*BG138*BH138)</f>
        <v>#VALUE!</v>
      </c>
      <c r="BC128" s="278"/>
      <c r="BD128" s="118" t="e">
        <f t="shared" si="45"/>
        <v>#VALUE!</v>
      </c>
      <c r="BE128" s="118" t="e">
        <f>BD128^3+BB122*BD128+BC122</f>
        <v>#VALUE!</v>
      </c>
      <c r="BF128" s="118" t="e">
        <f>3*BD128^2+BB122</f>
        <v>#VALUE!</v>
      </c>
      <c r="BG128" s="118" t="e">
        <f t="shared" si="40"/>
        <v>#VALUE!</v>
      </c>
      <c r="BH128" s="116"/>
      <c r="BI128" s="117"/>
      <c r="BK128" s="277" t="e">
        <f>3*(BN138^2)*BO138/(8*BP138*BQ138)</f>
        <v>#VALUE!</v>
      </c>
      <c r="BL128" s="278"/>
      <c r="BM128" s="118" t="e">
        <f t="shared" si="46"/>
        <v>#VALUE!</v>
      </c>
      <c r="BN128" s="118" t="e">
        <f>BM128^3+BK122*BM128+BL122</f>
        <v>#VALUE!</v>
      </c>
      <c r="BO128" s="118" t="e">
        <f>3*BM128^2+BK122</f>
        <v>#VALUE!</v>
      </c>
      <c r="BP128" s="118" t="e">
        <f t="shared" si="41"/>
        <v>#VALUE!</v>
      </c>
      <c r="BQ128" s="116"/>
      <c r="BR128" s="117"/>
      <c r="BT128" s="277" t="e">
        <f>3*(BW138^2)*BX138/(8*BY138*BZ138)</f>
        <v>#VALUE!</v>
      </c>
      <c r="BU128" s="278"/>
      <c r="BV128" s="118" t="e">
        <f t="shared" si="47"/>
        <v>#VALUE!</v>
      </c>
      <c r="BW128" s="118" t="e">
        <f>BV128^3+BT122*BV128+BU122</f>
        <v>#VALUE!</v>
      </c>
      <c r="BX128" s="118" t="e">
        <f>3*BV128^2+BT122</f>
        <v>#VALUE!</v>
      </c>
      <c r="BY128" s="118" t="e">
        <f t="shared" si="42"/>
        <v>#VALUE!</v>
      </c>
      <c r="BZ128" s="116"/>
      <c r="CA128" s="117"/>
    </row>
    <row r="129" spans="36:79" ht="18" hidden="1" customHeight="1" x14ac:dyDescent="0.15">
      <c r="AJ129" s="121"/>
      <c r="AK129" s="122"/>
      <c r="AL129" s="118" t="e">
        <f t="shared" si="43"/>
        <v>#VALUE!</v>
      </c>
      <c r="AM129" s="118" t="e">
        <f>AL129^3+AJ122*AL129+AK122</f>
        <v>#VALUE!</v>
      </c>
      <c r="AN129" s="118" t="e">
        <f>3*AL129^2+AJ122</f>
        <v>#VALUE!</v>
      </c>
      <c r="AO129" s="118" t="e">
        <f t="shared" si="38"/>
        <v>#VALUE!</v>
      </c>
      <c r="AP129" s="119"/>
      <c r="AQ129" s="120"/>
      <c r="AS129" s="121"/>
      <c r="AT129" s="122"/>
      <c r="AU129" s="118" t="e">
        <f t="shared" si="44"/>
        <v>#VALUE!</v>
      </c>
      <c r="AV129" s="118" t="e">
        <f>AU129^3+AS122*AU129+AT122</f>
        <v>#VALUE!</v>
      </c>
      <c r="AW129" s="118" t="e">
        <f>3*AU129^2+AS122</f>
        <v>#VALUE!</v>
      </c>
      <c r="AX129" s="118" t="e">
        <f t="shared" si="39"/>
        <v>#VALUE!</v>
      </c>
      <c r="AY129" s="119"/>
      <c r="AZ129" s="120"/>
      <c r="BB129" s="121"/>
      <c r="BC129" s="122"/>
      <c r="BD129" s="118" t="e">
        <f t="shared" si="45"/>
        <v>#VALUE!</v>
      </c>
      <c r="BE129" s="118" t="e">
        <f>BD129^3+BB122*BD129+BC122</f>
        <v>#VALUE!</v>
      </c>
      <c r="BF129" s="118" t="e">
        <f>3*BD129^2+BB122</f>
        <v>#VALUE!</v>
      </c>
      <c r="BG129" s="118" t="e">
        <f t="shared" si="40"/>
        <v>#VALUE!</v>
      </c>
      <c r="BH129" s="119"/>
      <c r="BI129" s="120"/>
      <c r="BK129" s="121"/>
      <c r="BL129" s="122"/>
      <c r="BM129" s="118" t="e">
        <f t="shared" si="46"/>
        <v>#VALUE!</v>
      </c>
      <c r="BN129" s="118" t="e">
        <f>BM129^3+BK122*BM129+BL122</f>
        <v>#VALUE!</v>
      </c>
      <c r="BO129" s="118" t="e">
        <f>3*BM129^2+BK122</f>
        <v>#VALUE!</v>
      </c>
      <c r="BP129" s="118" t="e">
        <f t="shared" si="41"/>
        <v>#VALUE!</v>
      </c>
      <c r="BQ129" s="119"/>
      <c r="BR129" s="120"/>
      <c r="BT129" s="121"/>
      <c r="BU129" s="122"/>
      <c r="BV129" s="118" t="e">
        <f t="shared" si="47"/>
        <v>#VALUE!</v>
      </c>
      <c r="BW129" s="118" t="e">
        <f>BV129^3+BT122*BV129+BU122</f>
        <v>#VALUE!</v>
      </c>
      <c r="BX129" s="118" t="e">
        <f>3*BV129^2+BT122</f>
        <v>#VALUE!</v>
      </c>
      <c r="BY129" s="118" t="e">
        <f t="shared" si="42"/>
        <v>#VALUE!</v>
      </c>
      <c r="BZ129" s="119"/>
      <c r="CA129" s="120"/>
    </row>
    <row r="130" spans="36:79" ht="18" hidden="1" customHeight="1" x14ac:dyDescent="0.15">
      <c r="AJ130" s="269" t="s">
        <v>244</v>
      </c>
      <c r="AK130" s="270"/>
      <c r="AL130" s="118" t="e">
        <f t="shared" si="43"/>
        <v>#VALUE!</v>
      </c>
      <c r="AM130" s="118" t="e">
        <f>AL130^3+AJ122*AL130+AK122</f>
        <v>#VALUE!</v>
      </c>
      <c r="AN130" s="118" t="e">
        <f>3*AL130^2+AJ122</f>
        <v>#VALUE!</v>
      </c>
      <c r="AO130" s="118" t="e">
        <f t="shared" si="38"/>
        <v>#VALUE!</v>
      </c>
      <c r="AP130" s="14" t="s">
        <v>245</v>
      </c>
      <c r="AQ130" s="123" t="e">
        <f>AO136</f>
        <v>#VALUE!</v>
      </c>
      <c r="AS130" s="269" t="s">
        <v>244</v>
      </c>
      <c r="AT130" s="270"/>
      <c r="AU130" s="118" t="e">
        <f t="shared" si="44"/>
        <v>#VALUE!</v>
      </c>
      <c r="AV130" s="118" t="e">
        <f>AU130^3+AS122*AU130+AT122</f>
        <v>#VALUE!</v>
      </c>
      <c r="AW130" s="118" t="e">
        <f>3*AU130^2+AS122</f>
        <v>#VALUE!</v>
      </c>
      <c r="AX130" s="118" t="e">
        <f t="shared" si="39"/>
        <v>#VALUE!</v>
      </c>
      <c r="AY130" s="14" t="s">
        <v>245</v>
      </c>
      <c r="AZ130" s="123" t="e">
        <f>AX136</f>
        <v>#VALUE!</v>
      </c>
      <c r="BB130" s="269" t="s">
        <v>244</v>
      </c>
      <c r="BC130" s="270"/>
      <c r="BD130" s="118" t="e">
        <f t="shared" si="45"/>
        <v>#VALUE!</v>
      </c>
      <c r="BE130" s="118" t="e">
        <f>BD130^3+BB122*BD130+BC122</f>
        <v>#VALUE!</v>
      </c>
      <c r="BF130" s="118" t="e">
        <f>3*BD130^2+BB122</f>
        <v>#VALUE!</v>
      </c>
      <c r="BG130" s="118" t="e">
        <f t="shared" si="40"/>
        <v>#VALUE!</v>
      </c>
      <c r="BH130" s="14" t="s">
        <v>245</v>
      </c>
      <c r="BI130" s="123" t="e">
        <f>BG136</f>
        <v>#VALUE!</v>
      </c>
      <c r="BK130" s="269" t="s">
        <v>244</v>
      </c>
      <c r="BL130" s="270"/>
      <c r="BM130" s="118" t="e">
        <f t="shared" si="46"/>
        <v>#VALUE!</v>
      </c>
      <c r="BN130" s="118" t="e">
        <f>BM130^3+BK122*BM130+BL122</f>
        <v>#VALUE!</v>
      </c>
      <c r="BO130" s="118" t="e">
        <f>3*BM130^2+BK122</f>
        <v>#VALUE!</v>
      </c>
      <c r="BP130" s="118" t="e">
        <f t="shared" si="41"/>
        <v>#VALUE!</v>
      </c>
      <c r="BQ130" s="14" t="s">
        <v>245</v>
      </c>
      <c r="BR130" s="123" t="e">
        <f>BP136</f>
        <v>#VALUE!</v>
      </c>
      <c r="BT130" s="269" t="s">
        <v>244</v>
      </c>
      <c r="BU130" s="270"/>
      <c r="BV130" s="118" t="e">
        <f t="shared" si="47"/>
        <v>#VALUE!</v>
      </c>
      <c r="BW130" s="118" t="e">
        <f>BV130^3+BT122*BV130+BU122</f>
        <v>#VALUE!</v>
      </c>
      <c r="BX130" s="118" t="e">
        <f>3*BV130^2+BT122</f>
        <v>#VALUE!</v>
      </c>
      <c r="BY130" s="118" t="e">
        <f t="shared" si="42"/>
        <v>#VALUE!</v>
      </c>
      <c r="BZ130" s="14" t="s">
        <v>245</v>
      </c>
      <c r="CA130" s="123" t="e">
        <f>BY136</f>
        <v>#VALUE!</v>
      </c>
    </row>
    <row r="131" spans="36:79" ht="18" hidden="1" customHeight="1" x14ac:dyDescent="0.15">
      <c r="AJ131" s="271" t="e">
        <f>AJ128*AL138*AK138/AK138</f>
        <v>#VALUE!</v>
      </c>
      <c r="AK131" s="272"/>
      <c r="AL131" s="118" t="e">
        <f t="shared" si="43"/>
        <v>#VALUE!</v>
      </c>
      <c r="AM131" s="118" t="e">
        <f>AL131^3+AJ122*AL131+AK122</f>
        <v>#VALUE!</v>
      </c>
      <c r="AN131" s="118" t="e">
        <f>3*AL131^2+AJ122</f>
        <v>#VALUE!</v>
      </c>
      <c r="AO131" s="118" t="e">
        <f t="shared" si="38"/>
        <v>#VALUE!</v>
      </c>
      <c r="AP131" s="14" t="s">
        <v>246</v>
      </c>
      <c r="AQ131" s="124" t="e">
        <f>AK138*AM138^2/(8*AO136)</f>
        <v>#VALUE!</v>
      </c>
      <c r="AS131" s="271" t="e">
        <f>AS128*AU138*AT138/AT138</f>
        <v>#VALUE!</v>
      </c>
      <c r="AT131" s="272"/>
      <c r="AU131" s="118" t="e">
        <f t="shared" si="44"/>
        <v>#VALUE!</v>
      </c>
      <c r="AV131" s="118" t="e">
        <f>AU131^3+AS122*AU131+AT122</f>
        <v>#VALUE!</v>
      </c>
      <c r="AW131" s="118" t="e">
        <f>3*AU131^2+AS122</f>
        <v>#VALUE!</v>
      </c>
      <c r="AX131" s="118" t="e">
        <f t="shared" si="39"/>
        <v>#VALUE!</v>
      </c>
      <c r="AY131" s="14" t="s">
        <v>246</v>
      </c>
      <c r="AZ131" s="124" t="e">
        <f>AT138*AV138^2/(8*AX136)</f>
        <v>#VALUE!</v>
      </c>
      <c r="BB131" s="271" t="e">
        <f>BB128*BD138*BC138/BC138</f>
        <v>#VALUE!</v>
      </c>
      <c r="BC131" s="272"/>
      <c r="BD131" s="118" t="e">
        <f t="shared" si="45"/>
        <v>#VALUE!</v>
      </c>
      <c r="BE131" s="118" t="e">
        <f>BD131^3+BB122*BD131+BC122</f>
        <v>#VALUE!</v>
      </c>
      <c r="BF131" s="118" t="e">
        <f>3*BD131^2+BB122</f>
        <v>#VALUE!</v>
      </c>
      <c r="BG131" s="118" t="e">
        <f t="shared" si="40"/>
        <v>#VALUE!</v>
      </c>
      <c r="BH131" s="14" t="s">
        <v>246</v>
      </c>
      <c r="BI131" s="124" t="e">
        <f>BC138*BE138^2/(8*BG136)</f>
        <v>#VALUE!</v>
      </c>
      <c r="BK131" s="271" t="e">
        <f>BK128*BM138*BL138/BL138</f>
        <v>#VALUE!</v>
      </c>
      <c r="BL131" s="272"/>
      <c r="BM131" s="118" t="e">
        <f t="shared" si="46"/>
        <v>#VALUE!</v>
      </c>
      <c r="BN131" s="118" t="e">
        <f>BM131^3+BK122*BM131+BL122</f>
        <v>#VALUE!</v>
      </c>
      <c r="BO131" s="118" t="e">
        <f>3*BM131^2+BK122</f>
        <v>#VALUE!</v>
      </c>
      <c r="BP131" s="118" t="e">
        <f t="shared" si="41"/>
        <v>#VALUE!</v>
      </c>
      <c r="BQ131" s="14" t="s">
        <v>246</v>
      </c>
      <c r="BR131" s="124" t="e">
        <f>BL138*BN138^2/(8*BP136)</f>
        <v>#VALUE!</v>
      </c>
      <c r="BT131" s="271" t="e">
        <f>BT128*BV138*BU138/BU138</f>
        <v>#VALUE!</v>
      </c>
      <c r="BU131" s="272"/>
      <c r="BV131" s="118" t="e">
        <f t="shared" si="47"/>
        <v>#VALUE!</v>
      </c>
      <c r="BW131" s="118" t="e">
        <f>BV131^3+BT122*BV131+BU122</f>
        <v>#VALUE!</v>
      </c>
      <c r="BX131" s="118" t="e">
        <f>3*BV131^2+BT122</f>
        <v>#VALUE!</v>
      </c>
      <c r="BY131" s="118" t="e">
        <f t="shared" si="42"/>
        <v>#VALUE!</v>
      </c>
      <c r="BZ131" s="14" t="s">
        <v>246</v>
      </c>
      <c r="CA131" s="124" t="e">
        <f>BU138*BW138^2/(8*BY136)</f>
        <v>#VALUE!</v>
      </c>
    </row>
    <row r="132" spans="36:79" ht="18" hidden="1" customHeight="1" x14ac:dyDescent="0.15">
      <c r="AJ132" s="125"/>
      <c r="AK132" s="126"/>
      <c r="AL132" s="118" t="e">
        <f t="shared" si="43"/>
        <v>#VALUE!</v>
      </c>
      <c r="AM132" s="118" t="e">
        <f>AL132^3+AJ122*AL132+AK122</f>
        <v>#VALUE!</v>
      </c>
      <c r="AN132" s="118" t="e">
        <f>3*AL132^2+AJ122</f>
        <v>#VALUE!</v>
      </c>
      <c r="AO132" s="118" t="e">
        <f t="shared" si="38"/>
        <v>#VALUE!</v>
      </c>
      <c r="AP132" s="116"/>
      <c r="AQ132" s="117"/>
      <c r="AS132" s="125"/>
      <c r="AT132" s="126"/>
      <c r="AU132" s="118" t="e">
        <f t="shared" si="44"/>
        <v>#VALUE!</v>
      </c>
      <c r="AV132" s="118" t="e">
        <f>AU132^3+AS122*AU132+AT122</f>
        <v>#VALUE!</v>
      </c>
      <c r="AW132" s="118" t="e">
        <f>3*AU132^2+AS122</f>
        <v>#VALUE!</v>
      </c>
      <c r="AX132" s="118" t="e">
        <f t="shared" si="39"/>
        <v>#VALUE!</v>
      </c>
      <c r="AY132" s="116"/>
      <c r="AZ132" s="117"/>
      <c r="BB132" s="125"/>
      <c r="BC132" s="126"/>
      <c r="BD132" s="118" t="e">
        <f t="shared" si="45"/>
        <v>#VALUE!</v>
      </c>
      <c r="BE132" s="118" t="e">
        <f>BD132^3+BB122*BD132+BC122</f>
        <v>#VALUE!</v>
      </c>
      <c r="BF132" s="118" t="e">
        <f>3*BD132^2+BB122</f>
        <v>#VALUE!</v>
      </c>
      <c r="BG132" s="118" t="e">
        <f t="shared" si="40"/>
        <v>#VALUE!</v>
      </c>
      <c r="BH132" s="116"/>
      <c r="BI132" s="117"/>
      <c r="BK132" s="125"/>
      <c r="BL132" s="126"/>
      <c r="BM132" s="118" t="e">
        <f t="shared" si="46"/>
        <v>#VALUE!</v>
      </c>
      <c r="BN132" s="118" t="e">
        <f>BM132^3+BK122*BM132+BL122</f>
        <v>#VALUE!</v>
      </c>
      <c r="BO132" s="118" t="e">
        <f>3*BM132^2+BK122</f>
        <v>#VALUE!</v>
      </c>
      <c r="BP132" s="118" t="e">
        <f t="shared" si="41"/>
        <v>#VALUE!</v>
      </c>
      <c r="BQ132" s="116"/>
      <c r="BR132" s="117"/>
      <c r="BT132" s="125"/>
      <c r="BU132" s="126"/>
      <c r="BV132" s="118" t="e">
        <f t="shared" si="47"/>
        <v>#VALUE!</v>
      </c>
      <c r="BW132" s="118" t="e">
        <f>BV132^3+BT122*BV132+BU122</f>
        <v>#VALUE!</v>
      </c>
      <c r="BX132" s="118" t="e">
        <f>3*BV132^2+BT122</f>
        <v>#VALUE!</v>
      </c>
      <c r="BY132" s="118" t="e">
        <f t="shared" si="42"/>
        <v>#VALUE!</v>
      </c>
      <c r="BZ132" s="116"/>
      <c r="CA132" s="117"/>
    </row>
    <row r="133" spans="36:79" ht="18" hidden="1" customHeight="1" x14ac:dyDescent="0.15">
      <c r="AJ133" s="125"/>
      <c r="AK133" s="126"/>
      <c r="AL133" s="118" t="e">
        <f t="shared" si="43"/>
        <v>#VALUE!</v>
      </c>
      <c r="AM133" s="118" t="e">
        <f>AL133^3+AJ122*AL133+AK122</f>
        <v>#VALUE!</v>
      </c>
      <c r="AN133" s="118" t="e">
        <f>3*AL133^2+AJ122</f>
        <v>#VALUE!</v>
      </c>
      <c r="AO133" s="118" t="e">
        <f t="shared" si="38"/>
        <v>#VALUE!</v>
      </c>
      <c r="AP133" s="112" t="s">
        <v>147</v>
      </c>
      <c r="AQ133" s="113">
        <v>0</v>
      </c>
      <c r="AS133" s="125"/>
      <c r="AT133" s="126"/>
      <c r="AU133" s="118" t="e">
        <f t="shared" si="44"/>
        <v>#VALUE!</v>
      </c>
      <c r="AV133" s="118" t="e">
        <f>AU133^3+AS122*AU133+AT122</f>
        <v>#VALUE!</v>
      </c>
      <c r="AW133" s="118" t="e">
        <f>3*AU133^2+AS122</f>
        <v>#VALUE!</v>
      </c>
      <c r="AX133" s="118" t="e">
        <f t="shared" si="39"/>
        <v>#VALUE!</v>
      </c>
      <c r="AY133" s="112" t="s">
        <v>147</v>
      </c>
      <c r="AZ133" s="113">
        <v>0</v>
      </c>
      <c r="BB133" s="125"/>
      <c r="BC133" s="126"/>
      <c r="BD133" s="118" t="e">
        <f t="shared" si="45"/>
        <v>#VALUE!</v>
      </c>
      <c r="BE133" s="118" t="e">
        <f>BD133^3+BB122*BD133+BC122</f>
        <v>#VALUE!</v>
      </c>
      <c r="BF133" s="118" t="e">
        <f>3*BD133^2+BB122</f>
        <v>#VALUE!</v>
      </c>
      <c r="BG133" s="118" t="e">
        <f t="shared" si="40"/>
        <v>#VALUE!</v>
      </c>
      <c r="BH133" s="112" t="s">
        <v>147</v>
      </c>
      <c r="BI133" s="113">
        <v>0</v>
      </c>
      <c r="BK133" s="125"/>
      <c r="BL133" s="126"/>
      <c r="BM133" s="118" t="e">
        <f t="shared" si="46"/>
        <v>#VALUE!</v>
      </c>
      <c r="BN133" s="118" t="e">
        <f>BM133^3+BK122*BM133+BL122</f>
        <v>#VALUE!</v>
      </c>
      <c r="BO133" s="118" t="e">
        <f>3*BM133^2+BK122</f>
        <v>#VALUE!</v>
      </c>
      <c r="BP133" s="118" t="e">
        <f t="shared" si="41"/>
        <v>#VALUE!</v>
      </c>
      <c r="BQ133" s="112" t="s">
        <v>147</v>
      </c>
      <c r="BR133" s="113">
        <v>0</v>
      </c>
      <c r="BT133" s="125"/>
      <c r="BU133" s="126"/>
      <c r="BV133" s="118" t="e">
        <f t="shared" si="47"/>
        <v>#VALUE!</v>
      </c>
      <c r="BW133" s="118" t="e">
        <f>BV133^3+BT122*BV133+BU122</f>
        <v>#VALUE!</v>
      </c>
      <c r="BX133" s="118" t="e">
        <f>3*BV133^2+BT122</f>
        <v>#VALUE!</v>
      </c>
      <c r="BY133" s="118" t="e">
        <f t="shared" si="42"/>
        <v>#VALUE!</v>
      </c>
      <c r="BZ133" s="112" t="s">
        <v>147</v>
      </c>
      <c r="CA133" s="113">
        <v>0</v>
      </c>
    </row>
    <row r="134" spans="36:79" ht="18" hidden="1" customHeight="1" x14ac:dyDescent="0.15">
      <c r="AJ134" s="125"/>
      <c r="AK134" s="126"/>
      <c r="AL134" s="118" t="e">
        <f t="shared" si="43"/>
        <v>#VALUE!</v>
      </c>
      <c r="AM134" s="118" t="e">
        <f>AL134^3+AJ122*AL134+AK122</f>
        <v>#VALUE!</v>
      </c>
      <c r="AN134" s="118" t="e">
        <f>3*AL134^2+AJ122</f>
        <v>#VALUE!</v>
      </c>
      <c r="AO134" s="118" t="e">
        <f t="shared" si="38"/>
        <v>#VALUE!</v>
      </c>
      <c r="AP134" s="128" t="s">
        <v>218</v>
      </c>
      <c r="AQ134" s="32"/>
      <c r="AS134" s="125"/>
      <c r="AT134" s="126"/>
      <c r="AU134" s="118" t="e">
        <f t="shared" si="44"/>
        <v>#VALUE!</v>
      </c>
      <c r="AV134" s="118" t="e">
        <f>AU134^3+AS122*AU134+AT122</f>
        <v>#VALUE!</v>
      </c>
      <c r="AW134" s="118" t="e">
        <f>3*AU134^2+AS122</f>
        <v>#VALUE!</v>
      </c>
      <c r="AX134" s="118" t="e">
        <f t="shared" si="39"/>
        <v>#VALUE!</v>
      </c>
      <c r="AY134" s="128" t="s">
        <v>219</v>
      </c>
      <c r="AZ134" s="32"/>
      <c r="BB134" s="125"/>
      <c r="BC134" s="126"/>
      <c r="BD134" s="118" t="e">
        <f t="shared" si="45"/>
        <v>#VALUE!</v>
      </c>
      <c r="BE134" s="118" t="e">
        <f>BD134^3+BB122*BD134+BC122</f>
        <v>#VALUE!</v>
      </c>
      <c r="BF134" s="118" t="e">
        <f>3*BD134^2+BB122</f>
        <v>#VALUE!</v>
      </c>
      <c r="BG134" s="118" t="e">
        <f t="shared" si="40"/>
        <v>#VALUE!</v>
      </c>
      <c r="BH134" s="128" t="s">
        <v>220</v>
      </c>
      <c r="BI134" s="32"/>
      <c r="BK134" s="125"/>
      <c r="BL134" s="126"/>
      <c r="BM134" s="118" t="e">
        <f t="shared" si="46"/>
        <v>#VALUE!</v>
      </c>
      <c r="BN134" s="118" t="e">
        <f>BM134^3+BK122*BM134+BL122</f>
        <v>#VALUE!</v>
      </c>
      <c r="BO134" s="118" t="e">
        <f>3*BM134^2+BK122</f>
        <v>#VALUE!</v>
      </c>
      <c r="BP134" s="118" t="e">
        <f t="shared" si="41"/>
        <v>#VALUE!</v>
      </c>
      <c r="BQ134" s="128" t="s">
        <v>221</v>
      </c>
      <c r="BR134" s="32"/>
      <c r="BT134" s="125"/>
      <c r="BU134" s="126"/>
      <c r="BV134" s="118" t="e">
        <f t="shared" si="47"/>
        <v>#VALUE!</v>
      </c>
      <c r="BW134" s="118" t="e">
        <f>BV134^3+BT122*BV134+BU122</f>
        <v>#VALUE!</v>
      </c>
      <c r="BX134" s="118" t="e">
        <f>3*BV134^2+BT122</f>
        <v>#VALUE!</v>
      </c>
      <c r="BY134" s="118" t="e">
        <f t="shared" si="42"/>
        <v>#VALUE!</v>
      </c>
      <c r="BZ134" s="128" t="s">
        <v>222</v>
      </c>
      <c r="CA134" s="32"/>
    </row>
    <row r="135" spans="36:79" ht="18" hidden="1" customHeight="1" x14ac:dyDescent="0.15">
      <c r="AJ135" s="125"/>
      <c r="AK135" s="126"/>
      <c r="AL135" s="18" t="e">
        <f t="shared" si="43"/>
        <v>#VALUE!</v>
      </c>
      <c r="AM135" s="18" t="e">
        <f>AL135^3+AJ122*AL135+AK122</f>
        <v>#VALUE!</v>
      </c>
      <c r="AN135" s="18" t="e">
        <f>3*AL135^2+AJ122</f>
        <v>#VALUE!</v>
      </c>
      <c r="AO135" s="18" t="e">
        <f t="shared" si="38"/>
        <v>#VALUE!</v>
      </c>
      <c r="AP135" s="273" t="str">
        <f>M54</f>
        <v>無 風 時　 0[℃]</v>
      </c>
      <c r="AQ135" s="284"/>
      <c r="AS135" s="125"/>
      <c r="AT135" s="126"/>
      <c r="AU135" s="18" t="e">
        <f t="shared" si="44"/>
        <v>#VALUE!</v>
      </c>
      <c r="AV135" s="18" t="e">
        <f>AU135^3+AS122*AU135+AT122</f>
        <v>#VALUE!</v>
      </c>
      <c r="AW135" s="18" t="e">
        <f>3*AU135^2+AS122</f>
        <v>#VALUE!</v>
      </c>
      <c r="AX135" s="18" t="e">
        <f t="shared" si="39"/>
        <v>#VALUE!</v>
      </c>
      <c r="AY135" s="273" t="str">
        <f>M54</f>
        <v>無 風 時　 0[℃]</v>
      </c>
      <c r="AZ135" s="274"/>
      <c r="BB135" s="125"/>
      <c r="BC135" s="126"/>
      <c r="BD135" s="18" t="e">
        <f t="shared" si="45"/>
        <v>#VALUE!</v>
      </c>
      <c r="BE135" s="18" t="e">
        <f>BD135^3+BB122*BD135+BC122</f>
        <v>#VALUE!</v>
      </c>
      <c r="BF135" s="18" t="e">
        <f>3*BD135^2+BB122</f>
        <v>#VALUE!</v>
      </c>
      <c r="BG135" s="18" t="e">
        <f t="shared" si="40"/>
        <v>#VALUE!</v>
      </c>
      <c r="BH135" s="273" t="str">
        <f>M54</f>
        <v>無 風 時　 0[℃]</v>
      </c>
      <c r="BI135" s="274"/>
      <c r="BK135" s="125"/>
      <c r="BL135" s="126"/>
      <c r="BM135" s="18" t="e">
        <f t="shared" si="46"/>
        <v>#VALUE!</v>
      </c>
      <c r="BN135" s="18" t="e">
        <f>BM135^3+BK122*BM135+BL122</f>
        <v>#VALUE!</v>
      </c>
      <c r="BO135" s="18" t="e">
        <f>3*BM135^2+BK122</f>
        <v>#VALUE!</v>
      </c>
      <c r="BP135" s="18" t="e">
        <f t="shared" si="41"/>
        <v>#VALUE!</v>
      </c>
      <c r="BQ135" s="273" t="str">
        <f>M54</f>
        <v>無 風 時　 0[℃]</v>
      </c>
      <c r="BR135" s="274"/>
      <c r="BT135" s="125"/>
      <c r="BU135" s="126"/>
      <c r="BV135" s="18" t="e">
        <f t="shared" si="47"/>
        <v>#VALUE!</v>
      </c>
      <c r="BW135" s="18" t="e">
        <f>BV135^3+BT122*BV135+BU122</f>
        <v>#VALUE!</v>
      </c>
      <c r="BX135" s="18" t="e">
        <f>3*BV135^2+BT122</f>
        <v>#VALUE!</v>
      </c>
      <c r="BY135" s="18" t="e">
        <f t="shared" si="42"/>
        <v>#VALUE!</v>
      </c>
      <c r="BZ135" s="273" t="str">
        <f>M54</f>
        <v>無 風 時　 0[℃]</v>
      </c>
      <c r="CA135" s="274"/>
    </row>
    <row r="136" spans="36:79" ht="18" hidden="1" customHeight="1" thickBot="1" x14ac:dyDescent="0.2">
      <c r="AJ136" s="125"/>
      <c r="AK136" s="126"/>
      <c r="AL136" s="114" t="e">
        <f t="shared" si="43"/>
        <v>#VALUE!</v>
      </c>
      <c r="AM136" s="115" t="e">
        <f>AL136^3+AJ122*AL136+AK122</f>
        <v>#VALUE!</v>
      </c>
      <c r="AN136" s="115" t="e">
        <f>3*AL136^2+AJ122</f>
        <v>#VALUE!</v>
      </c>
      <c r="AO136" s="115" t="e">
        <f t="shared" si="38"/>
        <v>#VALUE!</v>
      </c>
      <c r="AP136" s="285"/>
      <c r="AQ136" s="286"/>
      <c r="AS136" s="125"/>
      <c r="AT136" s="126"/>
      <c r="AU136" s="114" t="e">
        <f t="shared" si="44"/>
        <v>#VALUE!</v>
      </c>
      <c r="AV136" s="115" t="e">
        <f>AU136^3+AS122*AU136+AT122</f>
        <v>#VALUE!</v>
      </c>
      <c r="AW136" s="115" t="e">
        <f>3*AU136^2+AS122</f>
        <v>#VALUE!</v>
      </c>
      <c r="AX136" s="115" t="e">
        <f t="shared" si="39"/>
        <v>#VALUE!</v>
      </c>
      <c r="AY136" s="275"/>
      <c r="AZ136" s="276"/>
      <c r="BB136" s="125"/>
      <c r="BC136" s="126"/>
      <c r="BD136" s="114" t="e">
        <f t="shared" si="45"/>
        <v>#VALUE!</v>
      </c>
      <c r="BE136" s="115" t="e">
        <f>BD136^3+BB122*BD136+BC122</f>
        <v>#VALUE!</v>
      </c>
      <c r="BF136" s="115" t="e">
        <f>3*BD136^2+BB122</f>
        <v>#VALUE!</v>
      </c>
      <c r="BG136" s="115" t="e">
        <f t="shared" si="40"/>
        <v>#VALUE!</v>
      </c>
      <c r="BH136" s="275"/>
      <c r="BI136" s="276"/>
      <c r="BK136" s="125"/>
      <c r="BL136" s="126"/>
      <c r="BM136" s="114" t="e">
        <f t="shared" si="46"/>
        <v>#VALUE!</v>
      </c>
      <c r="BN136" s="115" t="e">
        <f>BM136^3+BK122*BM136+BL122</f>
        <v>#VALUE!</v>
      </c>
      <c r="BO136" s="115" t="e">
        <f>3*BM136^2+BK122</f>
        <v>#VALUE!</v>
      </c>
      <c r="BP136" s="115" t="e">
        <f t="shared" si="41"/>
        <v>#VALUE!</v>
      </c>
      <c r="BQ136" s="275"/>
      <c r="BR136" s="276"/>
      <c r="BT136" s="125"/>
      <c r="BU136" s="126"/>
      <c r="BV136" s="114" t="e">
        <f t="shared" si="47"/>
        <v>#VALUE!</v>
      </c>
      <c r="BW136" s="115" t="e">
        <f>BV136^3+BT122*BV136+BU122</f>
        <v>#VALUE!</v>
      </c>
      <c r="BX136" s="115" t="e">
        <f>3*BV136^2+BT122</f>
        <v>#VALUE!</v>
      </c>
      <c r="BY136" s="115" t="e">
        <f t="shared" si="42"/>
        <v>#VALUE!</v>
      </c>
      <c r="BZ136" s="275"/>
      <c r="CA136" s="276"/>
    </row>
    <row r="137" spans="36:79" ht="18" hidden="1" customHeight="1" x14ac:dyDescent="0.15">
      <c r="AJ137" s="62"/>
      <c r="AK137" s="12" t="s">
        <v>224</v>
      </c>
      <c r="AL137" s="12" t="s">
        <v>225</v>
      </c>
      <c r="AM137" s="12" t="s">
        <v>226</v>
      </c>
      <c r="AN137" s="12" t="s">
        <v>227</v>
      </c>
      <c r="AO137" s="63" t="s">
        <v>228</v>
      </c>
      <c r="AP137" s="12" t="s">
        <v>229</v>
      </c>
      <c r="AQ137" s="13" t="s">
        <v>230</v>
      </c>
      <c r="AS137" s="62"/>
      <c r="AT137" s="12" t="s">
        <v>224</v>
      </c>
      <c r="AU137" s="12" t="s">
        <v>225</v>
      </c>
      <c r="AV137" s="12" t="s">
        <v>226</v>
      </c>
      <c r="AW137" s="12" t="s">
        <v>227</v>
      </c>
      <c r="AX137" s="63" t="s">
        <v>228</v>
      </c>
      <c r="AY137" s="12" t="s">
        <v>229</v>
      </c>
      <c r="AZ137" s="13" t="s">
        <v>230</v>
      </c>
      <c r="BB137" s="62"/>
      <c r="BC137" s="12" t="s">
        <v>224</v>
      </c>
      <c r="BD137" s="12" t="s">
        <v>225</v>
      </c>
      <c r="BE137" s="12" t="s">
        <v>226</v>
      </c>
      <c r="BF137" s="12" t="s">
        <v>227</v>
      </c>
      <c r="BG137" s="63" t="s">
        <v>228</v>
      </c>
      <c r="BH137" s="12" t="s">
        <v>229</v>
      </c>
      <c r="BI137" s="13" t="s">
        <v>230</v>
      </c>
      <c r="BK137" s="62"/>
      <c r="BL137" s="12" t="s">
        <v>224</v>
      </c>
      <c r="BM137" s="12" t="s">
        <v>225</v>
      </c>
      <c r="BN137" s="12" t="s">
        <v>226</v>
      </c>
      <c r="BO137" s="12" t="s">
        <v>227</v>
      </c>
      <c r="BP137" s="63" t="s">
        <v>228</v>
      </c>
      <c r="BQ137" s="12" t="s">
        <v>229</v>
      </c>
      <c r="BR137" s="13" t="s">
        <v>230</v>
      </c>
      <c r="BT137" s="62"/>
      <c r="BU137" s="12" t="s">
        <v>224</v>
      </c>
      <c r="BV137" s="12" t="s">
        <v>225</v>
      </c>
      <c r="BW137" s="12" t="s">
        <v>226</v>
      </c>
      <c r="BX137" s="12" t="s">
        <v>227</v>
      </c>
      <c r="BY137" s="63" t="s">
        <v>228</v>
      </c>
      <c r="BZ137" s="12" t="s">
        <v>229</v>
      </c>
      <c r="CA137" s="13" t="s">
        <v>230</v>
      </c>
    </row>
    <row r="138" spans="36:79" ht="18" hidden="1" customHeight="1" thickBot="1" x14ac:dyDescent="0.2">
      <c r="AJ138" s="107"/>
      <c r="AK138" s="108" t="e">
        <f>M23+U23</f>
        <v>#VALUE!</v>
      </c>
      <c r="AL138" s="108">
        <f>IF(C33="",L19*(F19/40)^2,C33)</f>
        <v>0</v>
      </c>
      <c r="AM138" s="108">
        <f>F19</f>
        <v>0</v>
      </c>
      <c r="AN138" s="108" t="e">
        <f>AK78*1600/(8*L19)</f>
        <v>#VALUE!</v>
      </c>
      <c r="AO138" s="109">
        <f>V23</f>
        <v>0</v>
      </c>
      <c r="AP138" s="108" t="str">
        <f>L23</f>
        <v/>
      </c>
      <c r="AQ138" s="110">
        <f>W23</f>
        <v>0</v>
      </c>
      <c r="AS138" s="107"/>
      <c r="AT138" s="108" t="str">
        <f>IF(B24="使用電線-2",M24+U24,IF(B25="使用電線-2",M25+U25,IF(B26="使用電線-2",M26+U26,IF(B27="使用電線-2",M27+U27,IF(B28="使用電線-2",M28+U28,IF(B29="使用電線-2",M29+U29,""))))))</f>
        <v/>
      </c>
      <c r="AU138" s="108">
        <f>IF(I33="",L19*(F19/40)^2,I33)</f>
        <v>0</v>
      </c>
      <c r="AV138" s="108">
        <f>F19</f>
        <v>0</v>
      </c>
      <c r="AW138" s="108" t="e">
        <f>AT138*1600/(8*L19)</f>
        <v>#VALUE!</v>
      </c>
      <c r="AX138" s="109" t="str">
        <f>IF(B24="使用電線-2",V24,IF(B25="使用電線-2",V25,IF(B26="使用電線-2",V26,IF(B27="使用電線-2",V27,IF(B28="使用電線-2",V28,IF(B29="使用電線-2",V29,""))))))</f>
        <v/>
      </c>
      <c r="AY138" s="108" t="str">
        <f>IF(B24="使用電線-2",L24,IF(B25="使用電線-2",L25,IF(B26="使用電線-2",L26,IF(B27="使用電線-2",L27,IF(B28="使用電線-2",L28,IF(B29="使用電線-2",L29,""))))))</f>
        <v/>
      </c>
      <c r="AZ138" s="110" t="str">
        <f>IF(B24="使用電線-2",W24,IF(B25="使用電線-2",W25,IF(B26="使用電線-2",W26,IF(B27="使用電線-2",W27,IF(B28="使用電線-2",W28,IF(B29="使用電線-2",W29,""))))))</f>
        <v/>
      </c>
      <c r="BB138" s="107"/>
      <c r="BC138" s="108" t="str">
        <f>IF(B25="使用電線-3",M25+U25,IF(B26="使用電線-3",M26+U26,IF(B27="使用電線-3",M27+U27,IF(B28="使用電線-3",M28+U28,IF(B29="使用電線-3",M29+U29,"")))))</f>
        <v/>
      </c>
      <c r="BD138" s="108">
        <f>IF(N33="",L19*(F19/40)^2,N33)</f>
        <v>0</v>
      </c>
      <c r="BE138" s="108">
        <f>F19</f>
        <v>0</v>
      </c>
      <c r="BF138" s="108" t="e">
        <f>BC138*1600/(8*L19)</f>
        <v>#VALUE!</v>
      </c>
      <c r="BG138" s="109" t="str">
        <f>IF(B25="使用電線-3",V25,IF(B26="使用電線-3",V26,IF(B27="使用電線-3",V27,IF(B28="使用電線-3",V28,IF(B29="使用電線-3",V29,"")))))</f>
        <v/>
      </c>
      <c r="BH138" s="108" t="str">
        <f>IF(B25="使用電線-3",L25,IF(B26="使用電線-3",L26,IF(B27="使用電線-3",L27,IF(B28="使用電線-3",L28,IF(B29="使用電線-3",L29,"")))))</f>
        <v/>
      </c>
      <c r="BI138" s="110" t="str">
        <f>IF(B25="使用電線-3",W25,IF(B26="使用電線-3",W26,IF(B27="使用電線-3",W27,IF(B28="使用電線-3",W28,IF(B29="使用電線-3",W29,"")))))</f>
        <v/>
      </c>
      <c r="BK138" s="107"/>
      <c r="BL138" s="108" t="str">
        <f>IF(B26="使用電線-4",M26+U26,IF(B27="使用電線-4",M27+U27,IF(B28="使用電線-4",M28+U28,IF(B29="使用電線-4",M29+U29,""))))</f>
        <v/>
      </c>
      <c r="BM138" s="108">
        <f>IF(C47="",L19*(F19/40)^2,C47)</f>
        <v>0</v>
      </c>
      <c r="BN138" s="108">
        <f>F19</f>
        <v>0</v>
      </c>
      <c r="BO138" s="127" t="e">
        <f>BL138*1600/(8*L19)</f>
        <v>#VALUE!</v>
      </c>
      <c r="BP138" s="109" t="str">
        <f>IF(B26="使用電線-4",V26,IF(B27="使用電線-4",V27,IF(B28="使用電線-4",V28,IF(B29="使用電線-4",V29,""))))</f>
        <v/>
      </c>
      <c r="BQ138" s="108" t="str">
        <f>IF(B26="使用電線-4",L26,IF(B27="使用電線-4",L27,IF(B28="使用電線-4",L28,IF(B29="使用電線-4",L29,""))))</f>
        <v/>
      </c>
      <c r="BR138" s="110" t="str">
        <f>IF(B26="使用電線-4",W26,IF(B27="使用電線-4",W27,IF(B28="使用電線-4",W28,IF(B29="使用電線-4",W29,""))))</f>
        <v/>
      </c>
      <c r="BT138" s="107"/>
      <c r="BU138" s="108" t="str">
        <f>IF(B27="使用電線-5",M27+U27,IF(B28="使用電線-5",M28+U28,IF(B29="使用電線-5",M29+U29,"")))</f>
        <v/>
      </c>
      <c r="BV138" s="108">
        <f>IF(I47="",L19*(F19/40)^2,I47)</f>
        <v>0</v>
      </c>
      <c r="BW138" s="108">
        <f>F19</f>
        <v>0</v>
      </c>
      <c r="BX138" s="127" t="e">
        <f>BU138*1600/(8*L19)</f>
        <v>#VALUE!</v>
      </c>
      <c r="BY138" s="109" t="str">
        <f>IF(B27="使用電線-5",V27,IF(B28="使用電線-5",V28,IF(B29="使用電線-5",V29,"")))</f>
        <v/>
      </c>
      <c r="BZ138" s="108" t="str">
        <f>IF(B27="使用電線-5",L27,IF(B28="使用電線-5",L28,IF(B29="使用電線-5",L29,"")))</f>
        <v/>
      </c>
      <c r="CA138" s="110" t="str">
        <f>IF(B27="使用電線-5",W27,IF(B28="使用電線-5",W28,IF(B29="使用電線-5",W29,"")))</f>
        <v/>
      </c>
    </row>
    <row r="139" spans="36:79" ht="18" hidden="1" customHeight="1" x14ac:dyDescent="0.15"/>
    <row r="140" spans="36:79" ht="18" hidden="1" customHeight="1" thickBot="1" x14ac:dyDescent="0.2"/>
    <row r="141" spans="36:79" ht="18" hidden="1" customHeight="1" x14ac:dyDescent="0.15">
      <c r="AJ141" s="2" t="s">
        <v>232</v>
      </c>
      <c r="AK141" s="111" t="s">
        <v>233</v>
      </c>
      <c r="AL141" s="12" t="s">
        <v>234</v>
      </c>
      <c r="AM141" s="12" t="s">
        <v>235</v>
      </c>
      <c r="AN141" s="12" t="s">
        <v>236</v>
      </c>
      <c r="AO141" s="12" t="s">
        <v>237</v>
      </c>
      <c r="AP141" s="12" t="s">
        <v>238</v>
      </c>
      <c r="AQ141" s="13" t="s">
        <v>239</v>
      </c>
      <c r="AS141" s="2" t="s">
        <v>232</v>
      </c>
      <c r="AT141" s="111" t="s">
        <v>233</v>
      </c>
      <c r="AU141" s="12" t="s">
        <v>234</v>
      </c>
      <c r="AV141" s="12" t="s">
        <v>235</v>
      </c>
      <c r="AW141" s="12" t="s">
        <v>236</v>
      </c>
      <c r="AX141" s="12" t="s">
        <v>237</v>
      </c>
      <c r="AY141" s="12" t="s">
        <v>238</v>
      </c>
      <c r="AZ141" s="13" t="s">
        <v>239</v>
      </c>
      <c r="BB141" s="2" t="s">
        <v>232</v>
      </c>
      <c r="BC141" s="111" t="s">
        <v>233</v>
      </c>
      <c r="BD141" s="12" t="s">
        <v>234</v>
      </c>
      <c r="BE141" s="12" t="s">
        <v>235</v>
      </c>
      <c r="BF141" s="12" t="s">
        <v>236</v>
      </c>
      <c r="BG141" s="12" t="s">
        <v>237</v>
      </c>
      <c r="BH141" s="12" t="s">
        <v>238</v>
      </c>
      <c r="BI141" s="13" t="s">
        <v>239</v>
      </c>
      <c r="BK141" s="2" t="s">
        <v>232</v>
      </c>
      <c r="BL141" s="111" t="s">
        <v>233</v>
      </c>
      <c r="BM141" s="12" t="s">
        <v>234</v>
      </c>
      <c r="BN141" s="12" t="s">
        <v>235</v>
      </c>
      <c r="BO141" s="12" t="s">
        <v>236</v>
      </c>
      <c r="BP141" s="12" t="s">
        <v>237</v>
      </c>
      <c r="BQ141" s="12" t="s">
        <v>238</v>
      </c>
      <c r="BR141" s="13" t="s">
        <v>239</v>
      </c>
      <c r="BT141" s="2" t="s">
        <v>232</v>
      </c>
      <c r="BU141" s="111" t="s">
        <v>233</v>
      </c>
      <c r="BV141" s="12" t="s">
        <v>234</v>
      </c>
      <c r="BW141" s="12" t="s">
        <v>235</v>
      </c>
      <c r="BX141" s="12" t="s">
        <v>236</v>
      </c>
      <c r="BY141" s="12" t="s">
        <v>237</v>
      </c>
      <c r="BZ141" s="12" t="s">
        <v>238</v>
      </c>
      <c r="CA141" s="13" t="s">
        <v>239</v>
      </c>
    </row>
    <row r="142" spans="36:79" ht="18" hidden="1" customHeight="1" x14ac:dyDescent="0.15">
      <c r="AJ142" s="16" t="e">
        <f>-AJ145+AJ148</f>
        <v>#VALUE!</v>
      </c>
      <c r="AK142" s="17" t="e">
        <f>-AJ151</f>
        <v>#VALUE!</v>
      </c>
      <c r="AL142" s="18" t="e">
        <f>IF(AND(AP145&lt;0,AQ145&lt;0),AQ142*1.2,IF(AND(AP145&gt;0,AQ145&gt;0),AP142*0.8,10))</f>
        <v>#VALUE!</v>
      </c>
      <c r="AM142" s="18" t="e">
        <f>AL142^3+AJ142*AL142+AK142</f>
        <v>#VALUE!</v>
      </c>
      <c r="AN142" s="18" t="e">
        <f>3*AL142^2+AJ142</f>
        <v>#VALUE!</v>
      </c>
      <c r="AO142" s="18" t="e">
        <f t="shared" ref="AO142:AO156" si="48">AL142-AM142/AN142</f>
        <v>#VALUE!</v>
      </c>
      <c r="AP142" s="18" t="e">
        <f>-SQRT(ABS(-4*3*AJ142))/6</f>
        <v>#VALUE!</v>
      </c>
      <c r="AQ142" s="19" t="e">
        <f>SQRT(ABS(-4*3*AJ142))/6</f>
        <v>#VALUE!</v>
      </c>
      <c r="AS142" s="16" t="e">
        <f>-AS145+AS148</f>
        <v>#VALUE!</v>
      </c>
      <c r="AT142" s="17" t="e">
        <f>-AS151</f>
        <v>#VALUE!</v>
      </c>
      <c r="AU142" s="18" t="e">
        <f>IF(AND(AY145&lt;0,AZ145&lt;0),AZ142*1.2,IF(AND(AY145&gt;0,AZ145&gt;0),AY142*0.8,10))</f>
        <v>#VALUE!</v>
      </c>
      <c r="AV142" s="18" t="e">
        <f>AU142^3+AS142*AU142+AT142</f>
        <v>#VALUE!</v>
      </c>
      <c r="AW142" s="18" t="e">
        <f>3*AU142^2+AS142</f>
        <v>#VALUE!</v>
      </c>
      <c r="AX142" s="18" t="e">
        <f t="shared" ref="AX142:AX156" si="49">AU142-AV142/AW142</f>
        <v>#VALUE!</v>
      </c>
      <c r="AY142" s="18" t="e">
        <f>-SQRT(ABS(-4*3*AS142))/6</f>
        <v>#VALUE!</v>
      </c>
      <c r="AZ142" s="19" t="e">
        <f>SQRT(ABS(-4*3*AS142))/6</f>
        <v>#VALUE!</v>
      </c>
      <c r="BB142" s="16" t="e">
        <f>-BB145+BB148</f>
        <v>#VALUE!</v>
      </c>
      <c r="BC142" s="17" t="e">
        <f>-BB151</f>
        <v>#VALUE!</v>
      </c>
      <c r="BD142" s="18" t="e">
        <f>IF(AND(BH145&lt;0,BI145&lt;0),BI142*1.2,IF(AND(BH145&gt;0,BI145&gt;0),BH142*0.8,10))</f>
        <v>#VALUE!</v>
      </c>
      <c r="BE142" s="18" t="e">
        <f>BD142^3+BB142*BD142+BC142</f>
        <v>#VALUE!</v>
      </c>
      <c r="BF142" s="18" t="e">
        <f>3*BD142^2+BB142</f>
        <v>#VALUE!</v>
      </c>
      <c r="BG142" s="18" t="e">
        <f t="shared" ref="BG142:BG156" si="50">BD142-BE142/BF142</f>
        <v>#VALUE!</v>
      </c>
      <c r="BH142" s="18" t="e">
        <f>-SQRT(ABS(-4*3*BB142))/6</f>
        <v>#VALUE!</v>
      </c>
      <c r="BI142" s="19" t="e">
        <f>SQRT(ABS(-4*3*BB142))/6</f>
        <v>#VALUE!</v>
      </c>
      <c r="BK142" s="16" t="e">
        <f>-BK145+BK148</f>
        <v>#VALUE!</v>
      </c>
      <c r="BL142" s="17" t="e">
        <f>-BK151</f>
        <v>#VALUE!</v>
      </c>
      <c r="BM142" s="18" t="e">
        <f>IF(AND(BQ145&lt;0,BR145&lt;0),BR142*1.2,IF(AND(BQ145&gt;0,BR145&gt;0),BQ142*0.8,10))</f>
        <v>#VALUE!</v>
      </c>
      <c r="BN142" s="18" t="e">
        <f>BM142^3+BK142*BM142+BL142</f>
        <v>#VALUE!</v>
      </c>
      <c r="BO142" s="18" t="e">
        <f>3*BM142^2+BK142</f>
        <v>#VALUE!</v>
      </c>
      <c r="BP142" s="18" t="e">
        <f t="shared" ref="BP142:BP156" si="51">BM142-BN142/BO142</f>
        <v>#VALUE!</v>
      </c>
      <c r="BQ142" s="18" t="e">
        <f>-SQRT(ABS(-4*3*BK142))/6</f>
        <v>#VALUE!</v>
      </c>
      <c r="BR142" s="19" t="e">
        <f>SQRT(ABS(-4*3*BK142))/6</f>
        <v>#VALUE!</v>
      </c>
      <c r="BT142" s="16" t="e">
        <f>-BT145+BT148</f>
        <v>#VALUE!</v>
      </c>
      <c r="BU142" s="17" t="e">
        <f>-BT151</f>
        <v>#VALUE!</v>
      </c>
      <c r="BV142" s="18" t="e">
        <f>IF(AND(BZ145&lt;0,CA145&lt;0),CA142*1.2,IF(AND(BZ145&gt;0,CA145&gt;0),BZ142*0.8,10))</f>
        <v>#VALUE!</v>
      </c>
      <c r="BW142" s="18" t="e">
        <f>BV142^3+BT142*BV142+BU142</f>
        <v>#VALUE!</v>
      </c>
      <c r="BX142" s="18" t="e">
        <f>3*BV142^2+BT142</f>
        <v>#VALUE!</v>
      </c>
      <c r="BY142" s="18" t="e">
        <f t="shared" ref="BY142:BY156" si="52">BV142-BW142/BX142</f>
        <v>#VALUE!</v>
      </c>
      <c r="BZ142" s="18" t="e">
        <f>-SQRT(ABS(-4*3*BT142))/6</f>
        <v>#VALUE!</v>
      </c>
      <c r="CA142" s="19" t="e">
        <f>SQRT(ABS(-4*3*BT142))/6</f>
        <v>#VALUE!</v>
      </c>
    </row>
    <row r="143" spans="36:79" ht="18" hidden="1" customHeight="1" x14ac:dyDescent="0.15">
      <c r="AJ143" s="267"/>
      <c r="AK143" s="268"/>
      <c r="AL143" s="18" t="e">
        <f t="shared" ref="AL143:AL156" si="53">AO142</f>
        <v>#VALUE!</v>
      </c>
      <c r="AM143" s="18" t="e">
        <f>AL143^3+AJ142*AL143+AK142</f>
        <v>#VALUE!</v>
      </c>
      <c r="AN143" s="18" t="e">
        <f>3*AL143^2+AJ142</f>
        <v>#VALUE!</v>
      </c>
      <c r="AO143" s="18" t="e">
        <f t="shared" si="48"/>
        <v>#VALUE!</v>
      </c>
      <c r="AP143" s="6"/>
      <c r="AQ143" s="7"/>
      <c r="AS143" s="267"/>
      <c r="AT143" s="268"/>
      <c r="AU143" s="18" t="e">
        <f t="shared" ref="AU143:AU156" si="54">AX142</f>
        <v>#VALUE!</v>
      </c>
      <c r="AV143" s="18" t="e">
        <f>AU143^3+AS142*AU143+AT142</f>
        <v>#VALUE!</v>
      </c>
      <c r="AW143" s="18" t="e">
        <f>3*AU143^2+AS142</f>
        <v>#VALUE!</v>
      </c>
      <c r="AX143" s="18" t="e">
        <f t="shared" si="49"/>
        <v>#VALUE!</v>
      </c>
      <c r="AY143" s="6"/>
      <c r="AZ143" s="7"/>
      <c r="BB143" s="267"/>
      <c r="BC143" s="268"/>
      <c r="BD143" s="18" t="e">
        <f t="shared" ref="BD143:BD156" si="55">BG142</f>
        <v>#VALUE!</v>
      </c>
      <c r="BE143" s="18" t="e">
        <f>BD143^3+BB142*BD143+BC142</f>
        <v>#VALUE!</v>
      </c>
      <c r="BF143" s="18" t="e">
        <f>3*BD143^2+BB142</f>
        <v>#VALUE!</v>
      </c>
      <c r="BG143" s="18" t="e">
        <f t="shared" si="50"/>
        <v>#VALUE!</v>
      </c>
      <c r="BH143" s="6"/>
      <c r="BI143" s="7"/>
      <c r="BK143" s="267"/>
      <c r="BL143" s="268"/>
      <c r="BM143" s="18" t="e">
        <f t="shared" ref="BM143:BM156" si="56">BP142</f>
        <v>#VALUE!</v>
      </c>
      <c r="BN143" s="18" t="e">
        <f>BM143^3+BK142*BM143+BL142</f>
        <v>#VALUE!</v>
      </c>
      <c r="BO143" s="18" t="e">
        <f>3*BM143^2+BK142</f>
        <v>#VALUE!</v>
      </c>
      <c r="BP143" s="18" t="e">
        <f t="shared" si="51"/>
        <v>#VALUE!</v>
      </c>
      <c r="BQ143" s="6"/>
      <c r="BR143" s="7"/>
      <c r="BT143" s="267"/>
      <c r="BU143" s="268"/>
      <c r="BV143" s="18" t="e">
        <f t="shared" ref="BV143:BV156" si="57">BY142</f>
        <v>#VALUE!</v>
      </c>
      <c r="BW143" s="18" t="e">
        <f>BV143^3+BT142*BV143+BU142</f>
        <v>#VALUE!</v>
      </c>
      <c r="BX143" s="18" t="e">
        <f>3*BV143^2+BT142</f>
        <v>#VALUE!</v>
      </c>
      <c r="BY143" s="18" t="e">
        <f t="shared" si="52"/>
        <v>#VALUE!</v>
      </c>
      <c r="BZ143" s="6"/>
      <c r="CA143" s="7"/>
    </row>
    <row r="144" spans="36:79" ht="18" hidden="1" customHeight="1" x14ac:dyDescent="0.15">
      <c r="AJ144" s="269" t="s">
        <v>240</v>
      </c>
      <c r="AK144" s="270"/>
      <c r="AL144" s="18" t="e">
        <f t="shared" si="53"/>
        <v>#VALUE!</v>
      </c>
      <c r="AM144" s="18" t="e">
        <f>AL144^3+AJ142*AL144+AK142</f>
        <v>#VALUE!</v>
      </c>
      <c r="AN144" s="18" t="e">
        <f>3*AL144^2+AJ142</f>
        <v>#VALUE!</v>
      </c>
      <c r="AO144" s="18" t="e">
        <f t="shared" si="48"/>
        <v>#VALUE!</v>
      </c>
      <c r="AP144" s="14" t="s">
        <v>241</v>
      </c>
      <c r="AQ144" s="15" t="s">
        <v>242</v>
      </c>
      <c r="AS144" s="269" t="s">
        <v>240</v>
      </c>
      <c r="AT144" s="270"/>
      <c r="AU144" s="18" t="e">
        <f t="shared" si="54"/>
        <v>#VALUE!</v>
      </c>
      <c r="AV144" s="18" t="e">
        <f>AU144^3+AS142*AU144+AT142</f>
        <v>#VALUE!</v>
      </c>
      <c r="AW144" s="18" t="e">
        <f>3*AU144^2+AS142</f>
        <v>#VALUE!</v>
      </c>
      <c r="AX144" s="18" t="e">
        <f t="shared" si="49"/>
        <v>#VALUE!</v>
      </c>
      <c r="AY144" s="14" t="s">
        <v>241</v>
      </c>
      <c r="AZ144" s="15" t="s">
        <v>242</v>
      </c>
      <c r="BB144" s="269" t="s">
        <v>240</v>
      </c>
      <c r="BC144" s="270"/>
      <c r="BD144" s="18" t="e">
        <f t="shared" si="55"/>
        <v>#VALUE!</v>
      </c>
      <c r="BE144" s="18" t="e">
        <f>BD144^3+BB142*BD144+BC142</f>
        <v>#VALUE!</v>
      </c>
      <c r="BF144" s="18" t="e">
        <f>3*BD144^2+BB142</f>
        <v>#VALUE!</v>
      </c>
      <c r="BG144" s="18" t="e">
        <f t="shared" si="50"/>
        <v>#VALUE!</v>
      </c>
      <c r="BH144" s="14" t="s">
        <v>241</v>
      </c>
      <c r="BI144" s="15" t="s">
        <v>242</v>
      </c>
      <c r="BK144" s="269" t="s">
        <v>240</v>
      </c>
      <c r="BL144" s="270"/>
      <c r="BM144" s="18" t="e">
        <f t="shared" si="56"/>
        <v>#VALUE!</v>
      </c>
      <c r="BN144" s="18" t="e">
        <f>BM144^3+BK142*BM144+BL142</f>
        <v>#VALUE!</v>
      </c>
      <c r="BO144" s="18" t="e">
        <f>3*BM144^2+BK142</f>
        <v>#VALUE!</v>
      </c>
      <c r="BP144" s="18" t="e">
        <f t="shared" si="51"/>
        <v>#VALUE!</v>
      </c>
      <c r="BQ144" s="14" t="s">
        <v>241</v>
      </c>
      <c r="BR144" s="15" t="s">
        <v>242</v>
      </c>
      <c r="BT144" s="269" t="s">
        <v>240</v>
      </c>
      <c r="BU144" s="270"/>
      <c r="BV144" s="18" t="e">
        <f t="shared" si="57"/>
        <v>#VALUE!</v>
      </c>
      <c r="BW144" s="18" t="e">
        <f>BV144^3+BT142*BV144+BU142</f>
        <v>#VALUE!</v>
      </c>
      <c r="BX144" s="18" t="e">
        <f>3*BV144^2+BT142</f>
        <v>#VALUE!</v>
      </c>
      <c r="BY144" s="18" t="e">
        <f t="shared" si="52"/>
        <v>#VALUE!</v>
      </c>
      <c r="BZ144" s="14" t="s">
        <v>241</v>
      </c>
      <c r="CA144" s="15" t="s">
        <v>242</v>
      </c>
    </row>
    <row r="145" spans="36:79" ht="18" hidden="1" customHeight="1" x14ac:dyDescent="0.15">
      <c r="AJ145" s="269">
        <f>(AL158^2)+3*(AM158^2)*AQ158*(AQ153-15)/(8*10^7)</f>
        <v>0</v>
      </c>
      <c r="AK145" s="270"/>
      <c r="AL145" s="18" t="e">
        <f t="shared" si="53"/>
        <v>#VALUE!</v>
      </c>
      <c r="AM145" s="18" t="e">
        <f>AL145^3+AJ142*AL145+AK142</f>
        <v>#VALUE!</v>
      </c>
      <c r="AN145" s="18" t="e">
        <f>3*AL145^2+AJ142</f>
        <v>#VALUE!</v>
      </c>
      <c r="AO145" s="18" t="e">
        <f t="shared" si="48"/>
        <v>#VALUE!</v>
      </c>
      <c r="AP145" s="18" t="e">
        <f>AP142^3+AJ142*AP142+AK142</f>
        <v>#VALUE!</v>
      </c>
      <c r="AQ145" s="19" t="e">
        <f>AQ142^3+AJ142*AQ142+AK142</f>
        <v>#VALUE!</v>
      </c>
      <c r="AS145" s="269" t="e">
        <f>(AU158^2)+3*(AV158^2)*AZ158*(AZ153-15)/(8*10^7)</f>
        <v>#VALUE!</v>
      </c>
      <c r="AT145" s="270"/>
      <c r="AU145" s="18" t="e">
        <f t="shared" si="54"/>
        <v>#VALUE!</v>
      </c>
      <c r="AV145" s="18" t="e">
        <f>AU145^3+AS142*AU145+AT142</f>
        <v>#VALUE!</v>
      </c>
      <c r="AW145" s="18" t="e">
        <f>3*AU145^2+AS142</f>
        <v>#VALUE!</v>
      </c>
      <c r="AX145" s="18" t="e">
        <f t="shared" si="49"/>
        <v>#VALUE!</v>
      </c>
      <c r="AY145" s="18" t="e">
        <f>AY142^3+AS142*AY142+AT142</f>
        <v>#VALUE!</v>
      </c>
      <c r="AZ145" s="19" t="e">
        <f>AZ142^3+AS142*AZ142+AT142</f>
        <v>#VALUE!</v>
      </c>
      <c r="BB145" s="269" t="e">
        <f>(BD158^2)+3*(BE158^2)*BI158*(BI153-15)/(8*10^7)</f>
        <v>#VALUE!</v>
      </c>
      <c r="BC145" s="270"/>
      <c r="BD145" s="18" t="e">
        <f t="shared" si="55"/>
        <v>#VALUE!</v>
      </c>
      <c r="BE145" s="18" t="e">
        <f>BD145^3+BB142*BD145+BC142</f>
        <v>#VALUE!</v>
      </c>
      <c r="BF145" s="18" t="e">
        <f>3*BD145^2+BB142</f>
        <v>#VALUE!</v>
      </c>
      <c r="BG145" s="18" t="e">
        <f t="shared" si="50"/>
        <v>#VALUE!</v>
      </c>
      <c r="BH145" s="18" t="e">
        <f>BH142^3+BB142*BH142+BC142</f>
        <v>#VALUE!</v>
      </c>
      <c r="BI145" s="19" t="e">
        <f>BI142^3+BB142*BI142+BC142</f>
        <v>#VALUE!</v>
      </c>
      <c r="BK145" s="269" t="e">
        <f>(BM158^2)+3*(BN158^2)*BR158*(BR153-15)/(8*10^7)</f>
        <v>#VALUE!</v>
      </c>
      <c r="BL145" s="270"/>
      <c r="BM145" s="18" t="e">
        <f t="shared" si="56"/>
        <v>#VALUE!</v>
      </c>
      <c r="BN145" s="18" t="e">
        <f>BM145^3+BK142*BM145+BL142</f>
        <v>#VALUE!</v>
      </c>
      <c r="BO145" s="18" t="e">
        <f>3*BM145^2+BK142</f>
        <v>#VALUE!</v>
      </c>
      <c r="BP145" s="18" t="e">
        <f t="shared" si="51"/>
        <v>#VALUE!</v>
      </c>
      <c r="BQ145" s="18" t="e">
        <f>BQ142^3+BK142*BQ142+BL142</f>
        <v>#VALUE!</v>
      </c>
      <c r="BR145" s="19" t="e">
        <f>BR142^3+BK142*BR142+BL142</f>
        <v>#VALUE!</v>
      </c>
      <c r="BT145" s="269" t="e">
        <f>(BV158^2)+3*(BW158^2)*CA158*(CA153-15)/(8*10^7)</f>
        <v>#VALUE!</v>
      </c>
      <c r="BU145" s="270"/>
      <c r="BV145" s="18" t="e">
        <f t="shared" si="57"/>
        <v>#VALUE!</v>
      </c>
      <c r="BW145" s="18" t="e">
        <f>BV145^3+BT142*BV145+BU142</f>
        <v>#VALUE!</v>
      </c>
      <c r="BX145" s="18" t="e">
        <f>3*BV145^2+BT142</f>
        <v>#VALUE!</v>
      </c>
      <c r="BY145" s="18" t="e">
        <f t="shared" si="52"/>
        <v>#VALUE!</v>
      </c>
      <c r="BZ145" s="18" t="e">
        <f>BZ142^3+BT142*BZ142+BU142</f>
        <v>#VALUE!</v>
      </c>
      <c r="CA145" s="19" t="e">
        <f>CA142^3+BT142*CA142+BU142</f>
        <v>#VALUE!</v>
      </c>
    </row>
    <row r="146" spans="36:79" ht="18" hidden="1" customHeight="1" x14ac:dyDescent="0.15">
      <c r="AJ146" s="267"/>
      <c r="AK146" s="268"/>
      <c r="AL146" s="18" t="e">
        <f t="shared" si="53"/>
        <v>#VALUE!</v>
      </c>
      <c r="AM146" s="18" t="e">
        <f>AL146^3+AJ142*AL146+AK142</f>
        <v>#VALUE!</v>
      </c>
      <c r="AN146" s="18" t="e">
        <f>3*AL146^2+AJ142</f>
        <v>#VALUE!</v>
      </c>
      <c r="AO146" s="18" t="e">
        <f t="shared" si="48"/>
        <v>#VALUE!</v>
      </c>
      <c r="AP146" s="31"/>
      <c r="AQ146" s="32"/>
      <c r="AS146" s="267"/>
      <c r="AT146" s="268"/>
      <c r="AU146" s="18" t="e">
        <f t="shared" si="54"/>
        <v>#VALUE!</v>
      </c>
      <c r="AV146" s="18" t="e">
        <f>AU146^3+AS142*AU146+AT142</f>
        <v>#VALUE!</v>
      </c>
      <c r="AW146" s="18" t="e">
        <f>3*AU146^2+AS142</f>
        <v>#VALUE!</v>
      </c>
      <c r="AX146" s="18" t="e">
        <f t="shared" si="49"/>
        <v>#VALUE!</v>
      </c>
      <c r="AY146" s="31"/>
      <c r="AZ146" s="32"/>
      <c r="BB146" s="267"/>
      <c r="BC146" s="268"/>
      <c r="BD146" s="18" t="e">
        <f t="shared" si="55"/>
        <v>#VALUE!</v>
      </c>
      <c r="BE146" s="18" t="e">
        <f>BD146^3+BB142*BD146+BC142</f>
        <v>#VALUE!</v>
      </c>
      <c r="BF146" s="18" t="e">
        <f>3*BD146^2+BB142</f>
        <v>#VALUE!</v>
      </c>
      <c r="BG146" s="18" t="e">
        <f t="shared" si="50"/>
        <v>#VALUE!</v>
      </c>
      <c r="BH146" s="31"/>
      <c r="BI146" s="32"/>
      <c r="BK146" s="267"/>
      <c r="BL146" s="268"/>
      <c r="BM146" s="18" t="e">
        <f t="shared" si="56"/>
        <v>#VALUE!</v>
      </c>
      <c r="BN146" s="18" t="e">
        <f>BM146^3+BK142*BM146+BL142</f>
        <v>#VALUE!</v>
      </c>
      <c r="BO146" s="18" t="e">
        <f>3*BM146^2+BK142</f>
        <v>#VALUE!</v>
      </c>
      <c r="BP146" s="18" t="e">
        <f t="shared" si="51"/>
        <v>#VALUE!</v>
      </c>
      <c r="BQ146" s="31"/>
      <c r="BR146" s="32"/>
      <c r="BT146" s="267"/>
      <c r="BU146" s="268"/>
      <c r="BV146" s="18" t="e">
        <f t="shared" si="57"/>
        <v>#VALUE!</v>
      </c>
      <c r="BW146" s="18" t="e">
        <f>BV146^3+BT142*BV146+BU142</f>
        <v>#VALUE!</v>
      </c>
      <c r="BX146" s="18" t="e">
        <f>3*BV146^2+BT142</f>
        <v>#VALUE!</v>
      </c>
      <c r="BY146" s="18" t="e">
        <f t="shared" si="52"/>
        <v>#VALUE!</v>
      </c>
      <c r="BZ146" s="31"/>
      <c r="CA146" s="32"/>
    </row>
    <row r="147" spans="36:79" ht="18" hidden="1" customHeight="1" x14ac:dyDescent="0.15">
      <c r="AJ147" s="269" t="s">
        <v>243</v>
      </c>
      <c r="AK147" s="270"/>
      <c r="AL147" s="18" t="e">
        <f t="shared" si="53"/>
        <v>#VALUE!</v>
      </c>
      <c r="AM147" s="18" t="e">
        <f>AL147^3+AJ142*AL147+AK142</f>
        <v>#VALUE!</v>
      </c>
      <c r="AN147" s="18" t="e">
        <f>3*AL147^2+AJ142</f>
        <v>#VALUE!</v>
      </c>
      <c r="AO147" s="18" t="e">
        <f t="shared" si="48"/>
        <v>#VALUE!</v>
      </c>
      <c r="AP147" s="31"/>
      <c r="AQ147" s="32"/>
      <c r="AS147" s="269" t="s">
        <v>243</v>
      </c>
      <c r="AT147" s="270"/>
      <c r="AU147" s="18" t="e">
        <f t="shared" si="54"/>
        <v>#VALUE!</v>
      </c>
      <c r="AV147" s="18" t="e">
        <f>AU147^3+AS142*AU147+AT142</f>
        <v>#VALUE!</v>
      </c>
      <c r="AW147" s="18" t="e">
        <f>3*AU147^2+AS142</f>
        <v>#VALUE!</v>
      </c>
      <c r="AX147" s="18" t="e">
        <f t="shared" si="49"/>
        <v>#VALUE!</v>
      </c>
      <c r="AY147" s="31"/>
      <c r="AZ147" s="32"/>
      <c r="BB147" s="269" t="s">
        <v>243</v>
      </c>
      <c r="BC147" s="270"/>
      <c r="BD147" s="18" t="e">
        <f t="shared" si="55"/>
        <v>#VALUE!</v>
      </c>
      <c r="BE147" s="18" t="e">
        <f>BD147^3+BB142*BD147+BC142</f>
        <v>#VALUE!</v>
      </c>
      <c r="BF147" s="18" t="e">
        <f>3*BD147^2+BB142</f>
        <v>#VALUE!</v>
      </c>
      <c r="BG147" s="18" t="e">
        <f t="shared" si="50"/>
        <v>#VALUE!</v>
      </c>
      <c r="BH147" s="31"/>
      <c r="BI147" s="32"/>
      <c r="BK147" s="269" t="s">
        <v>243</v>
      </c>
      <c r="BL147" s="270"/>
      <c r="BM147" s="18" t="e">
        <f t="shared" si="56"/>
        <v>#VALUE!</v>
      </c>
      <c r="BN147" s="18" t="e">
        <f>BM147^3+BK142*BM147+BL142</f>
        <v>#VALUE!</v>
      </c>
      <c r="BO147" s="18" t="e">
        <f>3*BM147^2+BK142</f>
        <v>#VALUE!</v>
      </c>
      <c r="BP147" s="18" t="e">
        <f t="shared" si="51"/>
        <v>#VALUE!</v>
      </c>
      <c r="BQ147" s="31"/>
      <c r="BR147" s="32"/>
      <c r="BT147" s="269" t="s">
        <v>243</v>
      </c>
      <c r="BU147" s="270"/>
      <c r="BV147" s="18" t="e">
        <f t="shared" si="57"/>
        <v>#VALUE!</v>
      </c>
      <c r="BW147" s="18" t="e">
        <f>BV147^3+BT142*BV147+BU142</f>
        <v>#VALUE!</v>
      </c>
      <c r="BX147" s="18" t="e">
        <f>3*BV147^2+BT142</f>
        <v>#VALUE!</v>
      </c>
      <c r="BY147" s="18" t="e">
        <f t="shared" si="52"/>
        <v>#VALUE!</v>
      </c>
      <c r="BZ147" s="31"/>
      <c r="CA147" s="32"/>
    </row>
    <row r="148" spans="36:79" ht="18" hidden="1" customHeight="1" x14ac:dyDescent="0.15">
      <c r="AJ148" s="277" t="e">
        <f>3*(AM158^2)*AN158/(8*AO158*AP158)</f>
        <v>#VALUE!</v>
      </c>
      <c r="AK148" s="278"/>
      <c r="AL148" s="118" t="e">
        <f t="shared" si="53"/>
        <v>#VALUE!</v>
      </c>
      <c r="AM148" s="118" t="e">
        <f>AL148^3+AJ142*AL148+AK142</f>
        <v>#VALUE!</v>
      </c>
      <c r="AN148" s="118" t="e">
        <f>3*AL148^2+AJ142</f>
        <v>#VALUE!</v>
      </c>
      <c r="AO148" s="118" t="e">
        <f t="shared" si="48"/>
        <v>#VALUE!</v>
      </c>
      <c r="AP148" s="116"/>
      <c r="AQ148" s="117"/>
      <c r="AS148" s="277" t="e">
        <f>3*(AV158^2)*AW158/(8*AX158*AY158)</f>
        <v>#VALUE!</v>
      </c>
      <c r="AT148" s="278"/>
      <c r="AU148" s="118" t="e">
        <f t="shared" si="54"/>
        <v>#VALUE!</v>
      </c>
      <c r="AV148" s="118" t="e">
        <f>AU148^3+AS142*AU148+AT142</f>
        <v>#VALUE!</v>
      </c>
      <c r="AW148" s="118" t="e">
        <f>3*AU148^2+AS142</f>
        <v>#VALUE!</v>
      </c>
      <c r="AX148" s="118" t="e">
        <f t="shared" si="49"/>
        <v>#VALUE!</v>
      </c>
      <c r="AY148" s="116"/>
      <c r="AZ148" s="117"/>
      <c r="BB148" s="277" t="e">
        <f>3*(BE158^2)*BF158/(8*BG158*BH158)</f>
        <v>#VALUE!</v>
      </c>
      <c r="BC148" s="278"/>
      <c r="BD148" s="118" t="e">
        <f t="shared" si="55"/>
        <v>#VALUE!</v>
      </c>
      <c r="BE148" s="118" t="e">
        <f>BD148^3+BB142*BD148+BC142</f>
        <v>#VALUE!</v>
      </c>
      <c r="BF148" s="118" t="e">
        <f>3*BD148^2+BB142</f>
        <v>#VALUE!</v>
      </c>
      <c r="BG148" s="118" t="e">
        <f t="shared" si="50"/>
        <v>#VALUE!</v>
      </c>
      <c r="BH148" s="116"/>
      <c r="BI148" s="117"/>
      <c r="BK148" s="277" t="e">
        <f>3*(BN158^2)*BO158/(8*BP158*BQ158)</f>
        <v>#VALUE!</v>
      </c>
      <c r="BL148" s="278"/>
      <c r="BM148" s="118" t="e">
        <f t="shared" si="56"/>
        <v>#VALUE!</v>
      </c>
      <c r="BN148" s="118" t="e">
        <f>BM148^3+BK142*BM148+BL142</f>
        <v>#VALUE!</v>
      </c>
      <c r="BO148" s="118" t="e">
        <f>3*BM148^2+BK142</f>
        <v>#VALUE!</v>
      </c>
      <c r="BP148" s="118" t="e">
        <f t="shared" si="51"/>
        <v>#VALUE!</v>
      </c>
      <c r="BQ148" s="116"/>
      <c r="BR148" s="117"/>
      <c r="BT148" s="277" t="e">
        <f>3*(BW158^2)*BX158/(8*BY158*BZ158)</f>
        <v>#VALUE!</v>
      </c>
      <c r="BU148" s="278"/>
      <c r="BV148" s="118" t="e">
        <f t="shared" si="57"/>
        <v>#VALUE!</v>
      </c>
      <c r="BW148" s="118" t="e">
        <f>BV148^3+BT142*BV148+BU142</f>
        <v>#VALUE!</v>
      </c>
      <c r="BX148" s="118" t="e">
        <f>3*BV148^2+BT142</f>
        <v>#VALUE!</v>
      </c>
      <c r="BY148" s="118" t="e">
        <f t="shared" si="52"/>
        <v>#VALUE!</v>
      </c>
      <c r="BZ148" s="116"/>
      <c r="CA148" s="117"/>
    </row>
    <row r="149" spans="36:79" ht="18" hidden="1" customHeight="1" x14ac:dyDescent="0.15">
      <c r="AJ149" s="121"/>
      <c r="AK149" s="122"/>
      <c r="AL149" s="118" t="e">
        <f t="shared" si="53"/>
        <v>#VALUE!</v>
      </c>
      <c r="AM149" s="118" t="e">
        <f>AL149^3+AJ142*AL149+AK142</f>
        <v>#VALUE!</v>
      </c>
      <c r="AN149" s="118" t="e">
        <f>3*AL149^2+AJ142</f>
        <v>#VALUE!</v>
      </c>
      <c r="AO149" s="118" t="e">
        <f t="shared" si="48"/>
        <v>#VALUE!</v>
      </c>
      <c r="AP149" s="119"/>
      <c r="AQ149" s="120"/>
      <c r="AS149" s="121"/>
      <c r="AT149" s="122"/>
      <c r="AU149" s="118" t="e">
        <f t="shared" si="54"/>
        <v>#VALUE!</v>
      </c>
      <c r="AV149" s="118" t="e">
        <f>AU149^3+AS142*AU149+AT142</f>
        <v>#VALUE!</v>
      </c>
      <c r="AW149" s="118" t="e">
        <f>3*AU149^2+AS142</f>
        <v>#VALUE!</v>
      </c>
      <c r="AX149" s="118" t="e">
        <f t="shared" si="49"/>
        <v>#VALUE!</v>
      </c>
      <c r="AY149" s="119"/>
      <c r="AZ149" s="120"/>
      <c r="BB149" s="121"/>
      <c r="BC149" s="122"/>
      <c r="BD149" s="118" t="e">
        <f t="shared" si="55"/>
        <v>#VALUE!</v>
      </c>
      <c r="BE149" s="118" t="e">
        <f>BD149^3+BB142*BD149+BC142</f>
        <v>#VALUE!</v>
      </c>
      <c r="BF149" s="118" t="e">
        <f>3*BD149^2+BB142</f>
        <v>#VALUE!</v>
      </c>
      <c r="BG149" s="118" t="e">
        <f t="shared" si="50"/>
        <v>#VALUE!</v>
      </c>
      <c r="BH149" s="119"/>
      <c r="BI149" s="120"/>
      <c r="BK149" s="121"/>
      <c r="BL149" s="122"/>
      <c r="BM149" s="118" t="e">
        <f t="shared" si="56"/>
        <v>#VALUE!</v>
      </c>
      <c r="BN149" s="118" t="e">
        <f>BM149^3+BK142*BM149+BL142</f>
        <v>#VALUE!</v>
      </c>
      <c r="BO149" s="118" t="e">
        <f>3*BM149^2+BK142</f>
        <v>#VALUE!</v>
      </c>
      <c r="BP149" s="118" t="e">
        <f t="shared" si="51"/>
        <v>#VALUE!</v>
      </c>
      <c r="BQ149" s="119"/>
      <c r="BR149" s="120"/>
      <c r="BT149" s="121"/>
      <c r="BU149" s="122"/>
      <c r="BV149" s="118" t="e">
        <f t="shared" si="57"/>
        <v>#VALUE!</v>
      </c>
      <c r="BW149" s="118" t="e">
        <f>BV149^3+BT142*BV149+BU142</f>
        <v>#VALUE!</v>
      </c>
      <c r="BX149" s="118" t="e">
        <f>3*BV149^2+BT142</f>
        <v>#VALUE!</v>
      </c>
      <c r="BY149" s="118" t="e">
        <f t="shared" si="52"/>
        <v>#VALUE!</v>
      </c>
      <c r="BZ149" s="119"/>
      <c r="CA149" s="120"/>
    </row>
    <row r="150" spans="36:79" ht="18" hidden="1" customHeight="1" x14ac:dyDescent="0.15">
      <c r="AJ150" s="269" t="s">
        <v>244</v>
      </c>
      <c r="AK150" s="270"/>
      <c r="AL150" s="118" t="e">
        <f t="shared" si="53"/>
        <v>#VALUE!</v>
      </c>
      <c r="AM150" s="118" t="e">
        <f>AL150^3+AJ142*AL150+AK142</f>
        <v>#VALUE!</v>
      </c>
      <c r="AN150" s="118" t="e">
        <f>3*AL150^2+AJ142</f>
        <v>#VALUE!</v>
      </c>
      <c r="AO150" s="118" t="e">
        <f t="shared" si="48"/>
        <v>#VALUE!</v>
      </c>
      <c r="AP150" s="14" t="s">
        <v>245</v>
      </c>
      <c r="AQ150" s="123" t="e">
        <f>AO156</f>
        <v>#VALUE!</v>
      </c>
      <c r="AS150" s="269" t="s">
        <v>244</v>
      </c>
      <c r="AT150" s="270"/>
      <c r="AU150" s="118" t="e">
        <f t="shared" si="54"/>
        <v>#VALUE!</v>
      </c>
      <c r="AV150" s="118" t="e">
        <f>AU150^3+AS142*AU150+AT142</f>
        <v>#VALUE!</v>
      </c>
      <c r="AW150" s="118" t="e">
        <f>3*AU150^2+AS142</f>
        <v>#VALUE!</v>
      </c>
      <c r="AX150" s="118" t="e">
        <f t="shared" si="49"/>
        <v>#VALUE!</v>
      </c>
      <c r="AY150" s="14" t="s">
        <v>245</v>
      </c>
      <c r="AZ150" s="123" t="e">
        <f>AX156</f>
        <v>#VALUE!</v>
      </c>
      <c r="BB150" s="269" t="s">
        <v>244</v>
      </c>
      <c r="BC150" s="270"/>
      <c r="BD150" s="118" t="e">
        <f t="shared" si="55"/>
        <v>#VALUE!</v>
      </c>
      <c r="BE150" s="118" t="e">
        <f>BD150^3+BB142*BD150+BC142</f>
        <v>#VALUE!</v>
      </c>
      <c r="BF150" s="118" t="e">
        <f>3*BD150^2+BB142</f>
        <v>#VALUE!</v>
      </c>
      <c r="BG150" s="118" t="e">
        <f t="shared" si="50"/>
        <v>#VALUE!</v>
      </c>
      <c r="BH150" s="14" t="s">
        <v>245</v>
      </c>
      <c r="BI150" s="123" t="e">
        <f>BG156</f>
        <v>#VALUE!</v>
      </c>
      <c r="BK150" s="269" t="s">
        <v>244</v>
      </c>
      <c r="BL150" s="270"/>
      <c r="BM150" s="118" t="e">
        <f t="shared" si="56"/>
        <v>#VALUE!</v>
      </c>
      <c r="BN150" s="118" t="e">
        <f>BM150^3+BK142*BM150+BL142</f>
        <v>#VALUE!</v>
      </c>
      <c r="BO150" s="118" t="e">
        <f>3*BM150^2+BK142</f>
        <v>#VALUE!</v>
      </c>
      <c r="BP150" s="118" t="e">
        <f t="shared" si="51"/>
        <v>#VALUE!</v>
      </c>
      <c r="BQ150" s="14" t="s">
        <v>245</v>
      </c>
      <c r="BR150" s="123" t="e">
        <f>BP156</f>
        <v>#VALUE!</v>
      </c>
      <c r="BT150" s="269" t="s">
        <v>244</v>
      </c>
      <c r="BU150" s="270"/>
      <c r="BV150" s="118" t="e">
        <f t="shared" si="57"/>
        <v>#VALUE!</v>
      </c>
      <c r="BW150" s="118" t="e">
        <f>BV150^3+BT142*BV150+BU142</f>
        <v>#VALUE!</v>
      </c>
      <c r="BX150" s="118" t="e">
        <f>3*BV150^2+BT142</f>
        <v>#VALUE!</v>
      </c>
      <c r="BY150" s="118" t="e">
        <f t="shared" si="52"/>
        <v>#VALUE!</v>
      </c>
      <c r="BZ150" s="14" t="s">
        <v>245</v>
      </c>
      <c r="CA150" s="123" t="e">
        <f>BY156</f>
        <v>#VALUE!</v>
      </c>
    </row>
    <row r="151" spans="36:79" ht="18" hidden="1" customHeight="1" x14ac:dyDescent="0.15">
      <c r="AJ151" s="271" t="e">
        <f>AJ148*AL158*AK158/AK158</f>
        <v>#VALUE!</v>
      </c>
      <c r="AK151" s="272"/>
      <c r="AL151" s="118" t="e">
        <f t="shared" si="53"/>
        <v>#VALUE!</v>
      </c>
      <c r="AM151" s="118" t="e">
        <f>AL151^3+AJ142*AL151+AK142</f>
        <v>#VALUE!</v>
      </c>
      <c r="AN151" s="118" t="e">
        <f>3*AL151^2+AJ142</f>
        <v>#VALUE!</v>
      </c>
      <c r="AO151" s="118" t="e">
        <f t="shared" si="48"/>
        <v>#VALUE!</v>
      </c>
      <c r="AP151" s="14" t="s">
        <v>246</v>
      </c>
      <c r="AQ151" s="124" t="e">
        <f>AK158*AM158^2/(8*AO156)</f>
        <v>#VALUE!</v>
      </c>
      <c r="AS151" s="271" t="e">
        <f>AS148*AU158*AT158/AT158</f>
        <v>#VALUE!</v>
      </c>
      <c r="AT151" s="272"/>
      <c r="AU151" s="118" t="e">
        <f t="shared" si="54"/>
        <v>#VALUE!</v>
      </c>
      <c r="AV151" s="118" t="e">
        <f>AU151^3+AS142*AU151+AT142</f>
        <v>#VALUE!</v>
      </c>
      <c r="AW151" s="118" t="e">
        <f>3*AU151^2+AS142</f>
        <v>#VALUE!</v>
      </c>
      <c r="AX151" s="118" t="e">
        <f t="shared" si="49"/>
        <v>#VALUE!</v>
      </c>
      <c r="AY151" s="14" t="s">
        <v>246</v>
      </c>
      <c r="AZ151" s="124" t="e">
        <f>AT158*AV158^2/(8*AX156)</f>
        <v>#VALUE!</v>
      </c>
      <c r="BB151" s="271" t="e">
        <f>BB148*BD158*BC158/BC158</f>
        <v>#VALUE!</v>
      </c>
      <c r="BC151" s="272"/>
      <c r="BD151" s="118" t="e">
        <f t="shared" si="55"/>
        <v>#VALUE!</v>
      </c>
      <c r="BE151" s="118" t="e">
        <f>BD151^3+BB142*BD151+BC142</f>
        <v>#VALUE!</v>
      </c>
      <c r="BF151" s="118" t="e">
        <f>3*BD151^2+BB142</f>
        <v>#VALUE!</v>
      </c>
      <c r="BG151" s="118" t="e">
        <f t="shared" si="50"/>
        <v>#VALUE!</v>
      </c>
      <c r="BH151" s="14" t="s">
        <v>246</v>
      </c>
      <c r="BI151" s="124" t="e">
        <f>BC158*BE158^2/(8*BG156)</f>
        <v>#VALUE!</v>
      </c>
      <c r="BK151" s="271" t="e">
        <f>BK148*BM158*BL158/BL158</f>
        <v>#VALUE!</v>
      </c>
      <c r="BL151" s="272"/>
      <c r="BM151" s="118" t="e">
        <f t="shared" si="56"/>
        <v>#VALUE!</v>
      </c>
      <c r="BN151" s="118" t="e">
        <f>BM151^3+BK142*BM151+BL142</f>
        <v>#VALUE!</v>
      </c>
      <c r="BO151" s="118" t="e">
        <f>3*BM151^2+BK142</f>
        <v>#VALUE!</v>
      </c>
      <c r="BP151" s="118" t="e">
        <f t="shared" si="51"/>
        <v>#VALUE!</v>
      </c>
      <c r="BQ151" s="14" t="s">
        <v>246</v>
      </c>
      <c r="BR151" s="124" t="e">
        <f>BL158*BN158^2/(8*BP156)</f>
        <v>#VALUE!</v>
      </c>
      <c r="BT151" s="271" t="e">
        <f>BT148*BV158*BU158/BU158</f>
        <v>#VALUE!</v>
      </c>
      <c r="BU151" s="272"/>
      <c r="BV151" s="118" t="e">
        <f t="shared" si="57"/>
        <v>#VALUE!</v>
      </c>
      <c r="BW151" s="118" t="e">
        <f>BV151^3+BT142*BV151+BU142</f>
        <v>#VALUE!</v>
      </c>
      <c r="BX151" s="118" t="e">
        <f>3*BV151^2+BT142</f>
        <v>#VALUE!</v>
      </c>
      <c r="BY151" s="118" t="e">
        <f t="shared" si="52"/>
        <v>#VALUE!</v>
      </c>
      <c r="BZ151" s="14" t="s">
        <v>246</v>
      </c>
      <c r="CA151" s="124" t="e">
        <f>BU158*BW158^2/(8*BY156)</f>
        <v>#VALUE!</v>
      </c>
    </row>
    <row r="152" spans="36:79" ht="18" hidden="1" customHeight="1" x14ac:dyDescent="0.15">
      <c r="AJ152" s="125"/>
      <c r="AK152" s="126"/>
      <c r="AL152" s="118" t="e">
        <f t="shared" si="53"/>
        <v>#VALUE!</v>
      </c>
      <c r="AM152" s="118" t="e">
        <f>AL152^3+AJ142*AL152+AK142</f>
        <v>#VALUE!</v>
      </c>
      <c r="AN152" s="118" t="e">
        <f>3*AL152^2+AJ142</f>
        <v>#VALUE!</v>
      </c>
      <c r="AO152" s="118" t="e">
        <f t="shared" si="48"/>
        <v>#VALUE!</v>
      </c>
      <c r="AP152" s="116"/>
      <c r="AQ152" s="117"/>
      <c r="AS152" s="125"/>
      <c r="AT152" s="126"/>
      <c r="AU152" s="118" t="e">
        <f t="shared" si="54"/>
        <v>#VALUE!</v>
      </c>
      <c r="AV152" s="118" t="e">
        <f>AU152^3+AS142*AU152+AT142</f>
        <v>#VALUE!</v>
      </c>
      <c r="AW152" s="118" t="e">
        <f>3*AU152^2+AS142</f>
        <v>#VALUE!</v>
      </c>
      <c r="AX152" s="118" t="e">
        <f t="shared" si="49"/>
        <v>#VALUE!</v>
      </c>
      <c r="AY152" s="116"/>
      <c r="AZ152" s="117"/>
      <c r="BB152" s="125"/>
      <c r="BC152" s="126"/>
      <c r="BD152" s="118" t="e">
        <f t="shared" si="55"/>
        <v>#VALUE!</v>
      </c>
      <c r="BE152" s="118" t="e">
        <f>BD152^3+BB142*BD152+BC142</f>
        <v>#VALUE!</v>
      </c>
      <c r="BF152" s="118" t="e">
        <f>3*BD152^2+BB142</f>
        <v>#VALUE!</v>
      </c>
      <c r="BG152" s="118" t="e">
        <f t="shared" si="50"/>
        <v>#VALUE!</v>
      </c>
      <c r="BH152" s="116"/>
      <c r="BI152" s="117"/>
      <c r="BK152" s="125"/>
      <c r="BL152" s="126"/>
      <c r="BM152" s="118" t="e">
        <f t="shared" si="56"/>
        <v>#VALUE!</v>
      </c>
      <c r="BN152" s="118" t="e">
        <f>BM152^3+BK142*BM152+BL142</f>
        <v>#VALUE!</v>
      </c>
      <c r="BO152" s="118" t="e">
        <f>3*BM152^2+BK142</f>
        <v>#VALUE!</v>
      </c>
      <c r="BP152" s="118" t="e">
        <f t="shared" si="51"/>
        <v>#VALUE!</v>
      </c>
      <c r="BQ152" s="116"/>
      <c r="BR152" s="117"/>
      <c r="BT152" s="125"/>
      <c r="BU152" s="126"/>
      <c r="BV152" s="118" t="e">
        <f t="shared" si="57"/>
        <v>#VALUE!</v>
      </c>
      <c r="BW152" s="118" t="e">
        <f>BV152^3+BT142*BV152+BU142</f>
        <v>#VALUE!</v>
      </c>
      <c r="BX152" s="118" t="e">
        <f>3*BV152^2+BT142</f>
        <v>#VALUE!</v>
      </c>
      <c r="BY152" s="118" t="e">
        <f t="shared" si="52"/>
        <v>#VALUE!</v>
      </c>
      <c r="BZ152" s="116"/>
      <c r="CA152" s="117"/>
    </row>
    <row r="153" spans="36:79" ht="18" hidden="1" customHeight="1" x14ac:dyDescent="0.15">
      <c r="AJ153" s="125"/>
      <c r="AK153" s="126"/>
      <c r="AL153" s="118" t="e">
        <f t="shared" si="53"/>
        <v>#VALUE!</v>
      </c>
      <c r="AM153" s="118" t="e">
        <f>AL153^3+AJ142*AL153+AK142</f>
        <v>#VALUE!</v>
      </c>
      <c r="AN153" s="118" t="e">
        <f>3*AL153^2+AJ142</f>
        <v>#VALUE!</v>
      </c>
      <c r="AO153" s="118" t="e">
        <f t="shared" si="48"/>
        <v>#VALUE!</v>
      </c>
      <c r="AP153" s="112" t="s">
        <v>147</v>
      </c>
      <c r="AQ153" s="113">
        <v>15</v>
      </c>
      <c r="AS153" s="125"/>
      <c r="AT153" s="126"/>
      <c r="AU153" s="118" t="e">
        <f t="shared" si="54"/>
        <v>#VALUE!</v>
      </c>
      <c r="AV153" s="118" t="e">
        <f>AU153^3+AS142*AU153+AT142</f>
        <v>#VALUE!</v>
      </c>
      <c r="AW153" s="118" t="e">
        <f>3*AU153^2+AS142</f>
        <v>#VALUE!</v>
      </c>
      <c r="AX153" s="118" t="e">
        <f t="shared" si="49"/>
        <v>#VALUE!</v>
      </c>
      <c r="AY153" s="112" t="s">
        <v>147</v>
      </c>
      <c r="AZ153" s="113">
        <v>15</v>
      </c>
      <c r="BB153" s="125"/>
      <c r="BC153" s="126"/>
      <c r="BD153" s="118" t="e">
        <f t="shared" si="55"/>
        <v>#VALUE!</v>
      </c>
      <c r="BE153" s="118" t="e">
        <f>BD153^3+BB142*BD153+BC142</f>
        <v>#VALUE!</v>
      </c>
      <c r="BF153" s="118" t="e">
        <f>3*BD153^2+BB142</f>
        <v>#VALUE!</v>
      </c>
      <c r="BG153" s="118" t="e">
        <f t="shared" si="50"/>
        <v>#VALUE!</v>
      </c>
      <c r="BH153" s="112" t="s">
        <v>147</v>
      </c>
      <c r="BI153" s="113">
        <v>15</v>
      </c>
      <c r="BK153" s="125"/>
      <c r="BL153" s="126"/>
      <c r="BM153" s="118" t="e">
        <f t="shared" si="56"/>
        <v>#VALUE!</v>
      </c>
      <c r="BN153" s="118" t="e">
        <f>BM153^3+BK142*BM153+BL142</f>
        <v>#VALUE!</v>
      </c>
      <c r="BO153" s="118" t="e">
        <f>3*BM153^2+BK142</f>
        <v>#VALUE!</v>
      </c>
      <c r="BP153" s="118" t="e">
        <f t="shared" si="51"/>
        <v>#VALUE!</v>
      </c>
      <c r="BQ153" s="112" t="s">
        <v>147</v>
      </c>
      <c r="BR153" s="113">
        <v>15</v>
      </c>
      <c r="BT153" s="125"/>
      <c r="BU153" s="126"/>
      <c r="BV153" s="118" t="e">
        <f t="shared" si="57"/>
        <v>#VALUE!</v>
      </c>
      <c r="BW153" s="118" t="e">
        <f>BV153^3+BT142*BV153+BU142</f>
        <v>#VALUE!</v>
      </c>
      <c r="BX153" s="118" t="e">
        <f>3*BV153^2+BT142</f>
        <v>#VALUE!</v>
      </c>
      <c r="BY153" s="118" t="e">
        <f t="shared" si="52"/>
        <v>#VALUE!</v>
      </c>
      <c r="BZ153" s="112" t="s">
        <v>147</v>
      </c>
      <c r="CA153" s="113">
        <v>15</v>
      </c>
    </row>
    <row r="154" spans="36:79" ht="18" hidden="1" customHeight="1" x14ac:dyDescent="0.15">
      <c r="AJ154" s="125"/>
      <c r="AK154" s="126"/>
      <c r="AL154" s="118" t="e">
        <f t="shared" si="53"/>
        <v>#VALUE!</v>
      </c>
      <c r="AM154" s="118" t="e">
        <f>AL154^3+AJ142*AL154+AK142</f>
        <v>#VALUE!</v>
      </c>
      <c r="AN154" s="118" t="e">
        <f>3*AL154^2+AJ142</f>
        <v>#VALUE!</v>
      </c>
      <c r="AO154" s="118" t="e">
        <f t="shared" si="48"/>
        <v>#VALUE!</v>
      </c>
      <c r="AP154" s="128" t="s">
        <v>218</v>
      </c>
      <c r="AQ154" s="32"/>
      <c r="AS154" s="125"/>
      <c r="AT154" s="126"/>
      <c r="AU154" s="118" t="e">
        <f t="shared" si="54"/>
        <v>#VALUE!</v>
      </c>
      <c r="AV154" s="118" t="e">
        <f>AU154^3+AS142*AU154+AT142</f>
        <v>#VALUE!</v>
      </c>
      <c r="AW154" s="118" t="e">
        <f>3*AU154^2+AS142</f>
        <v>#VALUE!</v>
      </c>
      <c r="AX154" s="118" t="e">
        <f t="shared" si="49"/>
        <v>#VALUE!</v>
      </c>
      <c r="AY154" s="128" t="s">
        <v>219</v>
      </c>
      <c r="AZ154" s="32"/>
      <c r="BB154" s="125"/>
      <c r="BC154" s="126"/>
      <c r="BD154" s="118" t="e">
        <f t="shared" si="55"/>
        <v>#VALUE!</v>
      </c>
      <c r="BE154" s="118" t="e">
        <f>BD154^3+BB142*BD154+BC142</f>
        <v>#VALUE!</v>
      </c>
      <c r="BF154" s="118" t="e">
        <f>3*BD154^2+BB142</f>
        <v>#VALUE!</v>
      </c>
      <c r="BG154" s="118" t="e">
        <f t="shared" si="50"/>
        <v>#VALUE!</v>
      </c>
      <c r="BH154" s="128" t="s">
        <v>220</v>
      </c>
      <c r="BI154" s="32"/>
      <c r="BK154" s="125"/>
      <c r="BL154" s="126"/>
      <c r="BM154" s="118" t="e">
        <f t="shared" si="56"/>
        <v>#VALUE!</v>
      </c>
      <c r="BN154" s="118" t="e">
        <f>BM154^3+BK142*BM154+BL142</f>
        <v>#VALUE!</v>
      </c>
      <c r="BO154" s="118" t="e">
        <f>3*BM154^2+BK142</f>
        <v>#VALUE!</v>
      </c>
      <c r="BP154" s="118" t="e">
        <f t="shared" si="51"/>
        <v>#VALUE!</v>
      </c>
      <c r="BQ154" s="128" t="s">
        <v>221</v>
      </c>
      <c r="BR154" s="32"/>
      <c r="BT154" s="125"/>
      <c r="BU154" s="126"/>
      <c r="BV154" s="118" t="e">
        <f t="shared" si="57"/>
        <v>#VALUE!</v>
      </c>
      <c r="BW154" s="118" t="e">
        <f>BV154^3+BT142*BV154+BU142</f>
        <v>#VALUE!</v>
      </c>
      <c r="BX154" s="118" t="e">
        <f>3*BV154^2+BT142</f>
        <v>#VALUE!</v>
      </c>
      <c r="BY154" s="118" t="e">
        <f t="shared" si="52"/>
        <v>#VALUE!</v>
      </c>
      <c r="BZ154" s="128" t="s">
        <v>222</v>
      </c>
      <c r="CA154" s="32"/>
    </row>
    <row r="155" spans="36:79" ht="18" hidden="1" customHeight="1" x14ac:dyDescent="0.15">
      <c r="AJ155" s="125"/>
      <c r="AK155" s="126"/>
      <c r="AL155" s="18" t="e">
        <f t="shared" si="53"/>
        <v>#VALUE!</v>
      </c>
      <c r="AM155" s="18" t="e">
        <f>AL155^3+AJ142*AL155+AK142</f>
        <v>#VALUE!</v>
      </c>
      <c r="AN155" s="18" t="e">
        <f>3*AL155^2+AJ142</f>
        <v>#VALUE!</v>
      </c>
      <c r="AO155" s="18" t="e">
        <f t="shared" si="48"/>
        <v>#VALUE!</v>
      </c>
      <c r="AP155" s="273" t="str">
        <f>M55</f>
        <v>無 風 時　15[℃]</v>
      </c>
      <c r="AQ155" s="274"/>
      <c r="AS155" s="125"/>
      <c r="AT155" s="126"/>
      <c r="AU155" s="18" t="e">
        <f t="shared" si="54"/>
        <v>#VALUE!</v>
      </c>
      <c r="AV155" s="18" t="e">
        <f>AU155^3+AS142*AU155+AT142</f>
        <v>#VALUE!</v>
      </c>
      <c r="AW155" s="18" t="e">
        <f>3*AU155^2+AS142</f>
        <v>#VALUE!</v>
      </c>
      <c r="AX155" s="18" t="e">
        <f t="shared" si="49"/>
        <v>#VALUE!</v>
      </c>
      <c r="AY155" s="273" t="str">
        <f>M55</f>
        <v>無 風 時　15[℃]</v>
      </c>
      <c r="AZ155" s="274"/>
      <c r="BB155" s="125"/>
      <c r="BC155" s="126"/>
      <c r="BD155" s="18" t="e">
        <f t="shared" si="55"/>
        <v>#VALUE!</v>
      </c>
      <c r="BE155" s="18" t="e">
        <f>BD155^3+BB142*BD155+BC142</f>
        <v>#VALUE!</v>
      </c>
      <c r="BF155" s="18" t="e">
        <f>3*BD155^2+BB142</f>
        <v>#VALUE!</v>
      </c>
      <c r="BG155" s="18" t="e">
        <f t="shared" si="50"/>
        <v>#VALUE!</v>
      </c>
      <c r="BH155" s="273" t="str">
        <f>M55</f>
        <v>無 風 時　15[℃]</v>
      </c>
      <c r="BI155" s="274"/>
      <c r="BK155" s="125"/>
      <c r="BL155" s="126"/>
      <c r="BM155" s="18" t="e">
        <f t="shared" si="56"/>
        <v>#VALUE!</v>
      </c>
      <c r="BN155" s="18" t="e">
        <f>BM155^3+BK142*BM155+BL142</f>
        <v>#VALUE!</v>
      </c>
      <c r="BO155" s="18" t="e">
        <f>3*BM155^2+BK142</f>
        <v>#VALUE!</v>
      </c>
      <c r="BP155" s="18" t="e">
        <f t="shared" si="51"/>
        <v>#VALUE!</v>
      </c>
      <c r="BQ155" s="273" t="str">
        <f>M55</f>
        <v>無 風 時　15[℃]</v>
      </c>
      <c r="BR155" s="274"/>
      <c r="BT155" s="125"/>
      <c r="BU155" s="126"/>
      <c r="BV155" s="18" t="e">
        <f t="shared" si="57"/>
        <v>#VALUE!</v>
      </c>
      <c r="BW155" s="18" t="e">
        <f>BV155^3+BT142*BV155+BU142</f>
        <v>#VALUE!</v>
      </c>
      <c r="BX155" s="18" t="e">
        <f>3*BV155^2+BT142</f>
        <v>#VALUE!</v>
      </c>
      <c r="BY155" s="18" t="e">
        <f t="shared" si="52"/>
        <v>#VALUE!</v>
      </c>
      <c r="BZ155" s="273" t="str">
        <f>M55</f>
        <v>無 風 時　15[℃]</v>
      </c>
      <c r="CA155" s="274"/>
    </row>
    <row r="156" spans="36:79" ht="18" hidden="1" customHeight="1" thickBot="1" x14ac:dyDescent="0.2">
      <c r="AJ156" s="125"/>
      <c r="AK156" s="126"/>
      <c r="AL156" s="114" t="e">
        <f t="shared" si="53"/>
        <v>#VALUE!</v>
      </c>
      <c r="AM156" s="115" t="e">
        <f>AL156^3+AJ142*AL156+AK142</f>
        <v>#VALUE!</v>
      </c>
      <c r="AN156" s="115" t="e">
        <f>3*AL156^2+AJ142</f>
        <v>#VALUE!</v>
      </c>
      <c r="AO156" s="115" t="e">
        <f t="shared" si="48"/>
        <v>#VALUE!</v>
      </c>
      <c r="AP156" s="275"/>
      <c r="AQ156" s="276"/>
      <c r="AS156" s="125"/>
      <c r="AT156" s="126"/>
      <c r="AU156" s="114" t="e">
        <f t="shared" si="54"/>
        <v>#VALUE!</v>
      </c>
      <c r="AV156" s="115" t="e">
        <f>AU156^3+AS142*AU156+AT142</f>
        <v>#VALUE!</v>
      </c>
      <c r="AW156" s="115" t="e">
        <f>3*AU156^2+AS142</f>
        <v>#VALUE!</v>
      </c>
      <c r="AX156" s="115" t="e">
        <f t="shared" si="49"/>
        <v>#VALUE!</v>
      </c>
      <c r="AY156" s="275"/>
      <c r="AZ156" s="276"/>
      <c r="BB156" s="125"/>
      <c r="BC156" s="126"/>
      <c r="BD156" s="114" t="e">
        <f t="shared" si="55"/>
        <v>#VALUE!</v>
      </c>
      <c r="BE156" s="115" t="e">
        <f>BD156^3+BB142*BD156+BC142</f>
        <v>#VALUE!</v>
      </c>
      <c r="BF156" s="115" t="e">
        <f>3*BD156^2+BB142</f>
        <v>#VALUE!</v>
      </c>
      <c r="BG156" s="115" t="e">
        <f t="shared" si="50"/>
        <v>#VALUE!</v>
      </c>
      <c r="BH156" s="275"/>
      <c r="BI156" s="276"/>
      <c r="BK156" s="125"/>
      <c r="BL156" s="126"/>
      <c r="BM156" s="114" t="e">
        <f t="shared" si="56"/>
        <v>#VALUE!</v>
      </c>
      <c r="BN156" s="115" t="e">
        <f>BM156^3+BK142*BM156+BL142</f>
        <v>#VALUE!</v>
      </c>
      <c r="BO156" s="115" t="e">
        <f>3*BM156^2+BK142</f>
        <v>#VALUE!</v>
      </c>
      <c r="BP156" s="115" t="e">
        <f t="shared" si="51"/>
        <v>#VALUE!</v>
      </c>
      <c r="BQ156" s="275"/>
      <c r="BR156" s="276"/>
      <c r="BT156" s="125"/>
      <c r="BU156" s="126"/>
      <c r="BV156" s="114" t="e">
        <f t="shared" si="57"/>
        <v>#VALUE!</v>
      </c>
      <c r="BW156" s="115" t="e">
        <f>BV156^3+BT142*BV156+BU142</f>
        <v>#VALUE!</v>
      </c>
      <c r="BX156" s="115" t="e">
        <f>3*BV156^2+BT142</f>
        <v>#VALUE!</v>
      </c>
      <c r="BY156" s="115" t="e">
        <f t="shared" si="52"/>
        <v>#VALUE!</v>
      </c>
      <c r="BZ156" s="275"/>
      <c r="CA156" s="276"/>
    </row>
    <row r="157" spans="36:79" ht="18" hidden="1" customHeight="1" x14ac:dyDescent="0.15">
      <c r="AJ157" s="62"/>
      <c r="AK157" s="12" t="s">
        <v>224</v>
      </c>
      <c r="AL157" s="12" t="s">
        <v>225</v>
      </c>
      <c r="AM157" s="12" t="s">
        <v>226</v>
      </c>
      <c r="AN157" s="12" t="s">
        <v>227</v>
      </c>
      <c r="AO157" s="63" t="s">
        <v>228</v>
      </c>
      <c r="AP157" s="12" t="s">
        <v>229</v>
      </c>
      <c r="AQ157" s="13" t="s">
        <v>230</v>
      </c>
      <c r="AS157" s="62"/>
      <c r="AT157" s="12" t="s">
        <v>224</v>
      </c>
      <c r="AU157" s="12" t="s">
        <v>225</v>
      </c>
      <c r="AV157" s="12" t="s">
        <v>226</v>
      </c>
      <c r="AW157" s="12" t="s">
        <v>227</v>
      </c>
      <c r="AX157" s="63" t="s">
        <v>228</v>
      </c>
      <c r="AY157" s="12" t="s">
        <v>229</v>
      </c>
      <c r="AZ157" s="13" t="s">
        <v>230</v>
      </c>
      <c r="BB157" s="62"/>
      <c r="BC157" s="12" t="s">
        <v>224</v>
      </c>
      <c r="BD157" s="12" t="s">
        <v>225</v>
      </c>
      <c r="BE157" s="12" t="s">
        <v>226</v>
      </c>
      <c r="BF157" s="12" t="s">
        <v>227</v>
      </c>
      <c r="BG157" s="63" t="s">
        <v>228</v>
      </c>
      <c r="BH157" s="12" t="s">
        <v>229</v>
      </c>
      <c r="BI157" s="13" t="s">
        <v>230</v>
      </c>
      <c r="BK157" s="62"/>
      <c r="BL157" s="12" t="s">
        <v>224</v>
      </c>
      <c r="BM157" s="12" t="s">
        <v>225</v>
      </c>
      <c r="BN157" s="12" t="s">
        <v>226</v>
      </c>
      <c r="BO157" s="12" t="s">
        <v>227</v>
      </c>
      <c r="BP157" s="63" t="s">
        <v>228</v>
      </c>
      <c r="BQ157" s="12" t="s">
        <v>229</v>
      </c>
      <c r="BR157" s="13" t="s">
        <v>230</v>
      </c>
      <c r="BT157" s="62"/>
      <c r="BU157" s="12" t="s">
        <v>224</v>
      </c>
      <c r="BV157" s="12" t="s">
        <v>225</v>
      </c>
      <c r="BW157" s="12" t="s">
        <v>226</v>
      </c>
      <c r="BX157" s="12" t="s">
        <v>227</v>
      </c>
      <c r="BY157" s="63" t="s">
        <v>228</v>
      </c>
      <c r="BZ157" s="12" t="s">
        <v>229</v>
      </c>
      <c r="CA157" s="13" t="s">
        <v>230</v>
      </c>
    </row>
    <row r="158" spans="36:79" ht="18" hidden="1" customHeight="1" thickBot="1" x14ac:dyDescent="0.2">
      <c r="AJ158" s="107"/>
      <c r="AK158" s="108" t="e">
        <f>M23+U23</f>
        <v>#VALUE!</v>
      </c>
      <c r="AL158" s="108">
        <f>IF(C33="",L19*(F19/40)^2,C33)</f>
        <v>0</v>
      </c>
      <c r="AM158" s="108">
        <f>F19</f>
        <v>0</v>
      </c>
      <c r="AN158" s="108" t="e">
        <f>AK78*1600/(8*L19)</f>
        <v>#VALUE!</v>
      </c>
      <c r="AO158" s="109">
        <f>V23</f>
        <v>0</v>
      </c>
      <c r="AP158" s="108" t="str">
        <f>L23</f>
        <v/>
      </c>
      <c r="AQ158" s="110">
        <f>W23</f>
        <v>0</v>
      </c>
      <c r="AS158" s="107"/>
      <c r="AT158" s="108" t="str">
        <f>IF(B24="使用電線-2",M24+U24,IF(B25="使用電線-2",M25+U25,IF(B26="使用電線-2",M26+U26,IF(B27="使用電線-2",M27+U27,IF(B28="使用電線-2",M28+U28,IF(B29="使用電線-2",M29+U29,""))))))</f>
        <v/>
      </c>
      <c r="AU158" s="108">
        <f>IF(I33="",L19*(F19/40)^2,I33)</f>
        <v>0</v>
      </c>
      <c r="AV158" s="108">
        <f>F19</f>
        <v>0</v>
      </c>
      <c r="AW158" s="108" t="e">
        <f>AT158*1600/(8*L19)</f>
        <v>#VALUE!</v>
      </c>
      <c r="AX158" s="109" t="str">
        <f>IF(B24="使用電線-2",V24,IF(B25="使用電線-2",V25,IF(B26="使用電線-2",V26,IF(B27="使用電線-2",V27,IF(B28="使用電線-2",V28,IF(B29="使用電線-2",V29,""))))))</f>
        <v/>
      </c>
      <c r="AY158" s="108" t="str">
        <f>IF(B24="使用電線-2",L24,IF(B25="使用電線-2",L25,IF(B26="使用電線-2",L26,IF(B27="使用電線-2",L27,IF(B28="使用電線-2",L28,IF(B29="使用電線-2",L29,""))))))</f>
        <v/>
      </c>
      <c r="AZ158" s="110" t="str">
        <f>IF(B24="使用電線-2",W24,IF(B25="使用電線-2",W25,IF(B26="使用電線-2",W26,IF(B27="使用電線-2",W27,IF(B28="使用電線-2",W28,IF(B29="使用電線-2",W29,""))))))</f>
        <v/>
      </c>
      <c r="BB158" s="107"/>
      <c r="BC158" s="108" t="str">
        <f>IF(B25="使用電線-3",M25+U25,IF(B26="使用電線-3",M26+U26,IF(B27="使用電線-3",M27+U27,IF(B28="使用電線-3",M28+U28,IF(B29="使用電線-3",M29+U29,"")))))</f>
        <v/>
      </c>
      <c r="BD158" s="108">
        <f>IF(N33="",L19*(F19/40)^2,N33)</f>
        <v>0</v>
      </c>
      <c r="BE158" s="108">
        <f>F19</f>
        <v>0</v>
      </c>
      <c r="BF158" s="108" t="e">
        <f>BC158*1600/(8*L19)</f>
        <v>#VALUE!</v>
      </c>
      <c r="BG158" s="109" t="str">
        <f>IF(B25="使用電線-3",V25,IF(B26="使用電線-3",V26,IF(B27="使用電線-3",V27,IF(B28="使用電線-3",V28,IF(B29="使用電線-3",V29,"")))))</f>
        <v/>
      </c>
      <c r="BH158" s="108" t="str">
        <f>IF(B25="使用電線-3",L25,IF(B26="使用電線-3",L26,IF(B27="使用電線-3",L27,IF(B28="使用電線-3",L28,IF(B29="使用電線-3",L29,"")))))</f>
        <v/>
      </c>
      <c r="BI158" s="110" t="str">
        <f>IF(B25="使用電線-3",W25,IF(B26="使用電線-3",W26,IF(B27="使用電線-3",W27,IF(B28="使用電線-3",W28,IF(B29="使用電線-3",W29,"")))))</f>
        <v/>
      </c>
      <c r="BK158" s="107"/>
      <c r="BL158" s="108" t="str">
        <f>IF(B26="使用電線-4",M26+U26,IF(B27="使用電線-4",M27+U27,IF(B28="使用電線-4",M28+U28,IF(B29="使用電線-4",M29+U29,""))))</f>
        <v/>
      </c>
      <c r="BM158" s="108">
        <f>IF(C47="",L19*(F19/40)^2,C47)</f>
        <v>0</v>
      </c>
      <c r="BN158" s="108">
        <f>F19</f>
        <v>0</v>
      </c>
      <c r="BO158" s="127" t="e">
        <f>BL158*1600/(8*L19)</f>
        <v>#VALUE!</v>
      </c>
      <c r="BP158" s="109" t="str">
        <f>IF(B26="使用電線-4",V26,IF(B27="使用電線-4",V27,IF(B28="使用電線-4",V28,IF(B29="使用電線-4",V29,""))))</f>
        <v/>
      </c>
      <c r="BQ158" s="108" t="str">
        <f>IF(B26="使用電線-4",L26,IF(B27="使用電線-4",L27,IF(B28="使用電線-4",L28,IF(B29="使用電線-4",L29,""))))</f>
        <v/>
      </c>
      <c r="BR158" s="110" t="str">
        <f>IF(B26="使用電線-4",W26,IF(B27="使用電線-4",W27,IF(B28="使用電線-4",W28,IF(B29="使用電線-4",W29,""))))</f>
        <v/>
      </c>
      <c r="BT158" s="107"/>
      <c r="BU158" s="108" t="str">
        <f>IF(B27="使用電線-5",M27+U27,IF(B28="使用電線-5",M28+U28,IF(B29="使用電線-5",M29+U29,"")))</f>
        <v/>
      </c>
      <c r="BV158" s="108">
        <f>IF(I47="",L19*(F19/40)^2,I47)</f>
        <v>0</v>
      </c>
      <c r="BW158" s="108">
        <f>F19</f>
        <v>0</v>
      </c>
      <c r="BX158" s="127" t="e">
        <f>BU158*1600/(8*L19)</f>
        <v>#VALUE!</v>
      </c>
      <c r="BY158" s="109" t="str">
        <f>IF(B27="使用電線-5",V27,IF(B28="使用電線-5",V28,IF(B29="使用電線-5",V29,"")))</f>
        <v/>
      </c>
      <c r="BZ158" s="108" t="str">
        <f>IF(B27="使用電線-5",L27,IF(B28="使用電線-5",L28,IF(B29="使用電線-5",L29,"")))</f>
        <v/>
      </c>
      <c r="CA158" s="110" t="str">
        <f>IF(B27="使用電線-5",W27,IF(B28="使用電線-5",W28,IF(B29="使用電線-5",W29,"")))</f>
        <v/>
      </c>
    </row>
    <row r="159" spans="36:79" ht="18" hidden="1" customHeight="1" x14ac:dyDescent="0.15"/>
    <row r="160" spans="36:79" ht="18" hidden="1" customHeight="1" thickBot="1" x14ac:dyDescent="0.2"/>
    <row r="161" spans="36:79" ht="18" hidden="1" customHeight="1" x14ac:dyDescent="0.15">
      <c r="AJ161" s="2" t="s">
        <v>232</v>
      </c>
      <c r="AK161" s="111" t="s">
        <v>233</v>
      </c>
      <c r="AL161" s="12" t="s">
        <v>234</v>
      </c>
      <c r="AM161" s="12" t="s">
        <v>235</v>
      </c>
      <c r="AN161" s="12" t="s">
        <v>236</v>
      </c>
      <c r="AO161" s="12" t="s">
        <v>237</v>
      </c>
      <c r="AP161" s="12" t="s">
        <v>238</v>
      </c>
      <c r="AQ161" s="13" t="s">
        <v>239</v>
      </c>
      <c r="AS161" s="2" t="s">
        <v>232</v>
      </c>
      <c r="AT161" s="111" t="s">
        <v>233</v>
      </c>
      <c r="AU161" s="12" t="s">
        <v>234</v>
      </c>
      <c r="AV161" s="12" t="s">
        <v>235</v>
      </c>
      <c r="AW161" s="12" t="s">
        <v>236</v>
      </c>
      <c r="AX161" s="12" t="s">
        <v>237</v>
      </c>
      <c r="AY161" s="12" t="s">
        <v>238</v>
      </c>
      <c r="AZ161" s="13" t="s">
        <v>239</v>
      </c>
      <c r="BB161" s="2" t="s">
        <v>232</v>
      </c>
      <c r="BC161" s="111" t="s">
        <v>233</v>
      </c>
      <c r="BD161" s="12" t="s">
        <v>234</v>
      </c>
      <c r="BE161" s="12" t="s">
        <v>235</v>
      </c>
      <c r="BF161" s="12" t="s">
        <v>236</v>
      </c>
      <c r="BG161" s="12" t="s">
        <v>237</v>
      </c>
      <c r="BH161" s="12" t="s">
        <v>238</v>
      </c>
      <c r="BI161" s="13" t="s">
        <v>239</v>
      </c>
      <c r="BK161" s="2" t="s">
        <v>232</v>
      </c>
      <c r="BL161" s="111" t="s">
        <v>233</v>
      </c>
      <c r="BM161" s="12" t="s">
        <v>234</v>
      </c>
      <c r="BN161" s="12" t="s">
        <v>235</v>
      </c>
      <c r="BO161" s="12" t="s">
        <v>236</v>
      </c>
      <c r="BP161" s="12" t="s">
        <v>237</v>
      </c>
      <c r="BQ161" s="12" t="s">
        <v>238</v>
      </c>
      <c r="BR161" s="13" t="s">
        <v>239</v>
      </c>
      <c r="BT161" s="2" t="s">
        <v>232</v>
      </c>
      <c r="BU161" s="111" t="s">
        <v>233</v>
      </c>
      <c r="BV161" s="12" t="s">
        <v>234</v>
      </c>
      <c r="BW161" s="12" t="s">
        <v>235</v>
      </c>
      <c r="BX161" s="12" t="s">
        <v>236</v>
      </c>
      <c r="BY161" s="12" t="s">
        <v>237</v>
      </c>
      <c r="BZ161" s="12" t="s">
        <v>238</v>
      </c>
      <c r="CA161" s="13" t="s">
        <v>239</v>
      </c>
    </row>
    <row r="162" spans="36:79" ht="18" hidden="1" customHeight="1" x14ac:dyDescent="0.15">
      <c r="AJ162" s="16" t="e">
        <f>-AJ165+AJ168</f>
        <v>#VALUE!</v>
      </c>
      <c r="AK162" s="17" t="e">
        <f>-AJ171</f>
        <v>#VALUE!</v>
      </c>
      <c r="AL162" s="18" t="e">
        <f>IF(AND(AP165&lt;0,AQ165&lt;0),AQ162*1.2,IF(AND(AP165&gt;0,AQ165&gt;0),AP162*0.8,10))</f>
        <v>#VALUE!</v>
      </c>
      <c r="AM162" s="18" t="e">
        <f>AL162^3+AJ162*AL162+AK162</f>
        <v>#VALUE!</v>
      </c>
      <c r="AN162" s="18" t="e">
        <f>3*AL162^2+AJ162</f>
        <v>#VALUE!</v>
      </c>
      <c r="AO162" s="18" t="e">
        <f t="shared" ref="AO162:AO176" si="58">AL162-AM162/AN162</f>
        <v>#VALUE!</v>
      </c>
      <c r="AP162" s="18" t="e">
        <f>-SQRT(ABS(-4*3*AJ162))/6</f>
        <v>#VALUE!</v>
      </c>
      <c r="AQ162" s="19" t="e">
        <f>SQRT(ABS(-4*3*AJ162))/6</f>
        <v>#VALUE!</v>
      </c>
      <c r="AS162" s="16" t="e">
        <f>-AS165+AS168</f>
        <v>#VALUE!</v>
      </c>
      <c r="AT162" s="17" t="e">
        <f>-AS171</f>
        <v>#VALUE!</v>
      </c>
      <c r="AU162" s="18" t="e">
        <f>IF(AND(AY165&lt;0,AZ165&lt;0),AZ162*1.2,IF(AND(AY165&gt;0,AZ165&gt;0),AY162*0.8,10))</f>
        <v>#VALUE!</v>
      </c>
      <c r="AV162" s="18" t="e">
        <f>AU162^3+AS162*AU162+AT162</f>
        <v>#VALUE!</v>
      </c>
      <c r="AW162" s="18" t="e">
        <f>3*AU162^2+AS162</f>
        <v>#VALUE!</v>
      </c>
      <c r="AX162" s="18" t="e">
        <f t="shared" ref="AX162:AX176" si="59">AU162-AV162/AW162</f>
        <v>#VALUE!</v>
      </c>
      <c r="AY162" s="18" t="e">
        <f>-SQRT(ABS(-4*3*AS162))/6</f>
        <v>#VALUE!</v>
      </c>
      <c r="AZ162" s="19" t="e">
        <f>SQRT(ABS(-4*3*AS162))/6</f>
        <v>#VALUE!</v>
      </c>
      <c r="BB162" s="16" t="e">
        <f>-BB165+BB168</f>
        <v>#VALUE!</v>
      </c>
      <c r="BC162" s="17" t="e">
        <f>-BB171</f>
        <v>#VALUE!</v>
      </c>
      <c r="BD162" s="18" t="e">
        <f>IF(AND(BH165&lt;0,BI165&lt;0),BI162*1.2,IF(AND(BH165&gt;0,BI165&gt;0),BH162*0.8,10))</f>
        <v>#VALUE!</v>
      </c>
      <c r="BE162" s="18" t="e">
        <f>BD162^3+BB162*BD162+BC162</f>
        <v>#VALUE!</v>
      </c>
      <c r="BF162" s="18" t="e">
        <f>3*BD162^2+BB162</f>
        <v>#VALUE!</v>
      </c>
      <c r="BG162" s="18" t="e">
        <f t="shared" ref="BG162:BG176" si="60">BD162-BE162/BF162</f>
        <v>#VALUE!</v>
      </c>
      <c r="BH162" s="18" t="e">
        <f>-SQRT(ABS(-4*3*BB162))/6</f>
        <v>#VALUE!</v>
      </c>
      <c r="BI162" s="19" t="e">
        <f>SQRT(ABS(-4*3*BB162))/6</f>
        <v>#VALUE!</v>
      </c>
      <c r="BK162" s="16" t="e">
        <f>-BK165+BK168</f>
        <v>#VALUE!</v>
      </c>
      <c r="BL162" s="17" t="e">
        <f>-BK171</f>
        <v>#VALUE!</v>
      </c>
      <c r="BM162" s="18" t="e">
        <f>IF(AND(BQ165&lt;0,BR165&lt;0),BR162*1.2,IF(AND(BQ165&gt;0,BR165&gt;0),BQ162*0.8,10))</f>
        <v>#VALUE!</v>
      </c>
      <c r="BN162" s="18" t="e">
        <f>BM162^3+BK162*BM162+BL162</f>
        <v>#VALUE!</v>
      </c>
      <c r="BO162" s="18" t="e">
        <f>3*BM162^2+BK162</f>
        <v>#VALUE!</v>
      </c>
      <c r="BP162" s="18" t="e">
        <f t="shared" ref="BP162:BP176" si="61">BM162-BN162/BO162</f>
        <v>#VALUE!</v>
      </c>
      <c r="BQ162" s="18" t="e">
        <f>-SQRT(ABS(-4*3*BK162))/6</f>
        <v>#VALUE!</v>
      </c>
      <c r="BR162" s="19" t="e">
        <f>SQRT(ABS(-4*3*BK162))/6</f>
        <v>#VALUE!</v>
      </c>
      <c r="BT162" s="16" t="e">
        <f>-BT165+BT168</f>
        <v>#VALUE!</v>
      </c>
      <c r="BU162" s="17" t="e">
        <f>-BT171</f>
        <v>#VALUE!</v>
      </c>
      <c r="BV162" s="18" t="e">
        <f>IF(AND(BZ165&lt;0,CA165&lt;0),CA162*1.2,IF(AND(BZ165&gt;0,CA165&gt;0),BZ162*0.8,10))</f>
        <v>#VALUE!</v>
      </c>
      <c r="BW162" s="18" t="e">
        <f>BV162^3+BT162*BV162+BU162</f>
        <v>#VALUE!</v>
      </c>
      <c r="BX162" s="18" t="e">
        <f>3*BV162^2+BT162</f>
        <v>#VALUE!</v>
      </c>
      <c r="BY162" s="18" t="e">
        <f t="shared" ref="BY162:BY176" si="62">BV162-BW162/BX162</f>
        <v>#VALUE!</v>
      </c>
      <c r="BZ162" s="18" t="e">
        <f>-SQRT(ABS(-4*3*BT162))/6</f>
        <v>#VALUE!</v>
      </c>
      <c r="CA162" s="19" t="e">
        <f>SQRT(ABS(-4*3*BT162))/6</f>
        <v>#VALUE!</v>
      </c>
    </row>
    <row r="163" spans="36:79" ht="18" hidden="1" customHeight="1" x14ac:dyDescent="0.15">
      <c r="AJ163" s="267"/>
      <c r="AK163" s="268"/>
      <c r="AL163" s="18" t="e">
        <f t="shared" ref="AL163:AL176" si="63">AO162</f>
        <v>#VALUE!</v>
      </c>
      <c r="AM163" s="18" t="e">
        <f>AL163^3+AJ162*AL163+AK162</f>
        <v>#VALUE!</v>
      </c>
      <c r="AN163" s="18" t="e">
        <f>3*AL163^2+AJ162</f>
        <v>#VALUE!</v>
      </c>
      <c r="AO163" s="18" t="e">
        <f t="shared" si="58"/>
        <v>#VALUE!</v>
      </c>
      <c r="AP163" s="6"/>
      <c r="AQ163" s="7"/>
      <c r="AS163" s="267"/>
      <c r="AT163" s="268"/>
      <c r="AU163" s="18" t="e">
        <f t="shared" ref="AU163:AU176" si="64">AX162</f>
        <v>#VALUE!</v>
      </c>
      <c r="AV163" s="18" t="e">
        <f>AU163^3+AS162*AU163+AT162</f>
        <v>#VALUE!</v>
      </c>
      <c r="AW163" s="18" t="e">
        <f>3*AU163^2+AS162</f>
        <v>#VALUE!</v>
      </c>
      <c r="AX163" s="18" t="e">
        <f t="shared" si="59"/>
        <v>#VALUE!</v>
      </c>
      <c r="AY163" s="6"/>
      <c r="AZ163" s="7"/>
      <c r="BB163" s="267"/>
      <c r="BC163" s="268"/>
      <c r="BD163" s="18" t="e">
        <f t="shared" ref="BD163:BD176" si="65">BG162</f>
        <v>#VALUE!</v>
      </c>
      <c r="BE163" s="18" t="e">
        <f>BD163^3+BB162*BD163+BC162</f>
        <v>#VALUE!</v>
      </c>
      <c r="BF163" s="18" t="e">
        <f>3*BD163^2+BB162</f>
        <v>#VALUE!</v>
      </c>
      <c r="BG163" s="18" t="e">
        <f t="shared" si="60"/>
        <v>#VALUE!</v>
      </c>
      <c r="BH163" s="6"/>
      <c r="BI163" s="7"/>
      <c r="BK163" s="267"/>
      <c r="BL163" s="268"/>
      <c r="BM163" s="18" t="e">
        <f t="shared" ref="BM163:BM176" si="66">BP162</f>
        <v>#VALUE!</v>
      </c>
      <c r="BN163" s="18" t="e">
        <f>BM163^3+BK162*BM163+BL162</f>
        <v>#VALUE!</v>
      </c>
      <c r="BO163" s="18" t="e">
        <f>3*BM163^2+BK162</f>
        <v>#VALUE!</v>
      </c>
      <c r="BP163" s="18" t="e">
        <f t="shared" si="61"/>
        <v>#VALUE!</v>
      </c>
      <c r="BQ163" s="6"/>
      <c r="BR163" s="7"/>
      <c r="BT163" s="267"/>
      <c r="BU163" s="268"/>
      <c r="BV163" s="18" t="e">
        <f t="shared" ref="BV163:BV176" si="67">BY162</f>
        <v>#VALUE!</v>
      </c>
      <c r="BW163" s="18" t="e">
        <f>BV163^3+BT162*BV163+BU162</f>
        <v>#VALUE!</v>
      </c>
      <c r="BX163" s="18" t="e">
        <f>3*BV163^2+BT162</f>
        <v>#VALUE!</v>
      </c>
      <c r="BY163" s="18" t="e">
        <f t="shared" si="62"/>
        <v>#VALUE!</v>
      </c>
      <c r="BZ163" s="6"/>
      <c r="CA163" s="7"/>
    </row>
    <row r="164" spans="36:79" ht="18" hidden="1" customHeight="1" x14ac:dyDescent="0.15">
      <c r="AJ164" s="269" t="s">
        <v>240</v>
      </c>
      <c r="AK164" s="270"/>
      <c r="AL164" s="18" t="e">
        <f t="shared" si="63"/>
        <v>#VALUE!</v>
      </c>
      <c r="AM164" s="18" t="e">
        <f>AL164^3+AJ162*AL164+AK162</f>
        <v>#VALUE!</v>
      </c>
      <c r="AN164" s="18" t="e">
        <f>3*AL164^2+AJ162</f>
        <v>#VALUE!</v>
      </c>
      <c r="AO164" s="18" t="e">
        <f t="shared" si="58"/>
        <v>#VALUE!</v>
      </c>
      <c r="AP164" s="14" t="s">
        <v>241</v>
      </c>
      <c r="AQ164" s="15" t="s">
        <v>242</v>
      </c>
      <c r="AS164" s="269" t="s">
        <v>240</v>
      </c>
      <c r="AT164" s="270"/>
      <c r="AU164" s="18" t="e">
        <f t="shared" si="64"/>
        <v>#VALUE!</v>
      </c>
      <c r="AV164" s="18" t="e">
        <f>AU164^3+AS162*AU164+AT162</f>
        <v>#VALUE!</v>
      </c>
      <c r="AW164" s="18" t="e">
        <f>3*AU164^2+AS162</f>
        <v>#VALUE!</v>
      </c>
      <c r="AX164" s="18" t="e">
        <f t="shared" si="59"/>
        <v>#VALUE!</v>
      </c>
      <c r="AY164" s="14" t="s">
        <v>241</v>
      </c>
      <c r="AZ164" s="15" t="s">
        <v>242</v>
      </c>
      <c r="BB164" s="269" t="s">
        <v>240</v>
      </c>
      <c r="BC164" s="270"/>
      <c r="BD164" s="18" t="e">
        <f t="shared" si="65"/>
        <v>#VALUE!</v>
      </c>
      <c r="BE164" s="18" t="e">
        <f>BD164^3+BB162*BD164+BC162</f>
        <v>#VALUE!</v>
      </c>
      <c r="BF164" s="18" t="e">
        <f>3*BD164^2+BB162</f>
        <v>#VALUE!</v>
      </c>
      <c r="BG164" s="18" t="e">
        <f t="shared" si="60"/>
        <v>#VALUE!</v>
      </c>
      <c r="BH164" s="14" t="s">
        <v>241</v>
      </c>
      <c r="BI164" s="15" t="s">
        <v>242</v>
      </c>
      <c r="BK164" s="269" t="s">
        <v>240</v>
      </c>
      <c r="BL164" s="270"/>
      <c r="BM164" s="18" t="e">
        <f t="shared" si="66"/>
        <v>#VALUE!</v>
      </c>
      <c r="BN164" s="18" t="e">
        <f>BM164^3+BK162*BM164+BL162</f>
        <v>#VALUE!</v>
      </c>
      <c r="BO164" s="18" t="e">
        <f>3*BM164^2+BK162</f>
        <v>#VALUE!</v>
      </c>
      <c r="BP164" s="18" t="e">
        <f t="shared" si="61"/>
        <v>#VALUE!</v>
      </c>
      <c r="BQ164" s="14" t="s">
        <v>241</v>
      </c>
      <c r="BR164" s="15" t="s">
        <v>242</v>
      </c>
      <c r="BT164" s="269" t="s">
        <v>240</v>
      </c>
      <c r="BU164" s="270"/>
      <c r="BV164" s="18" t="e">
        <f t="shared" si="67"/>
        <v>#VALUE!</v>
      </c>
      <c r="BW164" s="18" t="e">
        <f>BV164^3+BT162*BV164+BU162</f>
        <v>#VALUE!</v>
      </c>
      <c r="BX164" s="18" t="e">
        <f>3*BV164^2+BT162</f>
        <v>#VALUE!</v>
      </c>
      <c r="BY164" s="18" t="e">
        <f t="shared" si="62"/>
        <v>#VALUE!</v>
      </c>
      <c r="BZ164" s="14" t="s">
        <v>241</v>
      </c>
      <c r="CA164" s="15" t="s">
        <v>242</v>
      </c>
    </row>
    <row r="165" spans="36:79" ht="18" hidden="1" customHeight="1" x14ac:dyDescent="0.15">
      <c r="AJ165" s="269">
        <f>(AL178^2)+3*(AM178^2)*AQ178*(AQ173-15)/(8*10^7)</f>
        <v>0</v>
      </c>
      <c r="AK165" s="270"/>
      <c r="AL165" s="18" t="e">
        <f t="shared" si="63"/>
        <v>#VALUE!</v>
      </c>
      <c r="AM165" s="18" t="e">
        <f>AL165^3+AJ162*AL165+AK162</f>
        <v>#VALUE!</v>
      </c>
      <c r="AN165" s="18" t="e">
        <f>3*AL165^2+AJ162</f>
        <v>#VALUE!</v>
      </c>
      <c r="AO165" s="18" t="e">
        <f t="shared" si="58"/>
        <v>#VALUE!</v>
      </c>
      <c r="AP165" s="18" t="e">
        <f>AP162^3+AJ162*AP162+AK162</f>
        <v>#VALUE!</v>
      </c>
      <c r="AQ165" s="19" t="e">
        <f>AQ162^3+AJ162*AQ162+AK162</f>
        <v>#VALUE!</v>
      </c>
      <c r="AS165" s="269" t="e">
        <f>(AU178^2)+3*(AV178^2)*AZ178*(AZ173-15)/(8*10^7)</f>
        <v>#VALUE!</v>
      </c>
      <c r="AT165" s="270"/>
      <c r="AU165" s="18" t="e">
        <f t="shared" si="64"/>
        <v>#VALUE!</v>
      </c>
      <c r="AV165" s="18" t="e">
        <f>AU165^3+AS162*AU165+AT162</f>
        <v>#VALUE!</v>
      </c>
      <c r="AW165" s="18" t="e">
        <f>3*AU165^2+AS162</f>
        <v>#VALUE!</v>
      </c>
      <c r="AX165" s="18" t="e">
        <f t="shared" si="59"/>
        <v>#VALUE!</v>
      </c>
      <c r="AY165" s="18" t="e">
        <f>AY162^3+AS162*AY162+AT162</f>
        <v>#VALUE!</v>
      </c>
      <c r="AZ165" s="19" t="e">
        <f>AZ162^3+AS162*AZ162+AT162</f>
        <v>#VALUE!</v>
      </c>
      <c r="BB165" s="269" t="e">
        <f>(BD178^2)+3*(BE178^2)*BI178*(BI173-15)/(8*10^7)</f>
        <v>#VALUE!</v>
      </c>
      <c r="BC165" s="270"/>
      <c r="BD165" s="18" t="e">
        <f t="shared" si="65"/>
        <v>#VALUE!</v>
      </c>
      <c r="BE165" s="18" t="e">
        <f>BD165^3+BB162*BD165+BC162</f>
        <v>#VALUE!</v>
      </c>
      <c r="BF165" s="18" t="e">
        <f>3*BD165^2+BB162</f>
        <v>#VALUE!</v>
      </c>
      <c r="BG165" s="18" t="e">
        <f t="shared" si="60"/>
        <v>#VALUE!</v>
      </c>
      <c r="BH165" s="18" t="e">
        <f>BH162^3+BB162*BH162+BC162</f>
        <v>#VALUE!</v>
      </c>
      <c r="BI165" s="19" t="e">
        <f>BI162^3+BB162*BI162+BC162</f>
        <v>#VALUE!</v>
      </c>
      <c r="BK165" s="269" t="e">
        <f>(BM178^2)+3*(BN178^2)*BR178*(BR173-15)/(8*10^7)</f>
        <v>#VALUE!</v>
      </c>
      <c r="BL165" s="270"/>
      <c r="BM165" s="18" t="e">
        <f t="shared" si="66"/>
        <v>#VALUE!</v>
      </c>
      <c r="BN165" s="18" t="e">
        <f>BM165^3+BK162*BM165+BL162</f>
        <v>#VALUE!</v>
      </c>
      <c r="BO165" s="18" t="e">
        <f>3*BM165^2+BK162</f>
        <v>#VALUE!</v>
      </c>
      <c r="BP165" s="18" t="e">
        <f t="shared" si="61"/>
        <v>#VALUE!</v>
      </c>
      <c r="BQ165" s="18" t="e">
        <f>BQ162^3+BK162*BQ162+BL162</f>
        <v>#VALUE!</v>
      </c>
      <c r="BR165" s="19" t="e">
        <f>BR162^3+BK162*BR162+BL162</f>
        <v>#VALUE!</v>
      </c>
      <c r="BT165" s="269" t="e">
        <f>(BV178^2)+3*(BW178^2)*CA178*(CA173-15)/(8*10^7)</f>
        <v>#VALUE!</v>
      </c>
      <c r="BU165" s="270"/>
      <c r="BV165" s="18" t="e">
        <f t="shared" si="67"/>
        <v>#VALUE!</v>
      </c>
      <c r="BW165" s="18" t="e">
        <f>BV165^3+BT162*BV165+BU162</f>
        <v>#VALUE!</v>
      </c>
      <c r="BX165" s="18" t="e">
        <f>3*BV165^2+BT162</f>
        <v>#VALUE!</v>
      </c>
      <c r="BY165" s="18" t="e">
        <f t="shared" si="62"/>
        <v>#VALUE!</v>
      </c>
      <c r="BZ165" s="18" t="e">
        <f>BZ162^3+BT162*BZ162+BU162</f>
        <v>#VALUE!</v>
      </c>
      <c r="CA165" s="19" t="e">
        <f>CA162^3+BT162*CA162+BU162</f>
        <v>#VALUE!</v>
      </c>
    </row>
    <row r="166" spans="36:79" ht="18" hidden="1" customHeight="1" x14ac:dyDescent="0.15">
      <c r="AJ166" s="267"/>
      <c r="AK166" s="268"/>
      <c r="AL166" s="18" t="e">
        <f t="shared" si="63"/>
        <v>#VALUE!</v>
      </c>
      <c r="AM166" s="18" t="e">
        <f>AL166^3+AJ162*AL166+AK162</f>
        <v>#VALUE!</v>
      </c>
      <c r="AN166" s="18" t="e">
        <f>3*AL166^2+AJ162</f>
        <v>#VALUE!</v>
      </c>
      <c r="AO166" s="18" t="e">
        <f t="shared" si="58"/>
        <v>#VALUE!</v>
      </c>
      <c r="AP166" s="31"/>
      <c r="AQ166" s="32"/>
      <c r="AS166" s="267"/>
      <c r="AT166" s="268"/>
      <c r="AU166" s="18" t="e">
        <f t="shared" si="64"/>
        <v>#VALUE!</v>
      </c>
      <c r="AV166" s="18" t="e">
        <f>AU166^3+AS162*AU166+AT162</f>
        <v>#VALUE!</v>
      </c>
      <c r="AW166" s="18" t="e">
        <f>3*AU166^2+AS162</f>
        <v>#VALUE!</v>
      </c>
      <c r="AX166" s="18" t="e">
        <f t="shared" si="59"/>
        <v>#VALUE!</v>
      </c>
      <c r="AY166" s="31"/>
      <c r="AZ166" s="32"/>
      <c r="BB166" s="267"/>
      <c r="BC166" s="268"/>
      <c r="BD166" s="18" t="e">
        <f t="shared" si="65"/>
        <v>#VALUE!</v>
      </c>
      <c r="BE166" s="18" t="e">
        <f>BD166^3+BB162*BD166+BC162</f>
        <v>#VALUE!</v>
      </c>
      <c r="BF166" s="18" t="e">
        <f>3*BD166^2+BB162</f>
        <v>#VALUE!</v>
      </c>
      <c r="BG166" s="18" t="e">
        <f t="shared" si="60"/>
        <v>#VALUE!</v>
      </c>
      <c r="BH166" s="31"/>
      <c r="BI166" s="32"/>
      <c r="BK166" s="267"/>
      <c r="BL166" s="268"/>
      <c r="BM166" s="18" t="e">
        <f t="shared" si="66"/>
        <v>#VALUE!</v>
      </c>
      <c r="BN166" s="18" t="e">
        <f>BM166^3+BK162*BM166+BL162</f>
        <v>#VALUE!</v>
      </c>
      <c r="BO166" s="18" t="e">
        <f>3*BM166^2+BK162</f>
        <v>#VALUE!</v>
      </c>
      <c r="BP166" s="18" t="e">
        <f t="shared" si="61"/>
        <v>#VALUE!</v>
      </c>
      <c r="BQ166" s="31"/>
      <c r="BR166" s="32"/>
      <c r="BT166" s="267"/>
      <c r="BU166" s="268"/>
      <c r="BV166" s="18" t="e">
        <f t="shared" si="67"/>
        <v>#VALUE!</v>
      </c>
      <c r="BW166" s="18" t="e">
        <f>BV166^3+BT162*BV166+BU162</f>
        <v>#VALUE!</v>
      </c>
      <c r="BX166" s="18" t="e">
        <f>3*BV166^2+BT162</f>
        <v>#VALUE!</v>
      </c>
      <c r="BY166" s="18" t="e">
        <f t="shared" si="62"/>
        <v>#VALUE!</v>
      </c>
      <c r="BZ166" s="31"/>
      <c r="CA166" s="32"/>
    </row>
    <row r="167" spans="36:79" ht="18" hidden="1" customHeight="1" x14ac:dyDescent="0.15">
      <c r="AJ167" s="269" t="s">
        <v>243</v>
      </c>
      <c r="AK167" s="270"/>
      <c r="AL167" s="18" t="e">
        <f t="shared" si="63"/>
        <v>#VALUE!</v>
      </c>
      <c r="AM167" s="18" t="e">
        <f>AL167^3+AJ162*AL167+AK162</f>
        <v>#VALUE!</v>
      </c>
      <c r="AN167" s="18" t="e">
        <f>3*AL167^2+AJ162</f>
        <v>#VALUE!</v>
      </c>
      <c r="AO167" s="18" t="e">
        <f t="shared" si="58"/>
        <v>#VALUE!</v>
      </c>
      <c r="AP167" s="31"/>
      <c r="AQ167" s="32"/>
      <c r="AS167" s="269" t="s">
        <v>243</v>
      </c>
      <c r="AT167" s="270"/>
      <c r="AU167" s="18" t="e">
        <f t="shared" si="64"/>
        <v>#VALUE!</v>
      </c>
      <c r="AV167" s="18" t="e">
        <f>AU167^3+AS162*AU167+AT162</f>
        <v>#VALUE!</v>
      </c>
      <c r="AW167" s="18" t="e">
        <f>3*AU167^2+AS162</f>
        <v>#VALUE!</v>
      </c>
      <c r="AX167" s="18" t="e">
        <f t="shared" si="59"/>
        <v>#VALUE!</v>
      </c>
      <c r="AY167" s="31"/>
      <c r="AZ167" s="32"/>
      <c r="BB167" s="269" t="s">
        <v>243</v>
      </c>
      <c r="BC167" s="270"/>
      <c r="BD167" s="18" t="e">
        <f t="shared" si="65"/>
        <v>#VALUE!</v>
      </c>
      <c r="BE167" s="18" t="e">
        <f>BD167^3+BB162*BD167+BC162</f>
        <v>#VALUE!</v>
      </c>
      <c r="BF167" s="18" t="e">
        <f>3*BD167^2+BB162</f>
        <v>#VALUE!</v>
      </c>
      <c r="BG167" s="18" t="e">
        <f t="shared" si="60"/>
        <v>#VALUE!</v>
      </c>
      <c r="BH167" s="31"/>
      <c r="BI167" s="32"/>
      <c r="BK167" s="269" t="s">
        <v>243</v>
      </c>
      <c r="BL167" s="270"/>
      <c r="BM167" s="18" t="e">
        <f t="shared" si="66"/>
        <v>#VALUE!</v>
      </c>
      <c r="BN167" s="18" t="e">
        <f>BM167^3+BK162*BM167+BL162</f>
        <v>#VALUE!</v>
      </c>
      <c r="BO167" s="18" t="e">
        <f>3*BM167^2+BK162</f>
        <v>#VALUE!</v>
      </c>
      <c r="BP167" s="18" t="e">
        <f t="shared" si="61"/>
        <v>#VALUE!</v>
      </c>
      <c r="BQ167" s="31"/>
      <c r="BR167" s="32"/>
      <c r="BT167" s="269" t="s">
        <v>243</v>
      </c>
      <c r="BU167" s="270"/>
      <c r="BV167" s="18" t="e">
        <f t="shared" si="67"/>
        <v>#VALUE!</v>
      </c>
      <c r="BW167" s="18" t="e">
        <f>BV167^3+BT162*BV167+BU162</f>
        <v>#VALUE!</v>
      </c>
      <c r="BX167" s="18" t="e">
        <f>3*BV167^2+BT162</f>
        <v>#VALUE!</v>
      </c>
      <c r="BY167" s="18" t="e">
        <f t="shared" si="62"/>
        <v>#VALUE!</v>
      </c>
      <c r="BZ167" s="31"/>
      <c r="CA167" s="32"/>
    </row>
    <row r="168" spans="36:79" ht="18" hidden="1" customHeight="1" x14ac:dyDescent="0.15">
      <c r="AJ168" s="277" t="e">
        <f>3*(AM178^2)*AN178/(8*AO178*AP178)</f>
        <v>#VALUE!</v>
      </c>
      <c r="AK168" s="278"/>
      <c r="AL168" s="118" t="e">
        <f t="shared" si="63"/>
        <v>#VALUE!</v>
      </c>
      <c r="AM168" s="118" t="e">
        <f>AL168^3+AJ162*AL168+AK162</f>
        <v>#VALUE!</v>
      </c>
      <c r="AN168" s="118" t="e">
        <f>3*AL168^2+AJ162</f>
        <v>#VALUE!</v>
      </c>
      <c r="AO168" s="118" t="e">
        <f t="shared" si="58"/>
        <v>#VALUE!</v>
      </c>
      <c r="AP168" s="116"/>
      <c r="AQ168" s="117"/>
      <c r="AS168" s="277" t="e">
        <f>3*(AV178^2)*AW178/(8*AX178*AY178)</f>
        <v>#VALUE!</v>
      </c>
      <c r="AT168" s="278"/>
      <c r="AU168" s="118" t="e">
        <f t="shared" si="64"/>
        <v>#VALUE!</v>
      </c>
      <c r="AV168" s="118" t="e">
        <f>AU168^3+AS162*AU168+AT162</f>
        <v>#VALUE!</v>
      </c>
      <c r="AW168" s="118" t="e">
        <f>3*AU168^2+AS162</f>
        <v>#VALUE!</v>
      </c>
      <c r="AX168" s="118" t="e">
        <f t="shared" si="59"/>
        <v>#VALUE!</v>
      </c>
      <c r="AY168" s="116"/>
      <c r="AZ168" s="117"/>
      <c r="BB168" s="277" t="e">
        <f>3*(BE178^2)*BF178/(8*BG178*BH178)</f>
        <v>#VALUE!</v>
      </c>
      <c r="BC168" s="278"/>
      <c r="BD168" s="118" t="e">
        <f t="shared" si="65"/>
        <v>#VALUE!</v>
      </c>
      <c r="BE168" s="118" t="e">
        <f>BD168^3+BB162*BD168+BC162</f>
        <v>#VALUE!</v>
      </c>
      <c r="BF168" s="118" t="e">
        <f>3*BD168^2+BB162</f>
        <v>#VALUE!</v>
      </c>
      <c r="BG168" s="118" t="e">
        <f t="shared" si="60"/>
        <v>#VALUE!</v>
      </c>
      <c r="BH168" s="116"/>
      <c r="BI168" s="117"/>
      <c r="BK168" s="277" t="e">
        <f>3*(BN178^2)*BO178/(8*BP178*BQ178)</f>
        <v>#VALUE!</v>
      </c>
      <c r="BL168" s="278"/>
      <c r="BM168" s="118" t="e">
        <f t="shared" si="66"/>
        <v>#VALUE!</v>
      </c>
      <c r="BN168" s="118" t="e">
        <f>BM168^3+BK162*BM168+BL162</f>
        <v>#VALUE!</v>
      </c>
      <c r="BO168" s="118" t="e">
        <f>3*BM168^2+BK162</f>
        <v>#VALUE!</v>
      </c>
      <c r="BP168" s="118" t="e">
        <f t="shared" si="61"/>
        <v>#VALUE!</v>
      </c>
      <c r="BQ168" s="116"/>
      <c r="BR168" s="117"/>
      <c r="BT168" s="277" t="e">
        <f>3*(BW178^2)*BX178/(8*BY178*BZ178)</f>
        <v>#VALUE!</v>
      </c>
      <c r="BU168" s="278"/>
      <c r="BV168" s="118" t="e">
        <f t="shared" si="67"/>
        <v>#VALUE!</v>
      </c>
      <c r="BW168" s="118" t="e">
        <f>BV168^3+BT162*BV168+BU162</f>
        <v>#VALUE!</v>
      </c>
      <c r="BX168" s="118" t="e">
        <f>3*BV168^2+BT162</f>
        <v>#VALUE!</v>
      </c>
      <c r="BY168" s="118" t="e">
        <f t="shared" si="62"/>
        <v>#VALUE!</v>
      </c>
      <c r="BZ168" s="116"/>
      <c r="CA168" s="117"/>
    </row>
    <row r="169" spans="36:79" ht="18" hidden="1" customHeight="1" x14ac:dyDescent="0.15">
      <c r="AJ169" s="121"/>
      <c r="AK169" s="122"/>
      <c r="AL169" s="118" t="e">
        <f t="shared" si="63"/>
        <v>#VALUE!</v>
      </c>
      <c r="AM169" s="118" t="e">
        <f>AL169^3+AJ162*AL169+AK162</f>
        <v>#VALUE!</v>
      </c>
      <c r="AN169" s="118" t="e">
        <f>3*AL169^2+AJ162</f>
        <v>#VALUE!</v>
      </c>
      <c r="AO169" s="118" t="e">
        <f t="shared" si="58"/>
        <v>#VALUE!</v>
      </c>
      <c r="AP169" s="119"/>
      <c r="AQ169" s="120"/>
      <c r="AS169" s="121"/>
      <c r="AT169" s="122"/>
      <c r="AU169" s="118" t="e">
        <f t="shared" si="64"/>
        <v>#VALUE!</v>
      </c>
      <c r="AV169" s="118" t="e">
        <f>AU169^3+AS162*AU169+AT162</f>
        <v>#VALUE!</v>
      </c>
      <c r="AW169" s="118" t="e">
        <f>3*AU169^2+AS162</f>
        <v>#VALUE!</v>
      </c>
      <c r="AX169" s="118" t="e">
        <f t="shared" si="59"/>
        <v>#VALUE!</v>
      </c>
      <c r="AY169" s="119"/>
      <c r="AZ169" s="120"/>
      <c r="BB169" s="121"/>
      <c r="BC169" s="122"/>
      <c r="BD169" s="118" t="e">
        <f t="shared" si="65"/>
        <v>#VALUE!</v>
      </c>
      <c r="BE169" s="118" t="e">
        <f>BD169^3+BB162*BD169+BC162</f>
        <v>#VALUE!</v>
      </c>
      <c r="BF169" s="118" t="e">
        <f>3*BD169^2+BB162</f>
        <v>#VALUE!</v>
      </c>
      <c r="BG169" s="118" t="e">
        <f t="shared" si="60"/>
        <v>#VALUE!</v>
      </c>
      <c r="BH169" s="119"/>
      <c r="BI169" s="120"/>
      <c r="BK169" s="121"/>
      <c r="BL169" s="122"/>
      <c r="BM169" s="118" t="e">
        <f t="shared" si="66"/>
        <v>#VALUE!</v>
      </c>
      <c r="BN169" s="118" t="e">
        <f>BM169^3+BK162*BM169+BL162</f>
        <v>#VALUE!</v>
      </c>
      <c r="BO169" s="118" t="e">
        <f>3*BM169^2+BK162</f>
        <v>#VALUE!</v>
      </c>
      <c r="BP169" s="118" t="e">
        <f t="shared" si="61"/>
        <v>#VALUE!</v>
      </c>
      <c r="BQ169" s="119"/>
      <c r="BR169" s="120"/>
      <c r="BT169" s="121"/>
      <c r="BU169" s="122"/>
      <c r="BV169" s="118" t="e">
        <f t="shared" si="67"/>
        <v>#VALUE!</v>
      </c>
      <c r="BW169" s="118" t="e">
        <f>BV169^3+BT162*BV169+BU162</f>
        <v>#VALUE!</v>
      </c>
      <c r="BX169" s="118" t="e">
        <f>3*BV169^2+BT162</f>
        <v>#VALUE!</v>
      </c>
      <c r="BY169" s="118" t="e">
        <f t="shared" si="62"/>
        <v>#VALUE!</v>
      </c>
      <c r="BZ169" s="119"/>
      <c r="CA169" s="120"/>
    </row>
    <row r="170" spans="36:79" ht="18" hidden="1" customHeight="1" x14ac:dyDescent="0.15">
      <c r="AJ170" s="269" t="s">
        <v>244</v>
      </c>
      <c r="AK170" s="270"/>
      <c r="AL170" s="118" t="e">
        <f t="shared" si="63"/>
        <v>#VALUE!</v>
      </c>
      <c r="AM170" s="118" t="e">
        <f>AL170^3+AJ162*AL170+AK162</f>
        <v>#VALUE!</v>
      </c>
      <c r="AN170" s="118" t="e">
        <f>3*AL170^2+AJ162</f>
        <v>#VALUE!</v>
      </c>
      <c r="AO170" s="118" t="e">
        <f t="shared" si="58"/>
        <v>#VALUE!</v>
      </c>
      <c r="AP170" s="14" t="s">
        <v>245</v>
      </c>
      <c r="AQ170" s="123" t="e">
        <f>AO176</f>
        <v>#VALUE!</v>
      </c>
      <c r="AS170" s="269" t="s">
        <v>244</v>
      </c>
      <c r="AT170" s="270"/>
      <c r="AU170" s="118" t="e">
        <f t="shared" si="64"/>
        <v>#VALUE!</v>
      </c>
      <c r="AV170" s="118" t="e">
        <f>AU170^3+AS162*AU170+AT162</f>
        <v>#VALUE!</v>
      </c>
      <c r="AW170" s="118" t="e">
        <f>3*AU170^2+AS162</f>
        <v>#VALUE!</v>
      </c>
      <c r="AX170" s="118" t="e">
        <f t="shared" si="59"/>
        <v>#VALUE!</v>
      </c>
      <c r="AY170" s="14" t="s">
        <v>245</v>
      </c>
      <c r="AZ170" s="123" t="e">
        <f>AX176</f>
        <v>#VALUE!</v>
      </c>
      <c r="BB170" s="269" t="s">
        <v>244</v>
      </c>
      <c r="BC170" s="270"/>
      <c r="BD170" s="118" t="e">
        <f t="shared" si="65"/>
        <v>#VALUE!</v>
      </c>
      <c r="BE170" s="118" t="e">
        <f>BD170^3+BB162*BD170+BC162</f>
        <v>#VALUE!</v>
      </c>
      <c r="BF170" s="118" t="e">
        <f>3*BD170^2+BB162</f>
        <v>#VALUE!</v>
      </c>
      <c r="BG170" s="118" t="e">
        <f t="shared" si="60"/>
        <v>#VALUE!</v>
      </c>
      <c r="BH170" s="14" t="s">
        <v>245</v>
      </c>
      <c r="BI170" s="123" t="e">
        <f>BG176</f>
        <v>#VALUE!</v>
      </c>
      <c r="BK170" s="269" t="s">
        <v>244</v>
      </c>
      <c r="BL170" s="270"/>
      <c r="BM170" s="118" t="e">
        <f t="shared" si="66"/>
        <v>#VALUE!</v>
      </c>
      <c r="BN170" s="118" t="e">
        <f>BM170^3+BK162*BM170+BL162</f>
        <v>#VALUE!</v>
      </c>
      <c r="BO170" s="118" t="e">
        <f>3*BM170^2+BK162</f>
        <v>#VALUE!</v>
      </c>
      <c r="BP170" s="118" t="e">
        <f t="shared" si="61"/>
        <v>#VALUE!</v>
      </c>
      <c r="BQ170" s="14" t="s">
        <v>245</v>
      </c>
      <c r="BR170" s="123" t="e">
        <f>BP176</f>
        <v>#VALUE!</v>
      </c>
      <c r="BT170" s="269" t="s">
        <v>244</v>
      </c>
      <c r="BU170" s="270"/>
      <c r="BV170" s="118" t="e">
        <f t="shared" si="67"/>
        <v>#VALUE!</v>
      </c>
      <c r="BW170" s="118" t="e">
        <f>BV170^3+BT162*BV170+BU162</f>
        <v>#VALUE!</v>
      </c>
      <c r="BX170" s="118" t="e">
        <f>3*BV170^2+BT162</f>
        <v>#VALUE!</v>
      </c>
      <c r="BY170" s="118" t="e">
        <f t="shared" si="62"/>
        <v>#VALUE!</v>
      </c>
      <c r="BZ170" s="14" t="s">
        <v>245</v>
      </c>
      <c r="CA170" s="123" t="e">
        <f>BY176</f>
        <v>#VALUE!</v>
      </c>
    </row>
    <row r="171" spans="36:79" ht="18" hidden="1" customHeight="1" x14ac:dyDescent="0.15">
      <c r="AJ171" s="271" t="e">
        <f>AJ168*AL178*AK178/AK178</f>
        <v>#VALUE!</v>
      </c>
      <c r="AK171" s="272"/>
      <c r="AL171" s="118" t="e">
        <f t="shared" si="63"/>
        <v>#VALUE!</v>
      </c>
      <c r="AM171" s="118" t="e">
        <f>AL171^3+AJ162*AL171+AK162</f>
        <v>#VALUE!</v>
      </c>
      <c r="AN171" s="118" t="e">
        <f>3*AL171^2+AJ162</f>
        <v>#VALUE!</v>
      </c>
      <c r="AO171" s="118" t="e">
        <f t="shared" si="58"/>
        <v>#VALUE!</v>
      </c>
      <c r="AP171" s="14" t="s">
        <v>246</v>
      </c>
      <c r="AQ171" s="124" t="e">
        <f>AK178*AM178^2/(8*AO176)</f>
        <v>#VALUE!</v>
      </c>
      <c r="AS171" s="271" t="e">
        <f>AS168*AU178*AT178/AT178</f>
        <v>#VALUE!</v>
      </c>
      <c r="AT171" s="272"/>
      <c r="AU171" s="118" t="e">
        <f t="shared" si="64"/>
        <v>#VALUE!</v>
      </c>
      <c r="AV171" s="118" t="e">
        <f>AU171^3+AS162*AU171+AT162</f>
        <v>#VALUE!</v>
      </c>
      <c r="AW171" s="118" t="e">
        <f>3*AU171^2+AS162</f>
        <v>#VALUE!</v>
      </c>
      <c r="AX171" s="118" t="e">
        <f t="shared" si="59"/>
        <v>#VALUE!</v>
      </c>
      <c r="AY171" s="14" t="s">
        <v>246</v>
      </c>
      <c r="AZ171" s="124" t="e">
        <f>AT178*AV178^2/(8*AX176)</f>
        <v>#VALUE!</v>
      </c>
      <c r="BB171" s="271" t="e">
        <f>BB168*BD178*BC178/BC178</f>
        <v>#VALUE!</v>
      </c>
      <c r="BC171" s="272"/>
      <c r="BD171" s="118" t="e">
        <f t="shared" si="65"/>
        <v>#VALUE!</v>
      </c>
      <c r="BE171" s="118" t="e">
        <f>BD171^3+BB162*BD171+BC162</f>
        <v>#VALUE!</v>
      </c>
      <c r="BF171" s="118" t="e">
        <f>3*BD171^2+BB162</f>
        <v>#VALUE!</v>
      </c>
      <c r="BG171" s="118" t="e">
        <f t="shared" si="60"/>
        <v>#VALUE!</v>
      </c>
      <c r="BH171" s="14" t="s">
        <v>246</v>
      </c>
      <c r="BI171" s="124" t="e">
        <f>BC178*BE178^2/(8*BG176)</f>
        <v>#VALUE!</v>
      </c>
      <c r="BK171" s="271" t="e">
        <f>BK168*BM178*BL178/BL178</f>
        <v>#VALUE!</v>
      </c>
      <c r="BL171" s="272"/>
      <c r="BM171" s="118" t="e">
        <f t="shared" si="66"/>
        <v>#VALUE!</v>
      </c>
      <c r="BN171" s="118" t="e">
        <f>BM171^3+BK162*BM171+BL162</f>
        <v>#VALUE!</v>
      </c>
      <c r="BO171" s="118" t="e">
        <f>3*BM171^2+BK162</f>
        <v>#VALUE!</v>
      </c>
      <c r="BP171" s="118" t="e">
        <f t="shared" si="61"/>
        <v>#VALUE!</v>
      </c>
      <c r="BQ171" s="14" t="s">
        <v>246</v>
      </c>
      <c r="BR171" s="124" t="e">
        <f>BL178*BN178^2/(8*BP176)</f>
        <v>#VALUE!</v>
      </c>
      <c r="BT171" s="271" t="e">
        <f>BT168*BV178*BU178/BU178</f>
        <v>#VALUE!</v>
      </c>
      <c r="BU171" s="272"/>
      <c r="BV171" s="118" t="e">
        <f t="shared" si="67"/>
        <v>#VALUE!</v>
      </c>
      <c r="BW171" s="118" t="e">
        <f>BV171^3+BT162*BV171+BU162</f>
        <v>#VALUE!</v>
      </c>
      <c r="BX171" s="118" t="e">
        <f>3*BV171^2+BT162</f>
        <v>#VALUE!</v>
      </c>
      <c r="BY171" s="118" t="e">
        <f t="shared" si="62"/>
        <v>#VALUE!</v>
      </c>
      <c r="BZ171" s="14" t="s">
        <v>246</v>
      </c>
      <c r="CA171" s="124" t="e">
        <f>BU178*BW178^2/(8*BY176)</f>
        <v>#VALUE!</v>
      </c>
    </row>
    <row r="172" spans="36:79" ht="18" hidden="1" customHeight="1" x14ac:dyDescent="0.15">
      <c r="AJ172" s="125"/>
      <c r="AK172" s="126"/>
      <c r="AL172" s="118" t="e">
        <f t="shared" si="63"/>
        <v>#VALUE!</v>
      </c>
      <c r="AM172" s="118" t="e">
        <f>AL172^3+AJ162*AL172+AK162</f>
        <v>#VALUE!</v>
      </c>
      <c r="AN172" s="118" t="e">
        <f>3*AL172^2+AJ162</f>
        <v>#VALUE!</v>
      </c>
      <c r="AO172" s="118" t="e">
        <f t="shared" si="58"/>
        <v>#VALUE!</v>
      </c>
      <c r="AP172" s="116"/>
      <c r="AQ172" s="117"/>
      <c r="AS172" s="125"/>
      <c r="AT172" s="126"/>
      <c r="AU172" s="118" t="e">
        <f t="shared" si="64"/>
        <v>#VALUE!</v>
      </c>
      <c r="AV172" s="118" t="e">
        <f>AU172^3+AS162*AU172+AT162</f>
        <v>#VALUE!</v>
      </c>
      <c r="AW172" s="118" t="e">
        <f>3*AU172^2+AS162</f>
        <v>#VALUE!</v>
      </c>
      <c r="AX172" s="118" t="e">
        <f t="shared" si="59"/>
        <v>#VALUE!</v>
      </c>
      <c r="AY172" s="116"/>
      <c r="AZ172" s="117"/>
      <c r="BB172" s="125"/>
      <c r="BC172" s="126"/>
      <c r="BD172" s="118" t="e">
        <f t="shared" si="65"/>
        <v>#VALUE!</v>
      </c>
      <c r="BE172" s="118" t="e">
        <f>BD172^3+BB162*BD172+BC162</f>
        <v>#VALUE!</v>
      </c>
      <c r="BF172" s="118" t="e">
        <f>3*BD172^2+BB162</f>
        <v>#VALUE!</v>
      </c>
      <c r="BG172" s="118" t="e">
        <f t="shared" si="60"/>
        <v>#VALUE!</v>
      </c>
      <c r="BH172" s="116"/>
      <c r="BI172" s="117"/>
      <c r="BK172" s="125"/>
      <c r="BL172" s="126"/>
      <c r="BM172" s="118" t="e">
        <f t="shared" si="66"/>
        <v>#VALUE!</v>
      </c>
      <c r="BN172" s="118" t="e">
        <f>BM172^3+BK162*BM172+BL162</f>
        <v>#VALUE!</v>
      </c>
      <c r="BO172" s="118" t="e">
        <f>3*BM172^2+BK162</f>
        <v>#VALUE!</v>
      </c>
      <c r="BP172" s="118" t="e">
        <f t="shared" si="61"/>
        <v>#VALUE!</v>
      </c>
      <c r="BQ172" s="116"/>
      <c r="BR172" s="117"/>
      <c r="BT172" s="125"/>
      <c r="BU172" s="126"/>
      <c r="BV172" s="118" t="e">
        <f t="shared" si="67"/>
        <v>#VALUE!</v>
      </c>
      <c r="BW172" s="118" t="e">
        <f>BV172^3+BT162*BV172+BU162</f>
        <v>#VALUE!</v>
      </c>
      <c r="BX172" s="118" t="e">
        <f>3*BV172^2+BT162</f>
        <v>#VALUE!</v>
      </c>
      <c r="BY172" s="118" t="e">
        <f t="shared" si="62"/>
        <v>#VALUE!</v>
      </c>
      <c r="BZ172" s="116"/>
      <c r="CA172" s="117"/>
    </row>
    <row r="173" spans="36:79" ht="18" hidden="1" customHeight="1" x14ac:dyDescent="0.15">
      <c r="AJ173" s="125"/>
      <c r="AK173" s="126"/>
      <c r="AL173" s="118" t="e">
        <f t="shared" si="63"/>
        <v>#VALUE!</v>
      </c>
      <c r="AM173" s="118" t="e">
        <f>AL173^3+AJ162*AL173+AK162</f>
        <v>#VALUE!</v>
      </c>
      <c r="AN173" s="118" t="e">
        <f>3*AL173^2+AJ162</f>
        <v>#VALUE!</v>
      </c>
      <c r="AO173" s="118" t="e">
        <f t="shared" si="58"/>
        <v>#VALUE!</v>
      </c>
      <c r="AP173" s="112" t="s">
        <v>147</v>
      </c>
      <c r="AQ173" s="113">
        <v>30</v>
      </c>
      <c r="AS173" s="125"/>
      <c r="AT173" s="126"/>
      <c r="AU173" s="118" t="e">
        <f t="shared" si="64"/>
        <v>#VALUE!</v>
      </c>
      <c r="AV173" s="118" t="e">
        <f>AU173^3+AS162*AU173+AT162</f>
        <v>#VALUE!</v>
      </c>
      <c r="AW173" s="118" t="e">
        <f>3*AU173^2+AS162</f>
        <v>#VALUE!</v>
      </c>
      <c r="AX173" s="118" t="e">
        <f t="shared" si="59"/>
        <v>#VALUE!</v>
      </c>
      <c r="AY173" s="112" t="s">
        <v>147</v>
      </c>
      <c r="AZ173" s="113">
        <v>30</v>
      </c>
      <c r="BB173" s="125"/>
      <c r="BC173" s="126"/>
      <c r="BD173" s="118" t="e">
        <f t="shared" si="65"/>
        <v>#VALUE!</v>
      </c>
      <c r="BE173" s="118" t="e">
        <f>BD173^3+BB162*BD173+BC162</f>
        <v>#VALUE!</v>
      </c>
      <c r="BF173" s="118" t="e">
        <f>3*BD173^2+BB162</f>
        <v>#VALUE!</v>
      </c>
      <c r="BG173" s="118" t="e">
        <f t="shared" si="60"/>
        <v>#VALUE!</v>
      </c>
      <c r="BH173" s="112" t="s">
        <v>147</v>
      </c>
      <c r="BI173" s="113">
        <v>30</v>
      </c>
      <c r="BK173" s="125"/>
      <c r="BL173" s="126"/>
      <c r="BM173" s="118" t="e">
        <f t="shared" si="66"/>
        <v>#VALUE!</v>
      </c>
      <c r="BN173" s="118" t="e">
        <f>BM173^3+BK162*BM173+BL162</f>
        <v>#VALUE!</v>
      </c>
      <c r="BO173" s="118" t="e">
        <f>3*BM173^2+BK162</f>
        <v>#VALUE!</v>
      </c>
      <c r="BP173" s="118" t="e">
        <f t="shared" si="61"/>
        <v>#VALUE!</v>
      </c>
      <c r="BQ173" s="112" t="s">
        <v>147</v>
      </c>
      <c r="BR173" s="113">
        <v>30</v>
      </c>
      <c r="BT173" s="125"/>
      <c r="BU173" s="126"/>
      <c r="BV173" s="118" t="e">
        <f t="shared" si="67"/>
        <v>#VALUE!</v>
      </c>
      <c r="BW173" s="118" t="e">
        <f>BV173^3+BT162*BV173+BU162</f>
        <v>#VALUE!</v>
      </c>
      <c r="BX173" s="118" t="e">
        <f>3*BV173^2+BT162</f>
        <v>#VALUE!</v>
      </c>
      <c r="BY173" s="118" t="e">
        <f t="shared" si="62"/>
        <v>#VALUE!</v>
      </c>
      <c r="BZ173" s="112" t="s">
        <v>147</v>
      </c>
      <c r="CA173" s="113">
        <v>30</v>
      </c>
    </row>
    <row r="174" spans="36:79" ht="18" hidden="1" customHeight="1" x14ac:dyDescent="0.15">
      <c r="AJ174" s="125"/>
      <c r="AK174" s="126"/>
      <c r="AL174" s="118" t="e">
        <f t="shared" si="63"/>
        <v>#VALUE!</v>
      </c>
      <c r="AM174" s="118" t="e">
        <f>AL174^3+AJ162*AL174+AK162</f>
        <v>#VALUE!</v>
      </c>
      <c r="AN174" s="118" t="e">
        <f>3*AL174^2+AJ162</f>
        <v>#VALUE!</v>
      </c>
      <c r="AO174" s="118" t="e">
        <f t="shared" si="58"/>
        <v>#VALUE!</v>
      </c>
      <c r="AP174" s="128" t="s">
        <v>218</v>
      </c>
      <c r="AQ174" s="32"/>
      <c r="AS174" s="125"/>
      <c r="AT174" s="126"/>
      <c r="AU174" s="118" t="e">
        <f t="shared" si="64"/>
        <v>#VALUE!</v>
      </c>
      <c r="AV174" s="118" t="e">
        <f>AU174^3+AS162*AU174+AT162</f>
        <v>#VALUE!</v>
      </c>
      <c r="AW174" s="118" t="e">
        <f>3*AU174^2+AS162</f>
        <v>#VALUE!</v>
      </c>
      <c r="AX174" s="118" t="e">
        <f t="shared" si="59"/>
        <v>#VALUE!</v>
      </c>
      <c r="AY174" s="128" t="s">
        <v>219</v>
      </c>
      <c r="AZ174" s="32"/>
      <c r="BB174" s="125"/>
      <c r="BC174" s="126"/>
      <c r="BD174" s="118" t="e">
        <f t="shared" si="65"/>
        <v>#VALUE!</v>
      </c>
      <c r="BE174" s="118" t="e">
        <f>BD174^3+BB162*BD174+BC162</f>
        <v>#VALUE!</v>
      </c>
      <c r="BF174" s="118" t="e">
        <f>3*BD174^2+BB162</f>
        <v>#VALUE!</v>
      </c>
      <c r="BG174" s="118" t="e">
        <f t="shared" si="60"/>
        <v>#VALUE!</v>
      </c>
      <c r="BH174" s="128" t="s">
        <v>220</v>
      </c>
      <c r="BI174" s="32"/>
      <c r="BK174" s="125"/>
      <c r="BL174" s="126"/>
      <c r="BM174" s="118" t="e">
        <f t="shared" si="66"/>
        <v>#VALUE!</v>
      </c>
      <c r="BN174" s="118" t="e">
        <f>BM174^3+BK162*BM174+BL162</f>
        <v>#VALUE!</v>
      </c>
      <c r="BO174" s="118" t="e">
        <f>3*BM174^2+BK162</f>
        <v>#VALUE!</v>
      </c>
      <c r="BP174" s="118" t="e">
        <f t="shared" si="61"/>
        <v>#VALUE!</v>
      </c>
      <c r="BQ174" s="128" t="s">
        <v>221</v>
      </c>
      <c r="BR174" s="32"/>
      <c r="BT174" s="125"/>
      <c r="BU174" s="126"/>
      <c r="BV174" s="118" t="e">
        <f t="shared" si="67"/>
        <v>#VALUE!</v>
      </c>
      <c r="BW174" s="118" t="e">
        <f>BV174^3+BT162*BV174+BU162</f>
        <v>#VALUE!</v>
      </c>
      <c r="BX174" s="118" t="e">
        <f>3*BV174^2+BT162</f>
        <v>#VALUE!</v>
      </c>
      <c r="BY174" s="118" t="e">
        <f t="shared" si="62"/>
        <v>#VALUE!</v>
      </c>
      <c r="BZ174" s="128" t="s">
        <v>222</v>
      </c>
      <c r="CA174" s="32"/>
    </row>
    <row r="175" spans="36:79" ht="18" hidden="1" customHeight="1" x14ac:dyDescent="0.15">
      <c r="AJ175" s="125"/>
      <c r="AK175" s="126"/>
      <c r="AL175" s="18" t="e">
        <f t="shared" si="63"/>
        <v>#VALUE!</v>
      </c>
      <c r="AM175" s="18" t="e">
        <f>AL175^3+AJ162*AL175+AK162</f>
        <v>#VALUE!</v>
      </c>
      <c r="AN175" s="18" t="e">
        <f>3*AL175^2+AJ162</f>
        <v>#VALUE!</v>
      </c>
      <c r="AO175" s="18" t="e">
        <f t="shared" si="58"/>
        <v>#VALUE!</v>
      </c>
      <c r="AP175" s="273" t="str">
        <f>M56</f>
        <v>無 風 時　30[℃]</v>
      </c>
      <c r="AQ175" s="274"/>
      <c r="AS175" s="125"/>
      <c r="AT175" s="126"/>
      <c r="AU175" s="18" t="e">
        <f t="shared" si="64"/>
        <v>#VALUE!</v>
      </c>
      <c r="AV175" s="18" t="e">
        <f>AU175^3+AS162*AU175+AT162</f>
        <v>#VALUE!</v>
      </c>
      <c r="AW175" s="18" t="e">
        <f>3*AU175^2+AS162</f>
        <v>#VALUE!</v>
      </c>
      <c r="AX175" s="18" t="e">
        <f t="shared" si="59"/>
        <v>#VALUE!</v>
      </c>
      <c r="AY175" s="273" t="str">
        <f>M56</f>
        <v>無 風 時　30[℃]</v>
      </c>
      <c r="AZ175" s="274"/>
      <c r="BB175" s="125"/>
      <c r="BC175" s="126"/>
      <c r="BD175" s="18" t="e">
        <f t="shared" si="65"/>
        <v>#VALUE!</v>
      </c>
      <c r="BE175" s="18" t="e">
        <f>BD175^3+BB162*BD175+BC162</f>
        <v>#VALUE!</v>
      </c>
      <c r="BF175" s="18" t="e">
        <f>3*BD175^2+BB162</f>
        <v>#VALUE!</v>
      </c>
      <c r="BG175" s="18" t="e">
        <f t="shared" si="60"/>
        <v>#VALUE!</v>
      </c>
      <c r="BH175" s="273" t="str">
        <f>M56</f>
        <v>無 風 時　30[℃]</v>
      </c>
      <c r="BI175" s="274"/>
      <c r="BK175" s="125"/>
      <c r="BL175" s="126"/>
      <c r="BM175" s="18" t="e">
        <f t="shared" si="66"/>
        <v>#VALUE!</v>
      </c>
      <c r="BN175" s="18" t="e">
        <f>BM175^3+BK162*BM175+BL162</f>
        <v>#VALUE!</v>
      </c>
      <c r="BO175" s="18" t="e">
        <f>3*BM175^2+BK162</f>
        <v>#VALUE!</v>
      </c>
      <c r="BP175" s="18" t="e">
        <f t="shared" si="61"/>
        <v>#VALUE!</v>
      </c>
      <c r="BQ175" s="273" t="str">
        <f>M56</f>
        <v>無 風 時　30[℃]</v>
      </c>
      <c r="BR175" s="274"/>
      <c r="BT175" s="125"/>
      <c r="BU175" s="126"/>
      <c r="BV175" s="18" t="e">
        <f t="shared" si="67"/>
        <v>#VALUE!</v>
      </c>
      <c r="BW175" s="18" t="e">
        <f>BV175^3+BT162*BV175+BU162</f>
        <v>#VALUE!</v>
      </c>
      <c r="BX175" s="18" t="e">
        <f>3*BV175^2+BT162</f>
        <v>#VALUE!</v>
      </c>
      <c r="BY175" s="18" t="e">
        <f t="shared" si="62"/>
        <v>#VALUE!</v>
      </c>
      <c r="BZ175" s="273" t="str">
        <f>M56</f>
        <v>無 風 時　30[℃]</v>
      </c>
      <c r="CA175" s="274"/>
    </row>
    <row r="176" spans="36:79" ht="18" hidden="1" customHeight="1" thickBot="1" x14ac:dyDescent="0.2">
      <c r="AJ176" s="125"/>
      <c r="AK176" s="126"/>
      <c r="AL176" s="114" t="e">
        <f t="shared" si="63"/>
        <v>#VALUE!</v>
      </c>
      <c r="AM176" s="115" t="e">
        <f>AL176^3+AJ162*AL176+AK162</f>
        <v>#VALUE!</v>
      </c>
      <c r="AN176" s="115" t="e">
        <f>3*AL176^2+AJ162</f>
        <v>#VALUE!</v>
      </c>
      <c r="AO176" s="115" t="e">
        <f t="shared" si="58"/>
        <v>#VALUE!</v>
      </c>
      <c r="AP176" s="275"/>
      <c r="AQ176" s="276"/>
      <c r="AS176" s="125"/>
      <c r="AT176" s="126"/>
      <c r="AU176" s="114" t="e">
        <f t="shared" si="64"/>
        <v>#VALUE!</v>
      </c>
      <c r="AV176" s="115" t="e">
        <f>AU176^3+AS162*AU176+AT162</f>
        <v>#VALUE!</v>
      </c>
      <c r="AW176" s="115" t="e">
        <f>3*AU176^2+AS162</f>
        <v>#VALUE!</v>
      </c>
      <c r="AX176" s="115" t="e">
        <f t="shared" si="59"/>
        <v>#VALUE!</v>
      </c>
      <c r="AY176" s="275"/>
      <c r="AZ176" s="276"/>
      <c r="BB176" s="125"/>
      <c r="BC176" s="126"/>
      <c r="BD176" s="114" t="e">
        <f t="shared" si="65"/>
        <v>#VALUE!</v>
      </c>
      <c r="BE176" s="115" t="e">
        <f>BD176^3+BB162*BD176+BC162</f>
        <v>#VALUE!</v>
      </c>
      <c r="BF176" s="115" t="e">
        <f>3*BD176^2+BB162</f>
        <v>#VALUE!</v>
      </c>
      <c r="BG176" s="115" t="e">
        <f t="shared" si="60"/>
        <v>#VALUE!</v>
      </c>
      <c r="BH176" s="275"/>
      <c r="BI176" s="276"/>
      <c r="BK176" s="125"/>
      <c r="BL176" s="126"/>
      <c r="BM176" s="114" t="e">
        <f t="shared" si="66"/>
        <v>#VALUE!</v>
      </c>
      <c r="BN176" s="115" t="e">
        <f>BM176^3+BK162*BM176+BL162</f>
        <v>#VALUE!</v>
      </c>
      <c r="BO176" s="115" t="e">
        <f>3*BM176^2+BK162</f>
        <v>#VALUE!</v>
      </c>
      <c r="BP176" s="115" t="e">
        <f t="shared" si="61"/>
        <v>#VALUE!</v>
      </c>
      <c r="BQ176" s="275"/>
      <c r="BR176" s="276"/>
      <c r="BT176" s="125"/>
      <c r="BU176" s="126"/>
      <c r="BV176" s="114" t="e">
        <f t="shared" si="67"/>
        <v>#VALUE!</v>
      </c>
      <c r="BW176" s="115" t="e">
        <f>BV176^3+BT162*BV176+BU162</f>
        <v>#VALUE!</v>
      </c>
      <c r="BX176" s="115" t="e">
        <f>3*BV176^2+BT162</f>
        <v>#VALUE!</v>
      </c>
      <c r="BY176" s="115" t="e">
        <f t="shared" si="62"/>
        <v>#VALUE!</v>
      </c>
      <c r="BZ176" s="275"/>
      <c r="CA176" s="276"/>
    </row>
    <row r="177" spans="36:79" ht="18" hidden="1" customHeight="1" x14ac:dyDescent="0.15">
      <c r="AJ177" s="62"/>
      <c r="AK177" s="12" t="s">
        <v>224</v>
      </c>
      <c r="AL177" s="12" t="s">
        <v>225</v>
      </c>
      <c r="AM177" s="12" t="s">
        <v>226</v>
      </c>
      <c r="AN177" s="12" t="s">
        <v>227</v>
      </c>
      <c r="AO177" s="63" t="s">
        <v>228</v>
      </c>
      <c r="AP177" s="12" t="s">
        <v>229</v>
      </c>
      <c r="AQ177" s="13" t="s">
        <v>230</v>
      </c>
      <c r="AS177" s="62"/>
      <c r="AT177" s="12" t="s">
        <v>224</v>
      </c>
      <c r="AU177" s="12" t="s">
        <v>225</v>
      </c>
      <c r="AV177" s="12" t="s">
        <v>226</v>
      </c>
      <c r="AW177" s="12" t="s">
        <v>227</v>
      </c>
      <c r="AX177" s="63" t="s">
        <v>228</v>
      </c>
      <c r="AY177" s="12" t="s">
        <v>229</v>
      </c>
      <c r="AZ177" s="13" t="s">
        <v>230</v>
      </c>
      <c r="BB177" s="62"/>
      <c r="BC177" s="12" t="s">
        <v>224</v>
      </c>
      <c r="BD177" s="12" t="s">
        <v>225</v>
      </c>
      <c r="BE177" s="12" t="s">
        <v>226</v>
      </c>
      <c r="BF177" s="12" t="s">
        <v>227</v>
      </c>
      <c r="BG177" s="63" t="s">
        <v>228</v>
      </c>
      <c r="BH177" s="12" t="s">
        <v>229</v>
      </c>
      <c r="BI177" s="13" t="s">
        <v>230</v>
      </c>
      <c r="BK177" s="62"/>
      <c r="BL177" s="12" t="s">
        <v>224</v>
      </c>
      <c r="BM177" s="12" t="s">
        <v>225</v>
      </c>
      <c r="BN177" s="12" t="s">
        <v>226</v>
      </c>
      <c r="BO177" s="12" t="s">
        <v>227</v>
      </c>
      <c r="BP177" s="63" t="s">
        <v>228</v>
      </c>
      <c r="BQ177" s="12" t="s">
        <v>229</v>
      </c>
      <c r="BR177" s="13" t="s">
        <v>230</v>
      </c>
      <c r="BT177" s="62"/>
      <c r="BU177" s="12" t="s">
        <v>224</v>
      </c>
      <c r="BV177" s="12" t="s">
        <v>225</v>
      </c>
      <c r="BW177" s="12" t="s">
        <v>226</v>
      </c>
      <c r="BX177" s="12" t="s">
        <v>227</v>
      </c>
      <c r="BY177" s="63" t="s">
        <v>228</v>
      </c>
      <c r="BZ177" s="12" t="s">
        <v>229</v>
      </c>
      <c r="CA177" s="13" t="s">
        <v>230</v>
      </c>
    </row>
    <row r="178" spans="36:79" ht="18" hidden="1" customHeight="1" thickBot="1" x14ac:dyDescent="0.2">
      <c r="AJ178" s="107"/>
      <c r="AK178" s="108" t="e">
        <f>M23+U23</f>
        <v>#VALUE!</v>
      </c>
      <c r="AL178" s="108">
        <f>IF(C33="",L19*(F19/40)^2,C33)</f>
        <v>0</v>
      </c>
      <c r="AM178" s="108">
        <f>F19</f>
        <v>0</v>
      </c>
      <c r="AN178" s="108" t="e">
        <f>AK78*1600/(8*L19)</f>
        <v>#VALUE!</v>
      </c>
      <c r="AO178" s="109">
        <f>V23</f>
        <v>0</v>
      </c>
      <c r="AP178" s="108" t="str">
        <f>L23</f>
        <v/>
      </c>
      <c r="AQ178" s="110">
        <f>W23</f>
        <v>0</v>
      </c>
      <c r="AS178" s="107"/>
      <c r="AT178" s="108" t="str">
        <f>IF(B24="使用電線-2",M24+U24,IF(B25="使用電線-2",M25+U25,IF(B26="使用電線-2",M26+U26,IF(B27="使用電線-2",M27+U27,IF(B28="使用電線-2",M28+U28,IF(B29="使用電線-2",M29+U29,""))))))</f>
        <v/>
      </c>
      <c r="AU178" s="108">
        <f>IF(I33="",L19*(F19/40)^2,I33)</f>
        <v>0</v>
      </c>
      <c r="AV178" s="108">
        <f>F19</f>
        <v>0</v>
      </c>
      <c r="AW178" s="108" t="e">
        <f>AT178*1600/(8*L19)</f>
        <v>#VALUE!</v>
      </c>
      <c r="AX178" s="109" t="str">
        <f>IF(B24="使用電線-2",V24,IF(B25="使用電線-2",V25,IF(B26="使用電線-2",V26,IF(B27="使用電線-2",V27,IF(B28="使用電線-2",V28,IF(B29="使用電線-2",V29,""))))))</f>
        <v/>
      </c>
      <c r="AY178" s="108" t="str">
        <f>IF(B24="使用電線-2",L24,IF(B25="使用電線-2",L25,IF(B26="使用電線-2",L26,IF(B27="使用電線-2",L27,IF(B28="使用電線-2",L28,IF(B29="使用電線-2",L29,""))))))</f>
        <v/>
      </c>
      <c r="AZ178" s="110" t="str">
        <f>IF(B24="使用電線-2",W24,IF(B25="使用電線-2",W25,IF(B26="使用電線-2",W26,IF(B27="使用電線-2",W27,IF(B28="使用電線-2",W28,IF(B29="使用電線-2",W29,""))))))</f>
        <v/>
      </c>
      <c r="BB178" s="107"/>
      <c r="BC178" s="108" t="str">
        <f>IF(B25="使用電線-3",M25+U25,IF(B26="使用電線-3",M26+U26,IF(B27="使用電線-3",M27+U27,IF(B28="使用電線-3",M28+U28,IF(B29="使用電線-3",M29+U29,"")))))</f>
        <v/>
      </c>
      <c r="BD178" s="108">
        <f>IF(N33="",L19*(F19/40)^2,N33)</f>
        <v>0</v>
      </c>
      <c r="BE178" s="108">
        <f>F19</f>
        <v>0</v>
      </c>
      <c r="BF178" s="108" t="e">
        <f>BC178*1600/(8*L19)</f>
        <v>#VALUE!</v>
      </c>
      <c r="BG178" s="109" t="str">
        <f>IF(B25="使用電線-3",V25,IF(B26="使用電線-3",V26,IF(B27="使用電線-3",V27,IF(B28="使用電線-3",V28,IF(B29="使用電線-3",V29,"")))))</f>
        <v/>
      </c>
      <c r="BH178" s="108" t="str">
        <f>IF(B25="使用電線-3",L25,IF(B26="使用電線-3",L26,IF(B27="使用電線-3",L27,IF(B28="使用電線-3",L28,IF(B29="使用電線-3",L29,"")))))</f>
        <v/>
      </c>
      <c r="BI178" s="110" t="str">
        <f>IF(B25="使用電線-3",W25,IF(B26="使用電線-3",W26,IF(B27="使用電線-3",W27,IF(B28="使用電線-3",W28,IF(B29="使用電線-3",W29,"")))))</f>
        <v/>
      </c>
      <c r="BK178" s="107"/>
      <c r="BL178" s="108" t="str">
        <f>IF(B26="使用電線-4",M26+U26,IF(B27="使用電線-4",M27+U27,IF(B28="使用電線-4",M28+U28,IF(B29="使用電線-4",M29+U29,""))))</f>
        <v/>
      </c>
      <c r="BM178" s="108">
        <f>IF(C47="",L19*(F19/40)^2,C47)</f>
        <v>0</v>
      </c>
      <c r="BN178" s="108">
        <f>F19</f>
        <v>0</v>
      </c>
      <c r="BO178" s="127" t="e">
        <f>BL178*1600/(8*L19)</f>
        <v>#VALUE!</v>
      </c>
      <c r="BP178" s="109" t="str">
        <f>IF(B26="使用電線-4",V26,IF(B27="使用電線-4",V27,IF(B28="使用電線-4",V28,IF(B29="使用電線-4",V29,""))))</f>
        <v/>
      </c>
      <c r="BQ178" s="108" t="str">
        <f>IF(B26="使用電線-4",L26,IF(B27="使用電線-4",L27,IF(B28="使用電線-4",L28,IF(B29="使用電線-4",L29,""))))</f>
        <v/>
      </c>
      <c r="BR178" s="110" t="str">
        <f>IF(B26="使用電線-4",W26,IF(B27="使用電線-4",W27,IF(B28="使用電線-4",W28,IF(B29="使用電線-4",W29,""))))</f>
        <v/>
      </c>
      <c r="BT178" s="107"/>
      <c r="BU178" s="108" t="str">
        <f>IF(B27="使用電線-5",M27+U27,IF(B28="使用電線-5",M28+U28,IF(B29="使用電線-5",M29+U29,"")))</f>
        <v/>
      </c>
      <c r="BV178" s="108">
        <f>IF(I47="",L19*(F19/40)^2,I47)</f>
        <v>0</v>
      </c>
      <c r="BW178" s="108">
        <f>F19</f>
        <v>0</v>
      </c>
      <c r="BX178" s="127" t="e">
        <f>BU178*1600/(8*L19)</f>
        <v>#VALUE!</v>
      </c>
      <c r="BY178" s="109" t="str">
        <f>IF(B27="使用電線-5",V27,IF(B28="使用電線-5",V28,IF(B29="使用電線-5",V29,"")))</f>
        <v/>
      </c>
      <c r="BZ178" s="108" t="str">
        <f>IF(B27="使用電線-5",L27,IF(B28="使用電線-5",L28,IF(B29="使用電線-5",L29,"")))</f>
        <v/>
      </c>
      <c r="CA178" s="110" t="str">
        <f>IF(B27="使用電線-5",W27,IF(B28="使用電線-5",W28,IF(B29="使用電線-5",W29,"")))</f>
        <v/>
      </c>
    </row>
    <row r="179" spans="36:79" ht="18" hidden="1" customHeight="1" x14ac:dyDescent="0.15"/>
    <row r="180" spans="36:79" ht="18" hidden="1" customHeight="1" thickBot="1" x14ac:dyDescent="0.2"/>
    <row r="181" spans="36:79" ht="18" hidden="1" customHeight="1" x14ac:dyDescent="0.15">
      <c r="AJ181" s="2" t="s">
        <v>232</v>
      </c>
      <c r="AK181" s="111" t="s">
        <v>233</v>
      </c>
      <c r="AL181" s="12" t="s">
        <v>234</v>
      </c>
      <c r="AM181" s="12" t="s">
        <v>235</v>
      </c>
      <c r="AN181" s="12" t="s">
        <v>236</v>
      </c>
      <c r="AO181" s="12" t="s">
        <v>237</v>
      </c>
      <c r="AP181" s="12" t="s">
        <v>238</v>
      </c>
      <c r="AQ181" s="13" t="s">
        <v>239</v>
      </c>
      <c r="AS181" s="2" t="s">
        <v>232</v>
      </c>
      <c r="AT181" s="111" t="s">
        <v>233</v>
      </c>
      <c r="AU181" s="12" t="s">
        <v>234</v>
      </c>
      <c r="AV181" s="12" t="s">
        <v>235</v>
      </c>
      <c r="AW181" s="12" t="s">
        <v>236</v>
      </c>
      <c r="AX181" s="12" t="s">
        <v>237</v>
      </c>
      <c r="AY181" s="12" t="s">
        <v>238</v>
      </c>
      <c r="AZ181" s="13" t="s">
        <v>239</v>
      </c>
      <c r="BB181" s="2" t="s">
        <v>232</v>
      </c>
      <c r="BC181" s="111" t="s">
        <v>233</v>
      </c>
      <c r="BD181" s="12" t="s">
        <v>234</v>
      </c>
      <c r="BE181" s="12" t="s">
        <v>235</v>
      </c>
      <c r="BF181" s="12" t="s">
        <v>236</v>
      </c>
      <c r="BG181" s="12" t="s">
        <v>237</v>
      </c>
      <c r="BH181" s="12" t="s">
        <v>238</v>
      </c>
      <c r="BI181" s="13" t="s">
        <v>239</v>
      </c>
      <c r="BK181" s="2" t="s">
        <v>232</v>
      </c>
      <c r="BL181" s="111" t="s">
        <v>233</v>
      </c>
      <c r="BM181" s="12" t="s">
        <v>234</v>
      </c>
      <c r="BN181" s="12" t="s">
        <v>235</v>
      </c>
      <c r="BO181" s="12" t="s">
        <v>236</v>
      </c>
      <c r="BP181" s="12" t="s">
        <v>237</v>
      </c>
      <c r="BQ181" s="12" t="s">
        <v>238</v>
      </c>
      <c r="BR181" s="13" t="s">
        <v>239</v>
      </c>
      <c r="BT181" s="2" t="s">
        <v>232</v>
      </c>
      <c r="BU181" s="111" t="s">
        <v>233</v>
      </c>
      <c r="BV181" s="12" t="s">
        <v>234</v>
      </c>
      <c r="BW181" s="12" t="s">
        <v>235</v>
      </c>
      <c r="BX181" s="12" t="s">
        <v>236</v>
      </c>
      <c r="BY181" s="12" t="s">
        <v>237</v>
      </c>
      <c r="BZ181" s="12" t="s">
        <v>238</v>
      </c>
      <c r="CA181" s="13" t="s">
        <v>239</v>
      </c>
    </row>
    <row r="182" spans="36:79" ht="18" hidden="1" customHeight="1" x14ac:dyDescent="0.15">
      <c r="AJ182" s="16" t="e">
        <f>-AJ185+AJ188</f>
        <v>#VALUE!</v>
      </c>
      <c r="AK182" s="17" t="e">
        <f>-AJ191</f>
        <v>#VALUE!</v>
      </c>
      <c r="AL182" s="18" t="e">
        <f>IF(AND(AP185&lt;0,AQ185&lt;0),AQ182*1.2,IF(AND(AP185&gt;0,AQ185&gt;0),AP182*0.8,10))</f>
        <v>#VALUE!</v>
      </c>
      <c r="AM182" s="18" t="e">
        <f>AL182^3+AJ182*AL182+AK182</f>
        <v>#VALUE!</v>
      </c>
      <c r="AN182" s="18" t="e">
        <f>3*AL182^2+AJ182</f>
        <v>#VALUE!</v>
      </c>
      <c r="AO182" s="18" t="e">
        <f t="shared" ref="AO182:AO196" si="68">AL182-AM182/AN182</f>
        <v>#VALUE!</v>
      </c>
      <c r="AP182" s="18" t="e">
        <f>-SQRT(ABS(-4*3*AJ182))/6</f>
        <v>#VALUE!</v>
      </c>
      <c r="AQ182" s="19" t="e">
        <f>SQRT(ABS(-4*3*AJ182))/6</f>
        <v>#VALUE!</v>
      </c>
      <c r="AS182" s="16" t="e">
        <f>-AS185+AS188</f>
        <v>#VALUE!</v>
      </c>
      <c r="AT182" s="17" t="e">
        <f>-AS191</f>
        <v>#VALUE!</v>
      </c>
      <c r="AU182" s="18" t="e">
        <f>IF(AND(AY185&lt;0,AZ185&lt;0),AZ182*1.2,IF(AND(AY185&gt;0,AZ185&gt;0),AY182*0.8,10))</f>
        <v>#VALUE!</v>
      </c>
      <c r="AV182" s="18" t="e">
        <f>AU182^3+AS182*AU182+AT182</f>
        <v>#VALUE!</v>
      </c>
      <c r="AW182" s="18" t="e">
        <f>3*AU182^2+AS182</f>
        <v>#VALUE!</v>
      </c>
      <c r="AX182" s="18" t="e">
        <f t="shared" ref="AX182:AX196" si="69">AU182-AV182/AW182</f>
        <v>#VALUE!</v>
      </c>
      <c r="AY182" s="18" t="e">
        <f>-SQRT(ABS(-4*3*AS182))/6</f>
        <v>#VALUE!</v>
      </c>
      <c r="AZ182" s="19" t="e">
        <f>SQRT(ABS(-4*3*AS182))/6</f>
        <v>#VALUE!</v>
      </c>
      <c r="BB182" s="16" t="e">
        <f>-BB185+BB188</f>
        <v>#VALUE!</v>
      </c>
      <c r="BC182" s="17" t="e">
        <f>-BB191</f>
        <v>#VALUE!</v>
      </c>
      <c r="BD182" s="18" t="e">
        <f>IF(AND(BH185&lt;0,BI185&lt;0),BI182*1.2,IF(AND(BH185&gt;0,BI185&gt;0),BH182*0.8,10))</f>
        <v>#VALUE!</v>
      </c>
      <c r="BE182" s="18" t="e">
        <f>BD182^3+BB182*BD182+BC182</f>
        <v>#VALUE!</v>
      </c>
      <c r="BF182" s="18" t="e">
        <f>3*BD182^2+BB182</f>
        <v>#VALUE!</v>
      </c>
      <c r="BG182" s="18" t="e">
        <f t="shared" ref="BG182:BG196" si="70">BD182-BE182/BF182</f>
        <v>#VALUE!</v>
      </c>
      <c r="BH182" s="18" t="e">
        <f>-SQRT(ABS(-4*3*BB182))/6</f>
        <v>#VALUE!</v>
      </c>
      <c r="BI182" s="19" t="e">
        <f>SQRT(ABS(-4*3*BB182))/6</f>
        <v>#VALUE!</v>
      </c>
      <c r="BK182" s="16" t="e">
        <f>-BK185+BK188</f>
        <v>#VALUE!</v>
      </c>
      <c r="BL182" s="17" t="e">
        <f>-BK191</f>
        <v>#VALUE!</v>
      </c>
      <c r="BM182" s="18" t="e">
        <f>IF(AND(BQ185&lt;0,BR185&lt;0),BR182*1.2,IF(AND(BQ185&gt;0,BR185&gt;0),BQ182*0.8,10))</f>
        <v>#VALUE!</v>
      </c>
      <c r="BN182" s="18" t="e">
        <f>BM182^3+BK182*BM182+BL182</f>
        <v>#VALUE!</v>
      </c>
      <c r="BO182" s="18" t="e">
        <f>3*BM182^2+BK182</f>
        <v>#VALUE!</v>
      </c>
      <c r="BP182" s="18" t="e">
        <f t="shared" ref="BP182:BP196" si="71">BM182-BN182/BO182</f>
        <v>#VALUE!</v>
      </c>
      <c r="BQ182" s="18" t="e">
        <f>-SQRT(ABS(-4*3*BK182))/6</f>
        <v>#VALUE!</v>
      </c>
      <c r="BR182" s="19" t="e">
        <f>SQRT(ABS(-4*3*BK182))/6</f>
        <v>#VALUE!</v>
      </c>
      <c r="BT182" s="16" t="e">
        <f>-BT185+BT188</f>
        <v>#VALUE!</v>
      </c>
      <c r="BU182" s="17" t="e">
        <f>-BT191</f>
        <v>#VALUE!</v>
      </c>
      <c r="BV182" s="18" t="e">
        <f>IF(AND(BZ185&lt;0,CA185&lt;0),CA182*1.2,IF(AND(BZ185&gt;0,CA185&gt;0),BZ182*0.8,10))</f>
        <v>#VALUE!</v>
      </c>
      <c r="BW182" s="18" t="e">
        <f>BV182^3+BT182*BV182+BU182</f>
        <v>#VALUE!</v>
      </c>
      <c r="BX182" s="18" t="e">
        <f>3*BV182^2+BT182</f>
        <v>#VALUE!</v>
      </c>
      <c r="BY182" s="18" t="e">
        <f t="shared" ref="BY182:BY196" si="72">BV182-BW182/BX182</f>
        <v>#VALUE!</v>
      </c>
      <c r="BZ182" s="18" t="e">
        <f>-SQRT(ABS(-4*3*BT182))/6</f>
        <v>#VALUE!</v>
      </c>
      <c r="CA182" s="19" t="e">
        <f>SQRT(ABS(-4*3*BT182))/6</f>
        <v>#VALUE!</v>
      </c>
    </row>
    <row r="183" spans="36:79" ht="18" hidden="1" customHeight="1" x14ac:dyDescent="0.15">
      <c r="AJ183" s="267"/>
      <c r="AK183" s="268"/>
      <c r="AL183" s="18" t="e">
        <f t="shared" ref="AL183:AL196" si="73">AO182</f>
        <v>#VALUE!</v>
      </c>
      <c r="AM183" s="18" t="e">
        <f>AL183^3+AJ182*AL183+AK182</f>
        <v>#VALUE!</v>
      </c>
      <c r="AN183" s="18" t="e">
        <f>3*AL183^2+AJ182</f>
        <v>#VALUE!</v>
      </c>
      <c r="AO183" s="18" t="e">
        <f t="shared" si="68"/>
        <v>#VALUE!</v>
      </c>
      <c r="AP183" s="6"/>
      <c r="AQ183" s="7"/>
      <c r="AS183" s="267"/>
      <c r="AT183" s="268"/>
      <c r="AU183" s="18" t="e">
        <f t="shared" ref="AU183:AU196" si="74">AX182</f>
        <v>#VALUE!</v>
      </c>
      <c r="AV183" s="18" t="e">
        <f>AU183^3+AS182*AU183+AT182</f>
        <v>#VALUE!</v>
      </c>
      <c r="AW183" s="18" t="e">
        <f>3*AU183^2+AS182</f>
        <v>#VALUE!</v>
      </c>
      <c r="AX183" s="18" t="e">
        <f t="shared" si="69"/>
        <v>#VALUE!</v>
      </c>
      <c r="AY183" s="6"/>
      <c r="AZ183" s="7"/>
      <c r="BB183" s="267"/>
      <c r="BC183" s="268"/>
      <c r="BD183" s="18" t="e">
        <f t="shared" ref="BD183:BD196" si="75">BG182</f>
        <v>#VALUE!</v>
      </c>
      <c r="BE183" s="18" t="e">
        <f>BD183^3+BB182*BD183+BC182</f>
        <v>#VALUE!</v>
      </c>
      <c r="BF183" s="18" t="e">
        <f>3*BD183^2+BB182</f>
        <v>#VALUE!</v>
      </c>
      <c r="BG183" s="18" t="e">
        <f t="shared" si="70"/>
        <v>#VALUE!</v>
      </c>
      <c r="BH183" s="6"/>
      <c r="BI183" s="7"/>
      <c r="BK183" s="267"/>
      <c r="BL183" s="268"/>
      <c r="BM183" s="18" t="e">
        <f t="shared" ref="BM183:BM196" si="76">BP182</f>
        <v>#VALUE!</v>
      </c>
      <c r="BN183" s="18" t="e">
        <f>BM183^3+BK182*BM183+BL182</f>
        <v>#VALUE!</v>
      </c>
      <c r="BO183" s="18" t="e">
        <f>3*BM183^2+BK182</f>
        <v>#VALUE!</v>
      </c>
      <c r="BP183" s="18" t="e">
        <f t="shared" si="71"/>
        <v>#VALUE!</v>
      </c>
      <c r="BQ183" s="6"/>
      <c r="BR183" s="7"/>
      <c r="BT183" s="267"/>
      <c r="BU183" s="268"/>
      <c r="BV183" s="18" t="e">
        <f t="shared" ref="BV183:BV196" si="77">BY182</f>
        <v>#VALUE!</v>
      </c>
      <c r="BW183" s="18" t="e">
        <f>BV183^3+BT182*BV183+BU182</f>
        <v>#VALUE!</v>
      </c>
      <c r="BX183" s="18" t="e">
        <f>3*BV183^2+BT182</f>
        <v>#VALUE!</v>
      </c>
      <c r="BY183" s="18" t="e">
        <f t="shared" si="72"/>
        <v>#VALUE!</v>
      </c>
      <c r="BZ183" s="6"/>
      <c r="CA183" s="7"/>
    </row>
    <row r="184" spans="36:79" ht="18" hidden="1" customHeight="1" x14ac:dyDescent="0.15">
      <c r="AJ184" s="269" t="s">
        <v>240</v>
      </c>
      <c r="AK184" s="270"/>
      <c r="AL184" s="18" t="e">
        <f t="shared" si="73"/>
        <v>#VALUE!</v>
      </c>
      <c r="AM184" s="18" t="e">
        <f>AL184^3+AJ182*AL184+AK182</f>
        <v>#VALUE!</v>
      </c>
      <c r="AN184" s="18" t="e">
        <f>3*AL184^2+AJ182</f>
        <v>#VALUE!</v>
      </c>
      <c r="AO184" s="18" t="e">
        <f t="shared" si="68"/>
        <v>#VALUE!</v>
      </c>
      <c r="AP184" s="14" t="s">
        <v>241</v>
      </c>
      <c r="AQ184" s="15" t="s">
        <v>242</v>
      </c>
      <c r="AS184" s="269" t="s">
        <v>240</v>
      </c>
      <c r="AT184" s="270"/>
      <c r="AU184" s="18" t="e">
        <f t="shared" si="74"/>
        <v>#VALUE!</v>
      </c>
      <c r="AV184" s="18" t="e">
        <f>AU184^3+AS182*AU184+AT182</f>
        <v>#VALUE!</v>
      </c>
      <c r="AW184" s="18" t="e">
        <f>3*AU184^2+AS182</f>
        <v>#VALUE!</v>
      </c>
      <c r="AX184" s="18" t="e">
        <f t="shared" si="69"/>
        <v>#VALUE!</v>
      </c>
      <c r="AY184" s="14" t="s">
        <v>241</v>
      </c>
      <c r="AZ184" s="15" t="s">
        <v>242</v>
      </c>
      <c r="BB184" s="269" t="s">
        <v>240</v>
      </c>
      <c r="BC184" s="270"/>
      <c r="BD184" s="18" t="e">
        <f t="shared" si="75"/>
        <v>#VALUE!</v>
      </c>
      <c r="BE184" s="18" t="e">
        <f>BD184^3+BB182*BD184+BC182</f>
        <v>#VALUE!</v>
      </c>
      <c r="BF184" s="18" t="e">
        <f>3*BD184^2+BB182</f>
        <v>#VALUE!</v>
      </c>
      <c r="BG184" s="18" t="e">
        <f t="shared" si="70"/>
        <v>#VALUE!</v>
      </c>
      <c r="BH184" s="14" t="s">
        <v>241</v>
      </c>
      <c r="BI184" s="15" t="s">
        <v>242</v>
      </c>
      <c r="BK184" s="269" t="s">
        <v>240</v>
      </c>
      <c r="BL184" s="270"/>
      <c r="BM184" s="18" t="e">
        <f t="shared" si="76"/>
        <v>#VALUE!</v>
      </c>
      <c r="BN184" s="18" t="e">
        <f>BM184^3+BK182*BM184+BL182</f>
        <v>#VALUE!</v>
      </c>
      <c r="BO184" s="18" t="e">
        <f>3*BM184^2+BK182</f>
        <v>#VALUE!</v>
      </c>
      <c r="BP184" s="18" t="e">
        <f t="shared" si="71"/>
        <v>#VALUE!</v>
      </c>
      <c r="BQ184" s="14" t="s">
        <v>241</v>
      </c>
      <c r="BR184" s="15" t="s">
        <v>242</v>
      </c>
      <c r="BT184" s="269" t="s">
        <v>240</v>
      </c>
      <c r="BU184" s="270"/>
      <c r="BV184" s="18" t="e">
        <f t="shared" si="77"/>
        <v>#VALUE!</v>
      </c>
      <c r="BW184" s="18" t="e">
        <f>BV184^3+BT182*BV184+BU182</f>
        <v>#VALUE!</v>
      </c>
      <c r="BX184" s="18" t="e">
        <f>3*BV184^2+BT182</f>
        <v>#VALUE!</v>
      </c>
      <c r="BY184" s="18" t="e">
        <f t="shared" si="72"/>
        <v>#VALUE!</v>
      </c>
      <c r="BZ184" s="14" t="s">
        <v>241</v>
      </c>
      <c r="CA184" s="15" t="s">
        <v>242</v>
      </c>
    </row>
    <row r="185" spans="36:79" ht="18" hidden="1" customHeight="1" x14ac:dyDescent="0.15">
      <c r="AJ185" s="269">
        <f>(AL198^2)+3*(AM198^2)*AQ198*(AQ193-15)/(8*10^7)</f>
        <v>0</v>
      </c>
      <c r="AK185" s="270"/>
      <c r="AL185" s="18" t="e">
        <f t="shared" si="73"/>
        <v>#VALUE!</v>
      </c>
      <c r="AM185" s="18" t="e">
        <f>AL185^3+AJ182*AL185+AK182</f>
        <v>#VALUE!</v>
      </c>
      <c r="AN185" s="18" t="e">
        <f>3*AL185^2+AJ182</f>
        <v>#VALUE!</v>
      </c>
      <c r="AO185" s="18" t="e">
        <f t="shared" si="68"/>
        <v>#VALUE!</v>
      </c>
      <c r="AP185" s="18" t="e">
        <f>AP182^3+AJ182*AP182+AK182</f>
        <v>#VALUE!</v>
      </c>
      <c r="AQ185" s="19" t="e">
        <f>AQ182^3+AJ182*AQ182+AK182</f>
        <v>#VALUE!</v>
      </c>
      <c r="AS185" s="269" t="e">
        <f>(AU198^2)+3*(AV198^2)*AZ198*(AZ193-15)/(8*10^7)</f>
        <v>#VALUE!</v>
      </c>
      <c r="AT185" s="270"/>
      <c r="AU185" s="18" t="e">
        <f t="shared" si="74"/>
        <v>#VALUE!</v>
      </c>
      <c r="AV185" s="18" t="e">
        <f>AU185^3+AS182*AU185+AT182</f>
        <v>#VALUE!</v>
      </c>
      <c r="AW185" s="18" t="e">
        <f>3*AU185^2+AS182</f>
        <v>#VALUE!</v>
      </c>
      <c r="AX185" s="18" t="e">
        <f t="shared" si="69"/>
        <v>#VALUE!</v>
      </c>
      <c r="AY185" s="18" t="e">
        <f>AY182^3+AS182*AY182+AT182</f>
        <v>#VALUE!</v>
      </c>
      <c r="AZ185" s="19" t="e">
        <f>AZ182^3+AS182*AZ182+AT182</f>
        <v>#VALUE!</v>
      </c>
      <c r="BB185" s="269" t="e">
        <f>(BD198^2)+3*(BE198^2)*BI198*(BI193-15)/(8*10^7)</f>
        <v>#VALUE!</v>
      </c>
      <c r="BC185" s="270"/>
      <c r="BD185" s="18" t="e">
        <f t="shared" si="75"/>
        <v>#VALUE!</v>
      </c>
      <c r="BE185" s="18" t="e">
        <f>BD185^3+BB182*BD185+BC182</f>
        <v>#VALUE!</v>
      </c>
      <c r="BF185" s="18" t="e">
        <f>3*BD185^2+BB182</f>
        <v>#VALUE!</v>
      </c>
      <c r="BG185" s="18" t="e">
        <f t="shared" si="70"/>
        <v>#VALUE!</v>
      </c>
      <c r="BH185" s="18" t="e">
        <f>BH182^3+BB182*BH182+BC182</f>
        <v>#VALUE!</v>
      </c>
      <c r="BI185" s="19" t="e">
        <f>BI182^3+BB182*BI182+BC182</f>
        <v>#VALUE!</v>
      </c>
      <c r="BK185" s="269" t="e">
        <f>(BM198^2)+3*(BN198^2)*BR198*(BR193-15)/(8*10^7)</f>
        <v>#VALUE!</v>
      </c>
      <c r="BL185" s="270"/>
      <c r="BM185" s="18" t="e">
        <f t="shared" si="76"/>
        <v>#VALUE!</v>
      </c>
      <c r="BN185" s="18" t="e">
        <f>BM185^3+BK182*BM185+BL182</f>
        <v>#VALUE!</v>
      </c>
      <c r="BO185" s="18" t="e">
        <f>3*BM185^2+BK182</f>
        <v>#VALUE!</v>
      </c>
      <c r="BP185" s="18" t="e">
        <f t="shared" si="71"/>
        <v>#VALUE!</v>
      </c>
      <c r="BQ185" s="18" t="e">
        <f>BQ182^3+BK182*BQ182+BL182</f>
        <v>#VALUE!</v>
      </c>
      <c r="BR185" s="19" t="e">
        <f>BR182^3+BK182*BR182+BL182</f>
        <v>#VALUE!</v>
      </c>
      <c r="BT185" s="269" t="e">
        <f>(BV198^2)+3*(BW198^2)*CA198*(CA193-15)/(8*10^7)</f>
        <v>#VALUE!</v>
      </c>
      <c r="BU185" s="270"/>
      <c r="BV185" s="18" t="e">
        <f t="shared" si="77"/>
        <v>#VALUE!</v>
      </c>
      <c r="BW185" s="18" t="e">
        <f>BV185^3+BT182*BV185+BU182</f>
        <v>#VALUE!</v>
      </c>
      <c r="BX185" s="18" t="e">
        <f>3*BV185^2+BT182</f>
        <v>#VALUE!</v>
      </c>
      <c r="BY185" s="18" t="e">
        <f t="shared" si="72"/>
        <v>#VALUE!</v>
      </c>
      <c r="BZ185" s="18" t="e">
        <f>BZ182^3+BT182*BZ182+BU182</f>
        <v>#VALUE!</v>
      </c>
      <c r="CA185" s="19" t="e">
        <f>CA182^3+BT182*CA182+BU182</f>
        <v>#VALUE!</v>
      </c>
    </row>
    <row r="186" spans="36:79" ht="18" hidden="1" customHeight="1" x14ac:dyDescent="0.15">
      <c r="AJ186" s="267"/>
      <c r="AK186" s="268"/>
      <c r="AL186" s="18" t="e">
        <f t="shared" si="73"/>
        <v>#VALUE!</v>
      </c>
      <c r="AM186" s="18" t="e">
        <f>AL186^3+AJ182*AL186+AK182</f>
        <v>#VALUE!</v>
      </c>
      <c r="AN186" s="18" t="e">
        <f>3*AL186^2+AJ182</f>
        <v>#VALUE!</v>
      </c>
      <c r="AO186" s="18" t="e">
        <f t="shared" si="68"/>
        <v>#VALUE!</v>
      </c>
      <c r="AP186" s="31"/>
      <c r="AQ186" s="32"/>
      <c r="AS186" s="267"/>
      <c r="AT186" s="268"/>
      <c r="AU186" s="18" t="e">
        <f t="shared" si="74"/>
        <v>#VALUE!</v>
      </c>
      <c r="AV186" s="18" t="e">
        <f>AU186^3+AS182*AU186+AT182</f>
        <v>#VALUE!</v>
      </c>
      <c r="AW186" s="18" t="e">
        <f>3*AU186^2+AS182</f>
        <v>#VALUE!</v>
      </c>
      <c r="AX186" s="18" t="e">
        <f t="shared" si="69"/>
        <v>#VALUE!</v>
      </c>
      <c r="AY186" s="31"/>
      <c r="AZ186" s="32"/>
      <c r="BB186" s="267"/>
      <c r="BC186" s="268"/>
      <c r="BD186" s="18" t="e">
        <f t="shared" si="75"/>
        <v>#VALUE!</v>
      </c>
      <c r="BE186" s="18" t="e">
        <f>BD186^3+BB182*BD186+BC182</f>
        <v>#VALUE!</v>
      </c>
      <c r="BF186" s="18" t="e">
        <f>3*BD186^2+BB182</f>
        <v>#VALUE!</v>
      </c>
      <c r="BG186" s="18" t="e">
        <f t="shared" si="70"/>
        <v>#VALUE!</v>
      </c>
      <c r="BH186" s="31"/>
      <c r="BI186" s="32"/>
      <c r="BK186" s="267"/>
      <c r="BL186" s="268"/>
      <c r="BM186" s="18" t="e">
        <f t="shared" si="76"/>
        <v>#VALUE!</v>
      </c>
      <c r="BN186" s="18" t="e">
        <f>BM186^3+BK182*BM186+BL182</f>
        <v>#VALUE!</v>
      </c>
      <c r="BO186" s="18" t="e">
        <f>3*BM186^2+BK182</f>
        <v>#VALUE!</v>
      </c>
      <c r="BP186" s="18" t="e">
        <f t="shared" si="71"/>
        <v>#VALUE!</v>
      </c>
      <c r="BQ186" s="31"/>
      <c r="BR186" s="32"/>
      <c r="BT186" s="267"/>
      <c r="BU186" s="268"/>
      <c r="BV186" s="18" t="e">
        <f t="shared" si="77"/>
        <v>#VALUE!</v>
      </c>
      <c r="BW186" s="18" t="e">
        <f>BV186^3+BT182*BV186+BU182</f>
        <v>#VALUE!</v>
      </c>
      <c r="BX186" s="18" t="e">
        <f>3*BV186^2+BT182</f>
        <v>#VALUE!</v>
      </c>
      <c r="BY186" s="18" t="e">
        <f t="shared" si="72"/>
        <v>#VALUE!</v>
      </c>
      <c r="BZ186" s="31"/>
      <c r="CA186" s="32"/>
    </row>
    <row r="187" spans="36:79" ht="18" hidden="1" customHeight="1" x14ac:dyDescent="0.15">
      <c r="AJ187" s="269" t="s">
        <v>243</v>
      </c>
      <c r="AK187" s="270"/>
      <c r="AL187" s="18" t="e">
        <f t="shared" si="73"/>
        <v>#VALUE!</v>
      </c>
      <c r="AM187" s="18" t="e">
        <f>AL187^3+AJ182*AL187+AK182</f>
        <v>#VALUE!</v>
      </c>
      <c r="AN187" s="18" t="e">
        <f>3*AL187^2+AJ182</f>
        <v>#VALUE!</v>
      </c>
      <c r="AO187" s="18" t="e">
        <f t="shared" si="68"/>
        <v>#VALUE!</v>
      </c>
      <c r="AP187" s="31"/>
      <c r="AQ187" s="32"/>
      <c r="AS187" s="269" t="s">
        <v>243</v>
      </c>
      <c r="AT187" s="270"/>
      <c r="AU187" s="18" t="e">
        <f t="shared" si="74"/>
        <v>#VALUE!</v>
      </c>
      <c r="AV187" s="18" t="e">
        <f>AU187^3+AS182*AU187+AT182</f>
        <v>#VALUE!</v>
      </c>
      <c r="AW187" s="18" t="e">
        <f>3*AU187^2+AS182</f>
        <v>#VALUE!</v>
      </c>
      <c r="AX187" s="18" t="e">
        <f t="shared" si="69"/>
        <v>#VALUE!</v>
      </c>
      <c r="AY187" s="31"/>
      <c r="AZ187" s="32"/>
      <c r="BB187" s="269" t="s">
        <v>243</v>
      </c>
      <c r="BC187" s="270"/>
      <c r="BD187" s="18" t="e">
        <f t="shared" si="75"/>
        <v>#VALUE!</v>
      </c>
      <c r="BE187" s="18" t="e">
        <f>BD187^3+BB182*BD187+BC182</f>
        <v>#VALUE!</v>
      </c>
      <c r="BF187" s="18" t="e">
        <f>3*BD187^2+BB182</f>
        <v>#VALUE!</v>
      </c>
      <c r="BG187" s="18" t="e">
        <f t="shared" si="70"/>
        <v>#VALUE!</v>
      </c>
      <c r="BH187" s="31"/>
      <c r="BI187" s="32"/>
      <c r="BK187" s="269" t="s">
        <v>243</v>
      </c>
      <c r="BL187" s="270"/>
      <c r="BM187" s="18" t="e">
        <f t="shared" si="76"/>
        <v>#VALUE!</v>
      </c>
      <c r="BN187" s="18" t="e">
        <f>BM187^3+BK182*BM187+BL182</f>
        <v>#VALUE!</v>
      </c>
      <c r="BO187" s="18" t="e">
        <f>3*BM187^2+BK182</f>
        <v>#VALUE!</v>
      </c>
      <c r="BP187" s="18" t="e">
        <f t="shared" si="71"/>
        <v>#VALUE!</v>
      </c>
      <c r="BQ187" s="31"/>
      <c r="BR187" s="32"/>
      <c r="BT187" s="269" t="s">
        <v>243</v>
      </c>
      <c r="BU187" s="270"/>
      <c r="BV187" s="18" t="e">
        <f t="shared" si="77"/>
        <v>#VALUE!</v>
      </c>
      <c r="BW187" s="18" t="e">
        <f>BV187^3+BT182*BV187+BU182</f>
        <v>#VALUE!</v>
      </c>
      <c r="BX187" s="18" t="e">
        <f>3*BV187^2+BT182</f>
        <v>#VALUE!</v>
      </c>
      <c r="BY187" s="18" t="e">
        <f t="shared" si="72"/>
        <v>#VALUE!</v>
      </c>
      <c r="BZ187" s="31"/>
      <c r="CA187" s="32"/>
    </row>
    <row r="188" spans="36:79" ht="18" hidden="1" customHeight="1" x14ac:dyDescent="0.15">
      <c r="AJ188" s="277" t="e">
        <f>3*(AM198^2)*AN198/(8*AO198*AP198)</f>
        <v>#VALUE!</v>
      </c>
      <c r="AK188" s="278"/>
      <c r="AL188" s="118" t="e">
        <f t="shared" si="73"/>
        <v>#VALUE!</v>
      </c>
      <c r="AM188" s="118" t="e">
        <f>AL188^3+AJ182*AL188+AK182</f>
        <v>#VALUE!</v>
      </c>
      <c r="AN188" s="118" t="e">
        <f>3*AL188^2+AJ182</f>
        <v>#VALUE!</v>
      </c>
      <c r="AO188" s="118" t="e">
        <f t="shared" si="68"/>
        <v>#VALUE!</v>
      </c>
      <c r="AP188" s="116"/>
      <c r="AQ188" s="117"/>
      <c r="AS188" s="277" t="e">
        <f>3*(AV198^2)*AW198/(8*AX198*AY198)</f>
        <v>#VALUE!</v>
      </c>
      <c r="AT188" s="278"/>
      <c r="AU188" s="118" t="e">
        <f t="shared" si="74"/>
        <v>#VALUE!</v>
      </c>
      <c r="AV188" s="118" t="e">
        <f>AU188^3+AS182*AU188+AT182</f>
        <v>#VALUE!</v>
      </c>
      <c r="AW188" s="118" t="e">
        <f>3*AU188^2+AS182</f>
        <v>#VALUE!</v>
      </c>
      <c r="AX188" s="118" t="e">
        <f t="shared" si="69"/>
        <v>#VALUE!</v>
      </c>
      <c r="AY188" s="116"/>
      <c r="AZ188" s="117"/>
      <c r="BB188" s="277" t="e">
        <f>3*(BE198^2)*BF198/(8*BG198*BH198)</f>
        <v>#VALUE!</v>
      </c>
      <c r="BC188" s="278"/>
      <c r="BD188" s="118" t="e">
        <f t="shared" si="75"/>
        <v>#VALUE!</v>
      </c>
      <c r="BE188" s="118" t="e">
        <f>BD188^3+BB182*BD188+BC182</f>
        <v>#VALUE!</v>
      </c>
      <c r="BF188" s="118" t="e">
        <f>3*BD188^2+BB182</f>
        <v>#VALUE!</v>
      </c>
      <c r="BG188" s="118" t="e">
        <f t="shared" si="70"/>
        <v>#VALUE!</v>
      </c>
      <c r="BH188" s="116"/>
      <c r="BI188" s="117"/>
      <c r="BK188" s="277" t="e">
        <f>3*(BN198^2)*BO198/(8*BP198*BQ198)</f>
        <v>#VALUE!</v>
      </c>
      <c r="BL188" s="278"/>
      <c r="BM188" s="118" t="e">
        <f t="shared" si="76"/>
        <v>#VALUE!</v>
      </c>
      <c r="BN188" s="118" t="e">
        <f>BM188^3+BK182*BM188+BL182</f>
        <v>#VALUE!</v>
      </c>
      <c r="BO188" s="118" t="e">
        <f>3*BM188^2+BK182</f>
        <v>#VALUE!</v>
      </c>
      <c r="BP188" s="118" t="e">
        <f t="shared" si="71"/>
        <v>#VALUE!</v>
      </c>
      <c r="BQ188" s="116"/>
      <c r="BR188" s="117"/>
      <c r="BT188" s="277" t="e">
        <f>3*(BW198^2)*BX198/(8*BY198*BZ198)</f>
        <v>#VALUE!</v>
      </c>
      <c r="BU188" s="278"/>
      <c r="BV188" s="118" t="e">
        <f t="shared" si="77"/>
        <v>#VALUE!</v>
      </c>
      <c r="BW188" s="118" t="e">
        <f>BV188^3+BT182*BV188+BU182</f>
        <v>#VALUE!</v>
      </c>
      <c r="BX188" s="118" t="e">
        <f>3*BV188^2+BT182</f>
        <v>#VALUE!</v>
      </c>
      <c r="BY188" s="118" t="e">
        <f t="shared" si="72"/>
        <v>#VALUE!</v>
      </c>
      <c r="BZ188" s="116"/>
      <c r="CA188" s="117"/>
    </row>
    <row r="189" spans="36:79" ht="18" hidden="1" customHeight="1" x14ac:dyDescent="0.15">
      <c r="AJ189" s="121"/>
      <c r="AK189" s="122"/>
      <c r="AL189" s="118" t="e">
        <f t="shared" si="73"/>
        <v>#VALUE!</v>
      </c>
      <c r="AM189" s="118" t="e">
        <f>AL189^3+AJ182*AL189+AK182</f>
        <v>#VALUE!</v>
      </c>
      <c r="AN189" s="118" t="e">
        <f>3*AL189^2+AJ182</f>
        <v>#VALUE!</v>
      </c>
      <c r="AO189" s="118" t="e">
        <f t="shared" si="68"/>
        <v>#VALUE!</v>
      </c>
      <c r="AP189" s="119"/>
      <c r="AQ189" s="120"/>
      <c r="AS189" s="121"/>
      <c r="AT189" s="122"/>
      <c r="AU189" s="118" t="e">
        <f t="shared" si="74"/>
        <v>#VALUE!</v>
      </c>
      <c r="AV189" s="118" t="e">
        <f>AU189^3+AS182*AU189+AT182</f>
        <v>#VALUE!</v>
      </c>
      <c r="AW189" s="118" t="e">
        <f>3*AU189^2+AS182</f>
        <v>#VALUE!</v>
      </c>
      <c r="AX189" s="118" t="e">
        <f t="shared" si="69"/>
        <v>#VALUE!</v>
      </c>
      <c r="AY189" s="119"/>
      <c r="AZ189" s="120"/>
      <c r="BB189" s="121"/>
      <c r="BC189" s="122"/>
      <c r="BD189" s="118" t="e">
        <f t="shared" si="75"/>
        <v>#VALUE!</v>
      </c>
      <c r="BE189" s="118" t="e">
        <f>BD189^3+BB182*BD189+BC182</f>
        <v>#VALUE!</v>
      </c>
      <c r="BF189" s="118" t="e">
        <f>3*BD189^2+BB182</f>
        <v>#VALUE!</v>
      </c>
      <c r="BG189" s="118" t="e">
        <f t="shared" si="70"/>
        <v>#VALUE!</v>
      </c>
      <c r="BH189" s="119"/>
      <c r="BI189" s="120"/>
      <c r="BK189" s="121"/>
      <c r="BL189" s="122"/>
      <c r="BM189" s="118" t="e">
        <f t="shared" si="76"/>
        <v>#VALUE!</v>
      </c>
      <c r="BN189" s="118" t="e">
        <f>BM189^3+BK182*BM189+BL182</f>
        <v>#VALUE!</v>
      </c>
      <c r="BO189" s="118" t="e">
        <f>3*BM189^2+BK182</f>
        <v>#VALUE!</v>
      </c>
      <c r="BP189" s="118" t="e">
        <f t="shared" si="71"/>
        <v>#VALUE!</v>
      </c>
      <c r="BQ189" s="119"/>
      <c r="BR189" s="120"/>
      <c r="BT189" s="121"/>
      <c r="BU189" s="122"/>
      <c r="BV189" s="118" t="e">
        <f t="shared" si="77"/>
        <v>#VALUE!</v>
      </c>
      <c r="BW189" s="118" t="e">
        <f>BV189^3+BT182*BV189+BU182</f>
        <v>#VALUE!</v>
      </c>
      <c r="BX189" s="118" t="e">
        <f>3*BV189^2+BT182</f>
        <v>#VALUE!</v>
      </c>
      <c r="BY189" s="118" t="e">
        <f t="shared" si="72"/>
        <v>#VALUE!</v>
      </c>
      <c r="BZ189" s="119"/>
      <c r="CA189" s="120"/>
    </row>
    <row r="190" spans="36:79" ht="18" hidden="1" customHeight="1" x14ac:dyDescent="0.15">
      <c r="AJ190" s="269" t="s">
        <v>244</v>
      </c>
      <c r="AK190" s="270"/>
      <c r="AL190" s="118" t="e">
        <f t="shared" si="73"/>
        <v>#VALUE!</v>
      </c>
      <c r="AM190" s="118" t="e">
        <f>AL190^3+AJ182*AL190+AK182</f>
        <v>#VALUE!</v>
      </c>
      <c r="AN190" s="118" t="e">
        <f>3*AL190^2+AJ182</f>
        <v>#VALUE!</v>
      </c>
      <c r="AO190" s="118" t="e">
        <f t="shared" si="68"/>
        <v>#VALUE!</v>
      </c>
      <c r="AP190" s="14" t="s">
        <v>245</v>
      </c>
      <c r="AQ190" s="123" t="e">
        <f>AO196</f>
        <v>#VALUE!</v>
      </c>
      <c r="AS190" s="269" t="s">
        <v>244</v>
      </c>
      <c r="AT190" s="270"/>
      <c r="AU190" s="118" t="e">
        <f t="shared" si="74"/>
        <v>#VALUE!</v>
      </c>
      <c r="AV190" s="118" t="e">
        <f>AU190^3+AS182*AU190+AT182</f>
        <v>#VALUE!</v>
      </c>
      <c r="AW190" s="118" t="e">
        <f>3*AU190^2+AS182</f>
        <v>#VALUE!</v>
      </c>
      <c r="AX190" s="118" t="e">
        <f t="shared" si="69"/>
        <v>#VALUE!</v>
      </c>
      <c r="AY190" s="14" t="s">
        <v>245</v>
      </c>
      <c r="AZ190" s="123" t="e">
        <f>AX196</f>
        <v>#VALUE!</v>
      </c>
      <c r="BB190" s="269" t="s">
        <v>244</v>
      </c>
      <c r="BC190" s="270"/>
      <c r="BD190" s="118" t="e">
        <f t="shared" si="75"/>
        <v>#VALUE!</v>
      </c>
      <c r="BE190" s="118" t="e">
        <f>BD190^3+BB182*BD190+BC182</f>
        <v>#VALUE!</v>
      </c>
      <c r="BF190" s="118" t="e">
        <f>3*BD190^2+BB182</f>
        <v>#VALUE!</v>
      </c>
      <c r="BG190" s="118" t="e">
        <f t="shared" si="70"/>
        <v>#VALUE!</v>
      </c>
      <c r="BH190" s="14" t="s">
        <v>245</v>
      </c>
      <c r="BI190" s="123" t="e">
        <f>BG196</f>
        <v>#VALUE!</v>
      </c>
      <c r="BK190" s="269" t="s">
        <v>244</v>
      </c>
      <c r="BL190" s="270"/>
      <c r="BM190" s="118" t="e">
        <f t="shared" si="76"/>
        <v>#VALUE!</v>
      </c>
      <c r="BN190" s="118" t="e">
        <f>BM190^3+BK182*BM190+BL182</f>
        <v>#VALUE!</v>
      </c>
      <c r="BO190" s="118" t="e">
        <f>3*BM190^2+BK182</f>
        <v>#VALUE!</v>
      </c>
      <c r="BP190" s="118" t="e">
        <f t="shared" si="71"/>
        <v>#VALUE!</v>
      </c>
      <c r="BQ190" s="14" t="s">
        <v>245</v>
      </c>
      <c r="BR190" s="123" t="e">
        <f>BP196</f>
        <v>#VALUE!</v>
      </c>
      <c r="BT190" s="269" t="s">
        <v>244</v>
      </c>
      <c r="BU190" s="270"/>
      <c r="BV190" s="118" t="e">
        <f t="shared" si="77"/>
        <v>#VALUE!</v>
      </c>
      <c r="BW190" s="118" t="e">
        <f>BV190^3+BT182*BV190+BU182</f>
        <v>#VALUE!</v>
      </c>
      <c r="BX190" s="118" t="e">
        <f>3*BV190^2+BT182</f>
        <v>#VALUE!</v>
      </c>
      <c r="BY190" s="118" t="e">
        <f t="shared" si="72"/>
        <v>#VALUE!</v>
      </c>
      <c r="BZ190" s="14" t="s">
        <v>245</v>
      </c>
      <c r="CA190" s="123" t="e">
        <f>BY196</f>
        <v>#VALUE!</v>
      </c>
    </row>
    <row r="191" spans="36:79" ht="18" hidden="1" customHeight="1" x14ac:dyDescent="0.15">
      <c r="AJ191" s="271" t="e">
        <f>AJ188*AL198*AK198/AK198</f>
        <v>#VALUE!</v>
      </c>
      <c r="AK191" s="272"/>
      <c r="AL191" s="118" t="e">
        <f t="shared" si="73"/>
        <v>#VALUE!</v>
      </c>
      <c r="AM191" s="118" t="e">
        <f>AL191^3+AJ182*AL191+AK182</f>
        <v>#VALUE!</v>
      </c>
      <c r="AN191" s="118" t="e">
        <f>3*AL191^2+AJ182</f>
        <v>#VALUE!</v>
      </c>
      <c r="AO191" s="118" t="e">
        <f t="shared" si="68"/>
        <v>#VALUE!</v>
      </c>
      <c r="AP191" s="14" t="s">
        <v>246</v>
      </c>
      <c r="AQ191" s="124" t="e">
        <f>AK198*AM198^2/(8*AO196)</f>
        <v>#VALUE!</v>
      </c>
      <c r="AS191" s="271" t="e">
        <f>AS188*AU198*AT198/AT198</f>
        <v>#VALUE!</v>
      </c>
      <c r="AT191" s="272"/>
      <c r="AU191" s="118" t="e">
        <f t="shared" si="74"/>
        <v>#VALUE!</v>
      </c>
      <c r="AV191" s="118" t="e">
        <f>AU191^3+AS182*AU191+AT182</f>
        <v>#VALUE!</v>
      </c>
      <c r="AW191" s="118" t="e">
        <f>3*AU191^2+AS182</f>
        <v>#VALUE!</v>
      </c>
      <c r="AX191" s="118" t="e">
        <f t="shared" si="69"/>
        <v>#VALUE!</v>
      </c>
      <c r="AY191" s="14" t="s">
        <v>246</v>
      </c>
      <c r="AZ191" s="124" t="e">
        <f>AT198*AV198^2/(8*AX196)</f>
        <v>#VALUE!</v>
      </c>
      <c r="BB191" s="271" t="e">
        <f>BB188*BD198*BC198/BC198</f>
        <v>#VALUE!</v>
      </c>
      <c r="BC191" s="272"/>
      <c r="BD191" s="118" t="e">
        <f t="shared" si="75"/>
        <v>#VALUE!</v>
      </c>
      <c r="BE191" s="118" t="e">
        <f>BD191^3+BB182*BD191+BC182</f>
        <v>#VALUE!</v>
      </c>
      <c r="BF191" s="118" t="e">
        <f>3*BD191^2+BB182</f>
        <v>#VALUE!</v>
      </c>
      <c r="BG191" s="118" t="e">
        <f t="shared" si="70"/>
        <v>#VALUE!</v>
      </c>
      <c r="BH191" s="14" t="s">
        <v>246</v>
      </c>
      <c r="BI191" s="124" t="e">
        <f>BC198*BE198^2/(8*BG196)</f>
        <v>#VALUE!</v>
      </c>
      <c r="BK191" s="271" t="e">
        <f>BK188*BM198*BL198/BL198</f>
        <v>#VALUE!</v>
      </c>
      <c r="BL191" s="272"/>
      <c r="BM191" s="118" t="e">
        <f t="shared" si="76"/>
        <v>#VALUE!</v>
      </c>
      <c r="BN191" s="118" t="e">
        <f>BM191^3+BK182*BM191+BL182</f>
        <v>#VALUE!</v>
      </c>
      <c r="BO191" s="118" t="e">
        <f>3*BM191^2+BK182</f>
        <v>#VALUE!</v>
      </c>
      <c r="BP191" s="118" t="e">
        <f t="shared" si="71"/>
        <v>#VALUE!</v>
      </c>
      <c r="BQ191" s="14" t="s">
        <v>246</v>
      </c>
      <c r="BR191" s="124" t="e">
        <f>BL198*BN198^2/(8*BP196)</f>
        <v>#VALUE!</v>
      </c>
      <c r="BT191" s="271" t="e">
        <f>BT188*BV198*BU198/BU198</f>
        <v>#VALUE!</v>
      </c>
      <c r="BU191" s="272"/>
      <c r="BV191" s="118" t="e">
        <f t="shared" si="77"/>
        <v>#VALUE!</v>
      </c>
      <c r="BW191" s="118" t="e">
        <f>BV191^3+BT182*BV191+BU182</f>
        <v>#VALUE!</v>
      </c>
      <c r="BX191" s="118" t="e">
        <f>3*BV191^2+BT182</f>
        <v>#VALUE!</v>
      </c>
      <c r="BY191" s="118" t="e">
        <f t="shared" si="72"/>
        <v>#VALUE!</v>
      </c>
      <c r="BZ191" s="14" t="s">
        <v>246</v>
      </c>
      <c r="CA191" s="124" t="e">
        <f>BU198*BW198^2/(8*BY196)</f>
        <v>#VALUE!</v>
      </c>
    </row>
    <row r="192" spans="36:79" ht="18" hidden="1" customHeight="1" x14ac:dyDescent="0.15">
      <c r="AJ192" s="125"/>
      <c r="AK192" s="126"/>
      <c r="AL192" s="118" t="e">
        <f t="shared" si="73"/>
        <v>#VALUE!</v>
      </c>
      <c r="AM192" s="118" t="e">
        <f>AL192^3+AJ182*AL192+AK182</f>
        <v>#VALUE!</v>
      </c>
      <c r="AN192" s="118" t="e">
        <f>3*AL192^2+AJ182</f>
        <v>#VALUE!</v>
      </c>
      <c r="AO192" s="118" t="e">
        <f t="shared" si="68"/>
        <v>#VALUE!</v>
      </c>
      <c r="AP192" s="116"/>
      <c r="AQ192" s="117"/>
      <c r="AS192" s="125"/>
      <c r="AT192" s="126"/>
      <c r="AU192" s="118" t="e">
        <f t="shared" si="74"/>
        <v>#VALUE!</v>
      </c>
      <c r="AV192" s="118" t="e">
        <f>AU192^3+AS182*AU192+AT182</f>
        <v>#VALUE!</v>
      </c>
      <c r="AW192" s="118" t="e">
        <f>3*AU192^2+AS182</f>
        <v>#VALUE!</v>
      </c>
      <c r="AX192" s="118" t="e">
        <f t="shared" si="69"/>
        <v>#VALUE!</v>
      </c>
      <c r="AY192" s="116"/>
      <c r="AZ192" s="117"/>
      <c r="BB192" s="125"/>
      <c r="BC192" s="126"/>
      <c r="BD192" s="118" t="e">
        <f t="shared" si="75"/>
        <v>#VALUE!</v>
      </c>
      <c r="BE192" s="118" t="e">
        <f>BD192^3+BB182*BD192+BC182</f>
        <v>#VALUE!</v>
      </c>
      <c r="BF192" s="118" t="e">
        <f>3*BD192^2+BB182</f>
        <v>#VALUE!</v>
      </c>
      <c r="BG192" s="118" t="e">
        <f t="shared" si="70"/>
        <v>#VALUE!</v>
      </c>
      <c r="BH192" s="116"/>
      <c r="BI192" s="117"/>
      <c r="BK192" s="125"/>
      <c r="BL192" s="126"/>
      <c r="BM192" s="118" t="e">
        <f t="shared" si="76"/>
        <v>#VALUE!</v>
      </c>
      <c r="BN192" s="118" t="e">
        <f>BM192^3+BK182*BM192+BL182</f>
        <v>#VALUE!</v>
      </c>
      <c r="BO192" s="118" t="e">
        <f>3*BM192^2+BK182</f>
        <v>#VALUE!</v>
      </c>
      <c r="BP192" s="118" t="e">
        <f t="shared" si="71"/>
        <v>#VALUE!</v>
      </c>
      <c r="BQ192" s="116"/>
      <c r="BR192" s="117"/>
      <c r="BT192" s="125"/>
      <c r="BU192" s="126"/>
      <c r="BV192" s="118" t="e">
        <f t="shared" si="77"/>
        <v>#VALUE!</v>
      </c>
      <c r="BW192" s="118" t="e">
        <f>BV192^3+BT182*BV192+BU182</f>
        <v>#VALUE!</v>
      </c>
      <c r="BX192" s="118" t="e">
        <f>3*BV192^2+BT182</f>
        <v>#VALUE!</v>
      </c>
      <c r="BY192" s="118" t="e">
        <f t="shared" si="72"/>
        <v>#VALUE!</v>
      </c>
      <c r="BZ192" s="116"/>
      <c r="CA192" s="117"/>
    </row>
    <row r="193" spans="36:79" ht="18" hidden="1" customHeight="1" x14ac:dyDescent="0.15">
      <c r="AJ193" s="125"/>
      <c r="AK193" s="126"/>
      <c r="AL193" s="118" t="e">
        <f t="shared" si="73"/>
        <v>#VALUE!</v>
      </c>
      <c r="AM193" s="118" t="e">
        <f>AL193^3+AJ182*AL193+AK182</f>
        <v>#VALUE!</v>
      </c>
      <c r="AN193" s="118" t="e">
        <f>3*AL193^2+AJ182</f>
        <v>#VALUE!</v>
      </c>
      <c r="AO193" s="118" t="e">
        <f t="shared" si="68"/>
        <v>#VALUE!</v>
      </c>
      <c r="AP193" s="112" t="s">
        <v>147</v>
      </c>
      <c r="AQ193" s="113">
        <v>60</v>
      </c>
      <c r="AS193" s="125"/>
      <c r="AT193" s="126"/>
      <c r="AU193" s="118" t="e">
        <f t="shared" si="74"/>
        <v>#VALUE!</v>
      </c>
      <c r="AV193" s="118" t="e">
        <f>AU193^3+AS182*AU193+AT182</f>
        <v>#VALUE!</v>
      </c>
      <c r="AW193" s="118" t="e">
        <f>3*AU193^2+AS182</f>
        <v>#VALUE!</v>
      </c>
      <c r="AX193" s="118" t="e">
        <f t="shared" si="69"/>
        <v>#VALUE!</v>
      </c>
      <c r="AY193" s="112" t="s">
        <v>147</v>
      </c>
      <c r="AZ193" s="113">
        <v>60</v>
      </c>
      <c r="BB193" s="125"/>
      <c r="BC193" s="126"/>
      <c r="BD193" s="118" t="e">
        <f t="shared" si="75"/>
        <v>#VALUE!</v>
      </c>
      <c r="BE193" s="118" t="e">
        <f>BD193^3+BB182*BD193+BC182</f>
        <v>#VALUE!</v>
      </c>
      <c r="BF193" s="118" t="e">
        <f>3*BD193^2+BB182</f>
        <v>#VALUE!</v>
      </c>
      <c r="BG193" s="118" t="e">
        <f t="shared" si="70"/>
        <v>#VALUE!</v>
      </c>
      <c r="BH193" s="112" t="s">
        <v>147</v>
      </c>
      <c r="BI193" s="113">
        <v>60</v>
      </c>
      <c r="BK193" s="125"/>
      <c r="BL193" s="126"/>
      <c r="BM193" s="118" t="e">
        <f t="shared" si="76"/>
        <v>#VALUE!</v>
      </c>
      <c r="BN193" s="118" t="e">
        <f>BM193^3+BK182*BM193+BL182</f>
        <v>#VALUE!</v>
      </c>
      <c r="BO193" s="118" t="e">
        <f>3*BM193^2+BK182</f>
        <v>#VALUE!</v>
      </c>
      <c r="BP193" s="118" t="e">
        <f t="shared" si="71"/>
        <v>#VALUE!</v>
      </c>
      <c r="BQ193" s="112" t="s">
        <v>147</v>
      </c>
      <c r="BR193" s="113">
        <v>60</v>
      </c>
      <c r="BT193" s="125"/>
      <c r="BU193" s="126"/>
      <c r="BV193" s="118" t="e">
        <f t="shared" si="77"/>
        <v>#VALUE!</v>
      </c>
      <c r="BW193" s="118" t="e">
        <f>BV193^3+BT182*BV193+BU182</f>
        <v>#VALUE!</v>
      </c>
      <c r="BX193" s="118" t="e">
        <f>3*BV193^2+BT182</f>
        <v>#VALUE!</v>
      </c>
      <c r="BY193" s="118" t="e">
        <f t="shared" si="72"/>
        <v>#VALUE!</v>
      </c>
      <c r="BZ193" s="112" t="s">
        <v>147</v>
      </c>
      <c r="CA193" s="113">
        <v>60</v>
      </c>
    </row>
    <row r="194" spans="36:79" ht="18" hidden="1" customHeight="1" x14ac:dyDescent="0.15">
      <c r="AJ194" s="125"/>
      <c r="AK194" s="126"/>
      <c r="AL194" s="118" t="e">
        <f t="shared" si="73"/>
        <v>#VALUE!</v>
      </c>
      <c r="AM194" s="118" t="e">
        <f>AL194^3+AJ182*AL194+AK182</f>
        <v>#VALUE!</v>
      </c>
      <c r="AN194" s="118" t="e">
        <f>3*AL194^2+AJ182</f>
        <v>#VALUE!</v>
      </c>
      <c r="AO194" s="118" t="e">
        <f t="shared" si="68"/>
        <v>#VALUE!</v>
      </c>
      <c r="AP194" s="128" t="s">
        <v>218</v>
      </c>
      <c r="AQ194" s="32"/>
      <c r="AS194" s="125"/>
      <c r="AT194" s="126"/>
      <c r="AU194" s="118" t="e">
        <f t="shared" si="74"/>
        <v>#VALUE!</v>
      </c>
      <c r="AV194" s="118" t="e">
        <f>AU194^3+AS182*AU194+AT182</f>
        <v>#VALUE!</v>
      </c>
      <c r="AW194" s="118" t="e">
        <f>3*AU194^2+AS182</f>
        <v>#VALUE!</v>
      </c>
      <c r="AX194" s="118" t="e">
        <f t="shared" si="69"/>
        <v>#VALUE!</v>
      </c>
      <c r="AY194" s="128" t="s">
        <v>219</v>
      </c>
      <c r="AZ194" s="32"/>
      <c r="BB194" s="125"/>
      <c r="BC194" s="126"/>
      <c r="BD194" s="118" t="e">
        <f t="shared" si="75"/>
        <v>#VALUE!</v>
      </c>
      <c r="BE194" s="118" t="e">
        <f>BD194^3+BB182*BD194+BC182</f>
        <v>#VALUE!</v>
      </c>
      <c r="BF194" s="118" t="e">
        <f>3*BD194^2+BB182</f>
        <v>#VALUE!</v>
      </c>
      <c r="BG194" s="118" t="e">
        <f t="shared" si="70"/>
        <v>#VALUE!</v>
      </c>
      <c r="BH194" s="128" t="s">
        <v>220</v>
      </c>
      <c r="BI194" s="32"/>
      <c r="BK194" s="125"/>
      <c r="BL194" s="126"/>
      <c r="BM194" s="118" t="e">
        <f t="shared" si="76"/>
        <v>#VALUE!</v>
      </c>
      <c r="BN194" s="118" t="e">
        <f>BM194^3+BK182*BM194+BL182</f>
        <v>#VALUE!</v>
      </c>
      <c r="BO194" s="118" t="e">
        <f>3*BM194^2+BK182</f>
        <v>#VALUE!</v>
      </c>
      <c r="BP194" s="118" t="e">
        <f t="shared" si="71"/>
        <v>#VALUE!</v>
      </c>
      <c r="BQ194" s="128" t="s">
        <v>221</v>
      </c>
      <c r="BR194" s="32"/>
      <c r="BT194" s="125"/>
      <c r="BU194" s="126"/>
      <c r="BV194" s="118" t="e">
        <f t="shared" si="77"/>
        <v>#VALUE!</v>
      </c>
      <c r="BW194" s="118" t="e">
        <f>BV194^3+BT182*BV194+BU182</f>
        <v>#VALUE!</v>
      </c>
      <c r="BX194" s="118" t="e">
        <f>3*BV194^2+BT182</f>
        <v>#VALUE!</v>
      </c>
      <c r="BY194" s="118" t="e">
        <f t="shared" si="72"/>
        <v>#VALUE!</v>
      </c>
      <c r="BZ194" s="128" t="s">
        <v>222</v>
      </c>
      <c r="CA194" s="32"/>
    </row>
    <row r="195" spans="36:79" ht="18" hidden="1" customHeight="1" x14ac:dyDescent="0.15">
      <c r="AJ195" s="125"/>
      <c r="AK195" s="126"/>
      <c r="AL195" s="18" t="e">
        <f t="shared" si="73"/>
        <v>#VALUE!</v>
      </c>
      <c r="AM195" s="18" t="e">
        <f>AL195^3+AJ182*AL195+AK182</f>
        <v>#VALUE!</v>
      </c>
      <c r="AN195" s="18" t="e">
        <f>3*AL195^2+AJ182</f>
        <v>#VALUE!</v>
      </c>
      <c r="AO195" s="18" t="e">
        <f t="shared" si="68"/>
        <v>#VALUE!</v>
      </c>
      <c r="AP195" s="273" t="str">
        <f>M57</f>
        <v>無 風 時　60[℃]</v>
      </c>
      <c r="AQ195" s="274"/>
      <c r="AS195" s="125"/>
      <c r="AT195" s="126"/>
      <c r="AU195" s="18" t="e">
        <f t="shared" si="74"/>
        <v>#VALUE!</v>
      </c>
      <c r="AV195" s="18" t="e">
        <f>AU195^3+AS182*AU195+AT182</f>
        <v>#VALUE!</v>
      </c>
      <c r="AW195" s="18" t="e">
        <f>3*AU195^2+AS182</f>
        <v>#VALUE!</v>
      </c>
      <c r="AX195" s="18" t="e">
        <f t="shared" si="69"/>
        <v>#VALUE!</v>
      </c>
      <c r="AY195" s="273" t="str">
        <f>M57</f>
        <v>無 風 時　60[℃]</v>
      </c>
      <c r="AZ195" s="274"/>
      <c r="BB195" s="125"/>
      <c r="BC195" s="126"/>
      <c r="BD195" s="18" t="e">
        <f t="shared" si="75"/>
        <v>#VALUE!</v>
      </c>
      <c r="BE195" s="18" t="e">
        <f>BD195^3+BB182*BD195+BC182</f>
        <v>#VALUE!</v>
      </c>
      <c r="BF195" s="18" t="e">
        <f>3*BD195^2+BB182</f>
        <v>#VALUE!</v>
      </c>
      <c r="BG195" s="18" t="e">
        <f t="shared" si="70"/>
        <v>#VALUE!</v>
      </c>
      <c r="BH195" s="273" t="str">
        <f>M57</f>
        <v>無 風 時　60[℃]</v>
      </c>
      <c r="BI195" s="274"/>
      <c r="BK195" s="125"/>
      <c r="BL195" s="126"/>
      <c r="BM195" s="18" t="e">
        <f t="shared" si="76"/>
        <v>#VALUE!</v>
      </c>
      <c r="BN195" s="18" t="e">
        <f>BM195^3+BK182*BM195+BL182</f>
        <v>#VALUE!</v>
      </c>
      <c r="BO195" s="18" t="e">
        <f>3*BM195^2+BK182</f>
        <v>#VALUE!</v>
      </c>
      <c r="BP195" s="18" t="e">
        <f t="shared" si="71"/>
        <v>#VALUE!</v>
      </c>
      <c r="BQ195" s="273" t="str">
        <f>M57</f>
        <v>無 風 時　60[℃]</v>
      </c>
      <c r="BR195" s="274"/>
      <c r="BT195" s="125"/>
      <c r="BU195" s="126"/>
      <c r="BV195" s="18" t="e">
        <f t="shared" si="77"/>
        <v>#VALUE!</v>
      </c>
      <c r="BW195" s="18" t="e">
        <f>BV195^3+BT182*BV195+BU182</f>
        <v>#VALUE!</v>
      </c>
      <c r="BX195" s="18" t="e">
        <f>3*BV195^2+BT182</f>
        <v>#VALUE!</v>
      </c>
      <c r="BY195" s="18" t="e">
        <f t="shared" si="72"/>
        <v>#VALUE!</v>
      </c>
      <c r="BZ195" s="273" t="str">
        <f>M57</f>
        <v>無 風 時　60[℃]</v>
      </c>
      <c r="CA195" s="274"/>
    </row>
    <row r="196" spans="36:79" ht="18" hidden="1" customHeight="1" thickBot="1" x14ac:dyDescent="0.2">
      <c r="AJ196" s="125"/>
      <c r="AK196" s="126"/>
      <c r="AL196" s="114" t="e">
        <f t="shared" si="73"/>
        <v>#VALUE!</v>
      </c>
      <c r="AM196" s="115" t="e">
        <f>AL196^3+AJ182*AL196+AK182</f>
        <v>#VALUE!</v>
      </c>
      <c r="AN196" s="115" t="e">
        <f>3*AL196^2+AJ182</f>
        <v>#VALUE!</v>
      </c>
      <c r="AO196" s="115" t="e">
        <f t="shared" si="68"/>
        <v>#VALUE!</v>
      </c>
      <c r="AP196" s="275"/>
      <c r="AQ196" s="276"/>
      <c r="AS196" s="125"/>
      <c r="AT196" s="126"/>
      <c r="AU196" s="114" t="e">
        <f t="shared" si="74"/>
        <v>#VALUE!</v>
      </c>
      <c r="AV196" s="115" t="e">
        <f>AU196^3+AS182*AU196+AT182</f>
        <v>#VALUE!</v>
      </c>
      <c r="AW196" s="115" t="e">
        <f>3*AU196^2+AS182</f>
        <v>#VALUE!</v>
      </c>
      <c r="AX196" s="115" t="e">
        <f t="shared" si="69"/>
        <v>#VALUE!</v>
      </c>
      <c r="AY196" s="275"/>
      <c r="AZ196" s="276"/>
      <c r="BB196" s="125"/>
      <c r="BC196" s="126"/>
      <c r="BD196" s="114" t="e">
        <f t="shared" si="75"/>
        <v>#VALUE!</v>
      </c>
      <c r="BE196" s="115" t="e">
        <f>BD196^3+BB182*BD196+BC182</f>
        <v>#VALUE!</v>
      </c>
      <c r="BF196" s="115" t="e">
        <f>3*BD196^2+BB182</f>
        <v>#VALUE!</v>
      </c>
      <c r="BG196" s="115" t="e">
        <f t="shared" si="70"/>
        <v>#VALUE!</v>
      </c>
      <c r="BH196" s="275"/>
      <c r="BI196" s="276"/>
      <c r="BK196" s="125"/>
      <c r="BL196" s="126"/>
      <c r="BM196" s="114" t="e">
        <f t="shared" si="76"/>
        <v>#VALUE!</v>
      </c>
      <c r="BN196" s="115" t="e">
        <f>BM196^3+BK182*BM196+BL182</f>
        <v>#VALUE!</v>
      </c>
      <c r="BO196" s="115" t="e">
        <f>3*BM196^2+BK182</f>
        <v>#VALUE!</v>
      </c>
      <c r="BP196" s="115" t="e">
        <f t="shared" si="71"/>
        <v>#VALUE!</v>
      </c>
      <c r="BQ196" s="275"/>
      <c r="BR196" s="276"/>
      <c r="BT196" s="125"/>
      <c r="BU196" s="126"/>
      <c r="BV196" s="114" t="e">
        <f t="shared" si="77"/>
        <v>#VALUE!</v>
      </c>
      <c r="BW196" s="115" t="e">
        <f>BV196^3+BT182*BV196+BU182</f>
        <v>#VALUE!</v>
      </c>
      <c r="BX196" s="115" t="e">
        <f>3*BV196^2+BT182</f>
        <v>#VALUE!</v>
      </c>
      <c r="BY196" s="115" t="e">
        <f t="shared" si="72"/>
        <v>#VALUE!</v>
      </c>
      <c r="BZ196" s="275"/>
      <c r="CA196" s="276"/>
    </row>
    <row r="197" spans="36:79" ht="18" hidden="1" customHeight="1" x14ac:dyDescent="0.15">
      <c r="AJ197" s="62"/>
      <c r="AK197" s="12" t="s">
        <v>224</v>
      </c>
      <c r="AL197" s="12" t="s">
        <v>225</v>
      </c>
      <c r="AM197" s="12" t="s">
        <v>226</v>
      </c>
      <c r="AN197" s="12" t="s">
        <v>227</v>
      </c>
      <c r="AO197" s="63" t="s">
        <v>228</v>
      </c>
      <c r="AP197" s="12" t="s">
        <v>229</v>
      </c>
      <c r="AQ197" s="13" t="s">
        <v>230</v>
      </c>
      <c r="AS197" s="62"/>
      <c r="AT197" s="12" t="s">
        <v>224</v>
      </c>
      <c r="AU197" s="12" t="s">
        <v>225</v>
      </c>
      <c r="AV197" s="12" t="s">
        <v>226</v>
      </c>
      <c r="AW197" s="12" t="s">
        <v>227</v>
      </c>
      <c r="AX197" s="63" t="s">
        <v>228</v>
      </c>
      <c r="AY197" s="12" t="s">
        <v>229</v>
      </c>
      <c r="AZ197" s="13" t="s">
        <v>230</v>
      </c>
      <c r="BB197" s="62"/>
      <c r="BC197" s="12" t="s">
        <v>224</v>
      </c>
      <c r="BD197" s="12" t="s">
        <v>225</v>
      </c>
      <c r="BE197" s="12" t="s">
        <v>226</v>
      </c>
      <c r="BF197" s="12" t="s">
        <v>227</v>
      </c>
      <c r="BG197" s="63" t="s">
        <v>228</v>
      </c>
      <c r="BH197" s="12" t="s">
        <v>229</v>
      </c>
      <c r="BI197" s="13" t="s">
        <v>230</v>
      </c>
      <c r="BK197" s="62"/>
      <c r="BL197" s="12" t="s">
        <v>224</v>
      </c>
      <c r="BM197" s="12" t="s">
        <v>225</v>
      </c>
      <c r="BN197" s="12" t="s">
        <v>226</v>
      </c>
      <c r="BO197" s="12" t="s">
        <v>227</v>
      </c>
      <c r="BP197" s="63" t="s">
        <v>228</v>
      </c>
      <c r="BQ197" s="12" t="s">
        <v>229</v>
      </c>
      <c r="BR197" s="13" t="s">
        <v>230</v>
      </c>
      <c r="BT197" s="62"/>
      <c r="BU197" s="12" t="s">
        <v>224</v>
      </c>
      <c r="BV197" s="12" t="s">
        <v>225</v>
      </c>
      <c r="BW197" s="12" t="s">
        <v>226</v>
      </c>
      <c r="BX197" s="12" t="s">
        <v>227</v>
      </c>
      <c r="BY197" s="63" t="s">
        <v>228</v>
      </c>
      <c r="BZ197" s="12" t="s">
        <v>229</v>
      </c>
      <c r="CA197" s="13" t="s">
        <v>230</v>
      </c>
    </row>
    <row r="198" spans="36:79" ht="18" hidden="1" customHeight="1" thickBot="1" x14ac:dyDescent="0.2">
      <c r="AJ198" s="107"/>
      <c r="AK198" s="108" t="e">
        <f>M23+U23</f>
        <v>#VALUE!</v>
      </c>
      <c r="AL198" s="108">
        <f>IF(C33="",L19*(F19/40)^2,C33)</f>
        <v>0</v>
      </c>
      <c r="AM198" s="108">
        <f>F19</f>
        <v>0</v>
      </c>
      <c r="AN198" s="108" t="e">
        <f>AK78*1600/(8*L19)</f>
        <v>#VALUE!</v>
      </c>
      <c r="AO198" s="109">
        <f>V23</f>
        <v>0</v>
      </c>
      <c r="AP198" s="108" t="str">
        <f>L23</f>
        <v/>
      </c>
      <c r="AQ198" s="110">
        <f>W23</f>
        <v>0</v>
      </c>
      <c r="AS198" s="107"/>
      <c r="AT198" s="108" t="str">
        <f>IF(B24="使用電線-2",M24+U24,IF(B25="使用電線-2",M25+U25,IF(B26="使用電線-2",M26+U26,IF(B27="使用電線-2",M27+U27,IF(B28="使用電線-2",M28+U28,IF(B29="使用電線-2",M29+U29,""))))))</f>
        <v/>
      </c>
      <c r="AU198" s="108">
        <f>IF(I33="",L19*(F19/40)^2,I33)</f>
        <v>0</v>
      </c>
      <c r="AV198" s="108">
        <f>F19</f>
        <v>0</v>
      </c>
      <c r="AW198" s="108" t="e">
        <f>AT198*1600/(8*L19)</f>
        <v>#VALUE!</v>
      </c>
      <c r="AX198" s="109" t="str">
        <f>IF(B24="使用電線-2",V24,IF(B25="使用電線-2",V25,IF(B26="使用電線-2",V26,IF(B27="使用電線-2",V27,IF(B28="使用電線-2",V28,IF(B29="使用電線-2",V29,""))))))</f>
        <v/>
      </c>
      <c r="AY198" s="108" t="str">
        <f>IF(B24="使用電線-2",L24,IF(B25="使用電線-2",L25,IF(B26="使用電線-2",L26,IF(B27="使用電線-2",L27,IF(B28="使用電線-2",L28,IF(B29="使用電線-2",L29,""))))))</f>
        <v/>
      </c>
      <c r="AZ198" s="110" t="str">
        <f>IF(B24="使用電線-2",W24,IF(B25="使用電線-2",W25,IF(B26="使用電線-2",W26,IF(B27="使用電線-2",W27,IF(B28="使用電線-2",W28,IF(B29="使用電線-2",W29,""))))))</f>
        <v/>
      </c>
      <c r="BB198" s="107"/>
      <c r="BC198" s="108" t="str">
        <f>IF(B25="使用電線-3",M25+U25,IF(B26="使用電線-3",M26+U26,IF(B27="使用電線-3",M27+U27,IF(B28="使用電線-3",M28+U28,IF(B29="使用電線-3",M29+U29,"")))))</f>
        <v/>
      </c>
      <c r="BD198" s="108">
        <f>IF(N33="",L19*(F19/40)^2,N33)</f>
        <v>0</v>
      </c>
      <c r="BE198" s="108">
        <f>F19</f>
        <v>0</v>
      </c>
      <c r="BF198" s="108" t="e">
        <f>BC198*1600/(8*L19)</f>
        <v>#VALUE!</v>
      </c>
      <c r="BG198" s="109" t="str">
        <f>IF(B25="使用電線-3",V25,IF(B26="使用電線-3",V26,IF(B27="使用電線-3",V27,IF(B28="使用電線-3",V28,IF(B29="使用電線-3",V29,"")))))</f>
        <v/>
      </c>
      <c r="BH198" s="108" t="str">
        <f>IF(B25="使用電線-3",L25,IF(B26="使用電線-3",L26,IF(B27="使用電線-3",L27,IF(B28="使用電線-3",L28,IF(B29="使用電線-3",L29,"")))))</f>
        <v/>
      </c>
      <c r="BI198" s="110" t="str">
        <f>IF(B25="使用電線-3",W25,IF(B26="使用電線-3",W26,IF(B27="使用電線-3",W27,IF(B28="使用電線-3",W28,IF(B29="使用電線-3",W29,"")))))</f>
        <v/>
      </c>
      <c r="BK198" s="107"/>
      <c r="BL198" s="108" t="str">
        <f>IF(B26="使用電線-4",M26+U26,IF(B27="使用電線-4",M27+U27,IF(B28="使用電線-4",M28+U28,IF(B29="使用電線-4",M29+U29,""))))</f>
        <v/>
      </c>
      <c r="BM198" s="108">
        <f>IF(C47="",L19*(F19/40)^2,C47)</f>
        <v>0</v>
      </c>
      <c r="BN198" s="108">
        <f>F19</f>
        <v>0</v>
      </c>
      <c r="BO198" s="127" t="e">
        <f>BL198*1600/(8*L19)</f>
        <v>#VALUE!</v>
      </c>
      <c r="BP198" s="109" t="str">
        <f>IF(B26="使用電線-4",V26,IF(B27="使用電線-4",V27,IF(B28="使用電線-4",V28,IF(B29="使用電線-4",V29,""))))</f>
        <v/>
      </c>
      <c r="BQ198" s="108" t="str">
        <f>IF(B26="使用電線-4",L26,IF(B27="使用電線-4",L27,IF(B28="使用電線-4",L28,IF(B29="使用電線-4",L29,""))))</f>
        <v/>
      </c>
      <c r="BR198" s="110" t="str">
        <f>IF(B26="使用電線-4",W26,IF(B27="使用電線-4",W27,IF(B28="使用電線-4",W28,IF(B29="使用電線-4",W29,""))))</f>
        <v/>
      </c>
      <c r="BT198" s="107"/>
      <c r="BU198" s="108" t="str">
        <f>IF(B27="使用電線-5",M27+U27,IF(B28="使用電線-5",M28+U28,IF(B29="使用電線-5",M29+U29,"")))</f>
        <v/>
      </c>
      <c r="BV198" s="108">
        <f>IF(I47="",L19*(F19/40)^2,I47)</f>
        <v>0</v>
      </c>
      <c r="BW198" s="108">
        <f>F19</f>
        <v>0</v>
      </c>
      <c r="BX198" s="127" t="e">
        <f>BU198*1600/(8*L19)</f>
        <v>#VALUE!</v>
      </c>
      <c r="BY198" s="109" t="str">
        <f>IF(B27="使用電線-5",V27,IF(B28="使用電線-5",V28,IF(B29="使用電線-5",V29,"")))</f>
        <v/>
      </c>
      <c r="BZ198" s="108" t="str">
        <f>IF(B27="使用電線-5",L27,IF(B28="使用電線-5",L28,IF(B29="使用電線-5",L29,"")))</f>
        <v/>
      </c>
      <c r="CA198" s="110" t="str">
        <f>IF(B27="使用電線-5",W27,IF(B28="使用電線-5",W28,IF(B29="使用電線-5",W29,"")))</f>
        <v/>
      </c>
    </row>
    <row r="199" spans="36:79" ht="18" hidden="1" customHeight="1" x14ac:dyDescent="0.15"/>
    <row r="200" spans="36:79" ht="18" hidden="1" customHeight="1" thickBot="1" x14ac:dyDescent="0.2"/>
    <row r="201" spans="36:79" ht="18" hidden="1" customHeight="1" x14ac:dyDescent="0.15">
      <c r="AJ201" s="2" t="s">
        <v>232</v>
      </c>
      <c r="AK201" s="111" t="s">
        <v>233</v>
      </c>
      <c r="AL201" s="12" t="s">
        <v>234</v>
      </c>
      <c r="AM201" s="12" t="s">
        <v>235</v>
      </c>
      <c r="AN201" s="12" t="s">
        <v>236</v>
      </c>
      <c r="AO201" s="12" t="s">
        <v>237</v>
      </c>
      <c r="AP201" s="12" t="s">
        <v>238</v>
      </c>
      <c r="AQ201" s="13" t="s">
        <v>239</v>
      </c>
      <c r="AS201" s="2" t="s">
        <v>232</v>
      </c>
      <c r="AT201" s="111" t="s">
        <v>233</v>
      </c>
      <c r="AU201" s="12" t="s">
        <v>234</v>
      </c>
      <c r="AV201" s="12" t="s">
        <v>235</v>
      </c>
      <c r="AW201" s="12" t="s">
        <v>236</v>
      </c>
      <c r="AX201" s="12" t="s">
        <v>237</v>
      </c>
      <c r="AY201" s="12" t="s">
        <v>238</v>
      </c>
      <c r="AZ201" s="13" t="s">
        <v>239</v>
      </c>
      <c r="BB201" s="2" t="s">
        <v>232</v>
      </c>
      <c r="BC201" s="111" t="s">
        <v>233</v>
      </c>
      <c r="BD201" s="12" t="s">
        <v>234</v>
      </c>
      <c r="BE201" s="12" t="s">
        <v>235</v>
      </c>
      <c r="BF201" s="12" t="s">
        <v>236</v>
      </c>
      <c r="BG201" s="12" t="s">
        <v>237</v>
      </c>
      <c r="BH201" s="12" t="s">
        <v>238</v>
      </c>
      <c r="BI201" s="13" t="s">
        <v>239</v>
      </c>
      <c r="BK201" s="2" t="s">
        <v>232</v>
      </c>
      <c r="BL201" s="111" t="s">
        <v>233</v>
      </c>
      <c r="BM201" s="12" t="s">
        <v>234</v>
      </c>
      <c r="BN201" s="12" t="s">
        <v>235</v>
      </c>
      <c r="BO201" s="12" t="s">
        <v>236</v>
      </c>
      <c r="BP201" s="12" t="s">
        <v>237</v>
      </c>
      <c r="BQ201" s="12" t="s">
        <v>238</v>
      </c>
      <c r="BR201" s="13" t="s">
        <v>239</v>
      </c>
      <c r="BT201" s="2" t="s">
        <v>232</v>
      </c>
      <c r="BU201" s="111" t="s">
        <v>233</v>
      </c>
      <c r="BV201" s="12" t="s">
        <v>234</v>
      </c>
      <c r="BW201" s="12" t="s">
        <v>235</v>
      </c>
      <c r="BX201" s="12" t="s">
        <v>236</v>
      </c>
      <c r="BY201" s="12" t="s">
        <v>237</v>
      </c>
      <c r="BZ201" s="12" t="s">
        <v>238</v>
      </c>
      <c r="CA201" s="13" t="s">
        <v>239</v>
      </c>
    </row>
    <row r="202" spans="36:79" ht="18" hidden="1" customHeight="1" x14ac:dyDescent="0.15">
      <c r="AJ202" s="16" t="e">
        <f>-AJ205+AJ208</f>
        <v>#VALUE!</v>
      </c>
      <c r="AK202" s="17" t="e">
        <f>-AJ211</f>
        <v>#VALUE!</v>
      </c>
      <c r="AL202" s="18" t="e">
        <f>IF(AND(AP205&lt;0,AQ205&lt;0),AQ202*1.2,IF(AND(AP205&gt;0,AQ205&gt;0),AP202*0.8,10))</f>
        <v>#VALUE!</v>
      </c>
      <c r="AM202" s="18" t="e">
        <f>AL202^3+AJ202*AL202+AK202</f>
        <v>#VALUE!</v>
      </c>
      <c r="AN202" s="18" t="e">
        <f>3*AL202^2+AJ202</f>
        <v>#VALUE!</v>
      </c>
      <c r="AO202" s="18" t="e">
        <f t="shared" ref="AO202:AO216" si="78">AL202-AM202/AN202</f>
        <v>#VALUE!</v>
      </c>
      <c r="AP202" s="18" t="e">
        <f>-SQRT(ABS(-4*3*AJ202))/6</f>
        <v>#VALUE!</v>
      </c>
      <c r="AQ202" s="19" t="e">
        <f>SQRT(ABS(-4*3*AJ202))/6</f>
        <v>#VALUE!</v>
      </c>
      <c r="AS202" s="16" t="e">
        <f>-AS205+AS208</f>
        <v>#VALUE!</v>
      </c>
      <c r="AT202" s="17" t="e">
        <f>-AS211</f>
        <v>#VALUE!</v>
      </c>
      <c r="AU202" s="18" t="e">
        <f>IF(AND(AY205&lt;0,AZ205&lt;0),AZ202*1.2,IF(AND(AY205&gt;0,AZ205&gt;0),AY202*0.8,10))</f>
        <v>#VALUE!</v>
      </c>
      <c r="AV202" s="18" t="e">
        <f>AU202^3+AS202*AU202+AT202</f>
        <v>#VALUE!</v>
      </c>
      <c r="AW202" s="18" t="e">
        <f>3*AU202^2+AS202</f>
        <v>#VALUE!</v>
      </c>
      <c r="AX202" s="18" t="e">
        <f t="shared" ref="AX202:AX216" si="79">AU202-AV202/AW202</f>
        <v>#VALUE!</v>
      </c>
      <c r="AY202" s="18" t="e">
        <f>-SQRT(ABS(-4*3*AS202))/6</f>
        <v>#VALUE!</v>
      </c>
      <c r="AZ202" s="19" t="e">
        <f>SQRT(ABS(-4*3*AS202))/6</f>
        <v>#VALUE!</v>
      </c>
      <c r="BB202" s="16" t="e">
        <f>-BB205+BB208</f>
        <v>#VALUE!</v>
      </c>
      <c r="BC202" s="17" t="e">
        <f>-BB211</f>
        <v>#VALUE!</v>
      </c>
      <c r="BD202" s="18" t="e">
        <f>IF(AND(BH205&lt;0,BI205&lt;0),BI202*1.2,IF(AND(BH205&gt;0,BI205&gt;0),BH202*0.8,10))</f>
        <v>#VALUE!</v>
      </c>
      <c r="BE202" s="18" t="e">
        <f>BD202^3+BB202*BD202+BC202</f>
        <v>#VALUE!</v>
      </c>
      <c r="BF202" s="18" t="e">
        <f>3*BD202^2+BB202</f>
        <v>#VALUE!</v>
      </c>
      <c r="BG202" s="18" t="e">
        <f t="shared" ref="BG202:BG216" si="80">BD202-BE202/BF202</f>
        <v>#VALUE!</v>
      </c>
      <c r="BH202" s="18" t="e">
        <f>-SQRT(ABS(-4*3*BB202))/6</f>
        <v>#VALUE!</v>
      </c>
      <c r="BI202" s="19" t="e">
        <f>SQRT(ABS(-4*3*BB202))/6</f>
        <v>#VALUE!</v>
      </c>
      <c r="BK202" s="16" t="e">
        <f>-BK205+BK208</f>
        <v>#VALUE!</v>
      </c>
      <c r="BL202" s="17" t="e">
        <f>-BK211</f>
        <v>#VALUE!</v>
      </c>
      <c r="BM202" s="18" t="e">
        <f>IF(AND(BQ205&lt;0,BR205&lt;0),BR202*1.2,IF(AND(BQ205&gt;0,BR205&gt;0),BQ202*0.8,10))</f>
        <v>#VALUE!</v>
      </c>
      <c r="BN202" s="18" t="e">
        <f>BM202^3+BK202*BM202+BL202</f>
        <v>#VALUE!</v>
      </c>
      <c r="BO202" s="18" t="e">
        <f>3*BM202^2+BK202</f>
        <v>#VALUE!</v>
      </c>
      <c r="BP202" s="18" t="e">
        <f t="shared" ref="BP202:BP216" si="81">BM202-BN202/BO202</f>
        <v>#VALUE!</v>
      </c>
      <c r="BQ202" s="18" t="e">
        <f>-SQRT(ABS(-4*3*BK202))/6</f>
        <v>#VALUE!</v>
      </c>
      <c r="BR202" s="19" t="e">
        <f>SQRT(ABS(-4*3*BK202))/6</f>
        <v>#VALUE!</v>
      </c>
      <c r="BT202" s="16" t="e">
        <f>-BT205+BT208</f>
        <v>#VALUE!</v>
      </c>
      <c r="BU202" s="17" t="e">
        <f>-BT211</f>
        <v>#VALUE!</v>
      </c>
      <c r="BV202" s="18" t="e">
        <f>IF(AND(BZ205&lt;0,CA205&lt;0),CA202*1.2,IF(AND(BZ205&gt;0,CA205&gt;0),BZ202*0.8,10))</f>
        <v>#VALUE!</v>
      </c>
      <c r="BW202" s="18" t="e">
        <f>BV202^3+BT202*BV202+BU202</f>
        <v>#VALUE!</v>
      </c>
      <c r="BX202" s="18" t="e">
        <f>3*BV202^2+BT202</f>
        <v>#VALUE!</v>
      </c>
      <c r="BY202" s="18" t="e">
        <f t="shared" ref="BY202:BY216" si="82">BV202-BW202/BX202</f>
        <v>#VALUE!</v>
      </c>
      <c r="BZ202" s="18" t="e">
        <f>-SQRT(ABS(-4*3*BT202))/6</f>
        <v>#VALUE!</v>
      </c>
      <c r="CA202" s="19" t="e">
        <f>SQRT(ABS(-4*3*BT202))/6</f>
        <v>#VALUE!</v>
      </c>
    </row>
    <row r="203" spans="36:79" ht="18" hidden="1" customHeight="1" x14ac:dyDescent="0.15">
      <c r="AJ203" s="267"/>
      <c r="AK203" s="268"/>
      <c r="AL203" s="18" t="e">
        <f t="shared" ref="AL203:AL216" si="83">AO202</f>
        <v>#VALUE!</v>
      </c>
      <c r="AM203" s="18" t="e">
        <f>AL203^3+AJ202*AL203+AK202</f>
        <v>#VALUE!</v>
      </c>
      <c r="AN203" s="18" t="e">
        <f>3*AL203^2+AJ202</f>
        <v>#VALUE!</v>
      </c>
      <c r="AO203" s="18" t="e">
        <f t="shared" si="78"/>
        <v>#VALUE!</v>
      </c>
      <c r="AP203" s="6"/>
      <c r="AQ203" s="7"/>
      <c r="AS203" s="267"/>
      <c r="AT203" s="268"/>
      <c r="AU203" s="18" t="e">
        <f t="shared" ref="AU203:AU216" si="84">AX202</f>
        <v>#VALUE!</v>
      </c>
      <c r="AV203" s="18" t="e">
        <f>AU203^3+AS202*AU203+AT202</f>
        <v>#VALUE!</v>
      </c>
      <c r="AW203" s="18" t="e">
        <f>3*AU203^2+AS202</f>
        <v>#VALUE!</v>
      </c>
      <c r="AX203" s="18" t="e">
        <f t="shared" si="79"/>
        <v>#VALUE!</v>
      </c>
      <c r="AY203" s="6"/>
      <c r="AZ203" s="7"/>
      <c r="BB203" s="267"/>
      <c r="BC203" s="268"/>
      <c r="BD203" s="18" t="e">
        <f t="shared" ref="BD203:BD216" si="85">BG202</f>
        <v>#VALUE!</v>
      </c>
      <c r="BE203" s="18" t="e">
        <f>BD203^3+BB202*BD203+BC202</f>
        <v>#VALUE!</v>
      </c>
      <c r="BF203" s="18" t="e">
        <f>3*BD203^2+BB202</f>
        <v>#VALUE!</v>
      </c>
      <c r="BG203" s="18" t="e">
        <f t="shared" si="80"/>
        <v>#VALUE!</v>
      </c>
      <c r="BH203" s="6"/>
      <c r="BI203" s="7"/>
      <c r="BK203" s="267"/>
      <c r="BL203" s="268"/>
      <c r="BM203" s="18" t="e">
        <f t="shared" ref="BM203:BM216" si="86">BP202</f>
        <v>#VALUE!</v>
      </c>
      <c r="BN203" s="18" t="e">
        <f>BM203^3+BK202*BM203+BL202</f>
        <v>#VALUE!</v>
      </c>
      <c r="BO203" s="18" t="e">
        <f>3*BM203^2+BK202</f>
        <v>#VALUE!</v>
      </c>
      <c r="BP203" s="18" t="e">
        <f t="shared" si="81"/>
        <v>#VALUE!</v>
      </c>
      <c r="BQ203" s="6"/>
      <c r="BR203" s="7"/>
      <c r="BT203" s="267"/>
      <c r="BU203" s="268"/>
      <c r="BV203" s="18" t="e">
        <f t="shared" ref="BV203:BV216" si="87">BY202</f>
        <v>#VALUE!</v>
      </c>
      <c r="BW203" s="18" t="e">
        <f>BV203^3+BT202*BV203+BU202</f>
        <v>#VALUE!</v>
      </c>
      <c r="BX203" s="18" t="e">
        <f>3*BV203^2+BT202</f>
        <v>#VALUE!</v>
      </c>
      <c r="BY203" s="18" t="e">
        <f t="shared" si="82"/>
        <v>#VALUE!</v>
      </c>
      <c r="BZ203" s="6"/>
      <c r="CA203" s="7"/>
    </row>
    <row r="204" spans="36:79" ht="18" hidden="1" customHeight="1" x14ac:dyDescent="0.15">
      <c r="AJ204" s="269" t="s">
        <v>240</v>
      </c>
      <c r="AK204" s="270"/>
      <c r="AL204" s="18" t="e">
        <f t="shared" si="83"/>
        <v>#VALUE!</v>
      </c>
      <c r="AM204" s="18" t="e">
        <f>AL204^3+AJ202*AL204+AK202</f>
        <v>#VALUE!</v>
      </c>
      <c r="AN204" s="18" t="e">
        <f>3*AL204^2+AJ202</f>
        <v>#VALUE!</v>
      </c>
      <c r="AO204" s="18" t="e">
        <f t="shared" si="78"/>
        <v>#VALUE!</v>
      </c>
      <c r="AP204" s="14" t="s">
        <v>241</v>
      </c>
      <c r="AQ204" s="15" t="s">
        <v>242</v>
      </c>
      <c r="AS204" s="269" t="s">
        <v>240</v>
      </c>
      <c r="AT204" s="270"/>
      <c r="AU204" s="18" t="e">
        <f t="shared" si="84"/>
        <v>#VALUE!</v>
      </c>
      <c r="AV204" s="18" t="e">
        <f>AU204^3+AS202*AU204+AT202</f>
        <v>#VALUE!</v>
      </c>
      <c r="AW204" s="18" t="e">
        <f>3*AU204^2+AS202</f>
        <v>#VALUE!</v>
      </c>
      <c r="AX204" s="18" t="e">
        <f t="shared" si="79"/>
        <v>#VALUE!</v>
      </c>
      <c r="AY204" s="14" t="s">
        <v>241</v>
      </c>
      <c r="AZ204" s="15" t="s">
        <v>242</v>
      </c>
      <c r="BB204" s="269" t="s">
        <v>240</v>
      </c>
      <c r="BC204" s="270"/>
      <c r="BD204" s="18" t="e">
        <f t="shared" si="85"/>
        <v>#VALUE!</v>
      </c>
      <c r="BE204" s="18" t="e">
        <f>BD204^3+BB202*BD204+BC202</f>
        <v>#VALUE!</v>
      </c>
      <c r="BF204" s="18" t="e">
        <f>3*BD204^2+BB202</f>
        <v>#VALUE!</v>
      </c>
      <c r="BG204" s="18" t="e">
        <f t="shared" si="80"/>
        <v>#VALUE!</v>
      </c>
      <c r="BH204" s="14" t="s">
        <v>241</v>
      </c>
      <c r="BI204" s="15" t="s">
        <v>242</v>
      </c>
      <c r="BK204" s="269" t="s">
        <v>240</v>
      </c>
      <c r="BL204" s="270"/>
      <c r="BM204" s="18" t="e">
        <f t="shared" si="86"/>
        <v>#VALUE!</v>
      </c>
      <c r="BN204" s="18" t="e">
        <f>BM204^3+BK202*BM204+BL202</f>
        <v>#VALUE!</v>
      </c>
      <c r="BO204" s="18" t="e">
        <f>3*BM204^2+BK202</f>
        <v>#VALUE!</v>
      </c>
      <c r="BP204" s="18" t="e">
        <f t="shared" si="81"/>
        <v>#VALUE!</v>
      </c>
      <c r="BQ204" s="14" t="s">
        <v>241</v>
      </c>
      <c r="BR204" s="15" t="s">
        <v>242</v>
      </c>
      <c r="BT204" s="269" t="s">
        <v>240</v>
      </c>
      <c r="BU204" s="270"/>
      <c r="BV204" s="18" t="e">
        <f t="shared" si="87"/>
        <v>#VALUE!</v>
      </c>
      <c r="BW204" s="18" t="e">
        <f>BV204^3+BT202*BV204+BU202</f>
        <v>#VALUE!</v>
      </c>
      <c r="BX204" s="18" t="e">
        <f>3*BV204^2+BT202</f>
        <v>#VALUE!</v>
      </c>
      <c r="BY204" s="18" t="e">
        <f t="shared" si="82"/>
        <v>#VALUE!</v>
      </c>
      <c r="BZ204" s="14" t="s">
        <v>241</v>
      </c>
      <c r="CA204" s="15" t="s">
        <v>242</v>
      </c>
    </row>
    <row r="205" spans="36:79" ht="18" hidden="1" customHeight="1" x14ac:dyDescent="0.15">
      <c r="AJ205" s="269">
        <f>(AL218^2)+3*(AM218^2)*AQ218*(AQ213-15)/(8*10^7)</f>
        <v>0</v>
      </c>
      <c r="AK205" s="270"/>
      <c r="AL205" s="18" t="e">
        <f t="shared" si="83"/>
        <v>#VALUE!</v>
      </c>
      <c r="AM205" s="18" t="e">
        <f>AL205^3+AJ202*AL205+AK202</f>
        <v>#VALUE!</v>
      </c>
      <c r="AN205" s="18" t="e">
        <f>3*AL205^2+AJ202</f>
        <v>#VALUE!</v>
      </c>
      <c r="AO205" s="18" t="e">
        <f t="shared" si="78"/>
        <v>#VALUE!</v>
      </c>
      <c r="AP205" s="18" t="e">
        <f>AP202^3+AJ202*AP202+AK202</f>
        <v>#VALUE!</v>
      </c>
      <c r="AQ205" s="19" t="e">
        <f>AQ202^3+AJ202*AQ202+AK202</f>
        <v>#VALUE!</v>
      </c>
      <c r="AS205" s="269" t="e">
        <f>(AU218^2)+3*(AV218^2)*AZ218*(AZ213-15)/(8*10^7)</f>
        <v>#VALUE!</v>
      </c>
      <c r="AT205" s="270"/>
      <c r="AU205" s="18" t="e">
        <f t="shared" si="84"/>
        <v>#VALUE!</v>
      </c>
      <c r="AV205" s="18" t="e">
        <f>AU205^3+AS202*AU205+AT202</f>
        <v>#VALUE!</v>
      </c>
      <c r="AW205" s="18" t="e">
        <f>3*AU205^2+AS202</f>
        <v>#VALUE!</v>
      </c>
      <c r="AX205" s="18" t="e">
        <f t="shared" si="79"/>
        <v>#VALUE!</v>
      </c>
      <c r="AY205" s="18" t="e">
        <f>AY202^3+AS202*AY202+AT202</f>
        <v>#VALUE!</v>
      </c>
      <c r="AZ205" s="19" t="e">
        <f>AZ202^3+AS202*AZ202+AT202</f>
        <v>#VALUE!</v>
      </c>
      <c r="BB205" s="269" t="e">
        <f>(BD218^2)+3*(BE218^2)*BI218*(BI213-15)/(8*10^7)</f>
        <v>#VALUE!</v>
      </c>
      <c r="BC205" s="270"/>
      <c r="BD205" s="18" t="e">
        <f t="shared" si="85"/>
        <v>#VALUE!</v>
      </c>
      <c r="BE205" s="18" t="e">
        <f>BD205^3+BB202*BD205+BC202</f>
        <v>#VALUE!</v>
      </c>
      <c r="BF205" s="18" t="e">
        <f>3*BD205^2+BB202</f>
        <v>#VALUE!</v>
      </c>
      <c r="BG205" s="18" t="e">
        <f t="shared" si="80"/>
        <v>#VALUE!</v>
      </c>
      <c r="BH205" s="18" t="e">
        <f>BH202^3+BB202*BH202+BC202</f>
        <v>#VALUE!</v>
      </c>
      <c r="BI205" s="19" t="e">
        <f>BI202^3+BB202*BI202+BC202</f>
        <v>#VALUE!</v>
      </c>
      <c r="BK205" s="269" t="e">
        <f>(BM218^2)+3*(BN218^2)*BR218*(BR213-15)/(8*10^7)</f>
        <v>#VALUE!</v>
      </c>
      <c r="BL205" s="270"/>
      <c r="BM205" s="18" t="e">
        <f t="shared" si="86"/>
        <v>#VALUE!</v>
      </c>
      <c r="BN205" s="18" t="e">
        <f>BM205^3+BK202*BM205+BL202</f>
        <v>#VALUE!</v>
      </c>
      <c r="BO205" s="18" t="e">
        <f>3*BM205^2+BK202</f>
        <v>#VALUE!</v>
      </c>
      <c r="BP205" s="18" t="e">
        <f t="shared" si="81"/>
        <v>#VALUE!</v>
      </c>
      <c r="BQ205" s="18" t="e">
        <f>BQ202^3+BK202*BQ202+BL202</f>
        <v>#VALUE!</v>
      </c>
      <c r="BR205" s="19" t="e">
        <f>BR202^3+BK202*BR202+BL202</f>
        <v>#VALUE!</v>
      </c>
      <c r="BT205" s="269" t="e">
        <f>(BV218^2)+3*(BW218^2)*CA218*(CA213-15)/(8*10^7)</f>
        <v>#VALUE!</v>
      </c>
      <c r="BU205" s="270"/>
      <c r="BV205" s="18" t="e">
        <f t="shared" si="87"/>
        <v>#VALUE!</v>
      </c>
      <c r="BW205" s="18" t="e">
        <f>BV205^3+BT202*BV205+BU202</f>
        <v>#VALUE!</v>
      </c>
      <c r="BX205" s="18" t="e">
        <f>3*BV205^2+BT202</f>
        <v>#VALUE!</v>
      </c>
      <c r="BY205" s="18" t="e">
        <f t="shared" si="82"/>
        <v>#VALUE!</v>
      </c>
      <c r="BZ205" s="18" t="e">
        <f>BZ202^3+BT202*BZ202+BU202</f>
        <v>#VALUE!</v>
      </c>
      <c r="CA205" s="19" t="e">
        <f>CA202^3+BT202*CA202+BU202</f>
        <v>#VALUE!</v>
      </c>
    </row>
    <row r="206" spans="36:79" ht="18" hidden="1" customHeight="1" x14ac:dyDescent="0.15">
      <c r="AJ206" s="267"/>
      <c r="AK206" s="268"/>
      <c r="AL206" s="18" t="e">
        <f t="shared" si="83"/>
        <v>#VALUE!</v>
      </c>
      <c r="AM206" s="18" t="e">
        <f>AL206^3+AJ202*AL206+AK202</f>
        <v>#VALUE!</v>
      </c>
      <c r="AN206" s="18" t="e">
        <f>3*AL206^2+AJ202</f>
        <v>#VALUE!</v>
      </c>
      <c r="AO206" s="18" t="e">
        <f t="shared" si="78"/>
        <v>#VALUE!</v>
      </c>
      <c r="AP206" s="31"/>
      <c r="AQ206" s="32"/>
      <c r="AS206" s="267"/>
      <c r="AT206" s="268"/>
      <c r="AU206" s="18" t="e">
        <f t="shared" si="84"/>
        <v>#VALUE!</v>
      </c>
      <c r="AV206" s="18" t="e">
        <f>AU206^3+AS202*AU206+AT202</f>
        <v>#VALUE!</v>
      </c>
      <c r="AW206" s="18" t="e">
        <f>3*AU206^2+AS202</f>
        <v>#VALUE!</v>
      </c>
      <c r="AX206" s="18" t="e">
        <f t="shared" si="79"/>
        <v>#VALUE!</v>
      </c>
      <c r="AY206" s="31"/>
      <c r="AZ206" s="32"/>
      <c r="BB206" s="267"/>
      <c r="BC206" s="268"/>
      <c r="BD206" s="18" t="e">
        <f t="shared" si="85"/>
        <v>#VALUE!</v>
      </c>
      <c r="BE206" s="18" t="e">
        <f>BD206^3+BB202*BD206+BC202</f>
        <v>#VALUE!</v>
      </c>
      <c r="BF206" s="18" t="e">
        <f>3*BD206^2+BB202</f>
        <v>#VALUE!</v>
      </c>
      <c r="BG206" s="18" t="e">
        <f t="shared" si="80"/>
        <v>#VALUE!</v>
      </c>
      <c r="BH206" s="31"/>
      <c r="BI206" s="32"/>
      <c r="BK206" s="267"/>
      <c r="BL206" s="268"/>
      <c r="BM206" s="18" t="e">
        <f t="shared" si="86"/>
        <v>#VALUE!</v>
      </c>
      <c r="BN206" s="18" t="e">
        <f>BM206^3+BK202*BM206+BL202</f>
        <v>#VALUE!</v>
      </c>
      <c r="BO206" s="18" t="e">
        <f>3*BM206^2+BK202</f>
        <v>#VALUE!</v>
      </c>
      <c r="BP206" s="18" t="e">
        <f t="shared" si="81"/>
        <v>#VALUE!</v>
      </c>
      <c r="BQ206" s="31"/>
      <c r="BR206" s="32"/>
      <c r="BT206" s="267"/>
      <c r="BU206" s="268"/>
      <c r="BV206" s="18" t="e">
        <f t="shared" si="87"/>
        <v>#VALUE!</v>
      </c>
      <c r="BW206" s="18" t="e">
        <f>BV206^3+BT202*BV206+BU202</f>
        <v>#VALUE!</v>
      </c>
      <c r="BX206" s="18" t="e">
        <f>3*BV206^2+BT202</f>
        <v>#VALUE!</v>
      </c>
      <c r="BY206" s="18" t="e">
        <f t="shared" si="82"/>
        <v>#VALUE!</v>
      </c>
      <c r="BZ206" s="31"/>
      <c r="CA206" s="32"/>
    </row>
    <row r="207" spans="36:79" ht="18" hidden="1" customHeight="1" x14ac:dyDescent="0.15">
      <c r="AJ207" s="269" t="s">
        <v>243</v>
      </c>
      <c r="AK207" s="270"/>
      <c r="AL207" s="18" t="e">
        <f t="shared" si="83"/>
        <v>#VALUE!</v>
      </c>
      <c r="AM207" s="18" t="e">
        <f>AL207^3+AJ202*AL207+AK202</f>
        <v>#VALUE!</v>
      </c>
      <c r="AN207" s="18" t="e">
        <f>3*AL207^2+AJ202</f>
        <v>#VALUE!</v>
      </c>
      <c r="AO207" s="18" t="e">
        <f t="shared" si="78"/>
        <v>#VALUE!</v>
      </c>
      <c r="AP207" s="31"/>
      <c r="AQ207" s="32"/>
      <c r="AS207" s="269" t="s">
        <v>243</v>
      </c>
      <c r="AT207" s="270"/>
      <c r="AU207" s="18" t="e">
        <f t="shared" si="84"/>
        <v>#VALUE!</v>
      </c>
      <c r="AV207" s="18" t="e">
        <f>AU207^3+AS202*AU207+AT202</f>
        <v>#VALUE!</v>
      </c>
      <c r="AW207" s="18" t="e">
        <f>3*AU207^2+AS202</f>
        <v>#VALUE!</v>
      </c>
      <c r="AX207" s="18" t="e">
        <f t="shared" si="79"/>
        <v>#VALUE!</v>
      </c>
      <c r="AY207" s="31"/>
      <c r="AZ207" s="32"/>
      <c r="BB207" s="269" t="s">
        <v>243</v>
      </c>
      <c r="BC207" s="270"/>
      <c r="BD207" s="18" t="e">
        <f t="shared" si="85"/>
        <v>#VALUE!</v>
      </c>
      <c r="BE207" s="18" t="e">
        <f>BD207^3+BB202*BD207+BC202</f>
        <v>#VALUE!</v>
      </c>
      <c r="BF207" s="18" t="e">
        <f>3*BD207^2+BB202</f>
        <v>#VALUE!</v>
      </c>
      <c r="BG207" s="18" t="e">
        <f t="shared" si="80"/>
        <v>#VALUE!</v>
      </c>
      <c r="BH207" s="31"/>
      <c r="BI207" s="32"/>
      <c r="BK207" s="269" t="s">
        <v>243</v>
      </c>
      <c r="BL207" s="270"/>
      <c r="BM207" s="18" t="e">
        <f t="shared" si="86"/>
        <v>#VALUE!</v>
      </c>
      <c r="BN207" s="18" t="e">
        <f>BM207^3+BK202*BM207+BL202</f>
        <v>#VALUE!</v>
      </c>
      <c r="BO207" s="18" t="e">
        <f>3*BM207^2+BK202</f>
        <v>#VALUE!</v>
      </c>
      <c r="BP207" s="18" t="e">
        <f t="shared" si="81"/>
        <v>#VALUE!</v>
      </c>
      <c r="BQ207" s="31"/>
      <c r="BR207" s="32"/>
      <c r="BT207" s="269" t="s">
        <v>243</v>
      </c>
      <c r="BU207" s="270"/>
      <c r="BV207" s="18" t="e">
        <f t="shared" si="87"/>
        <v>#VALUE!</v>
      </c>
      <c r="BW207" s="18" t="e">
        <f>BV207^3+BT202*BV207+BU202</f>
        <v>#VALUE!</v>
      </c>
      <c r="BX207" s="18" t="e">
        <f>3*BV207^2+BT202</f>
        <v>#VALUE!</v>
      </c>
      <c r="BY207" s="18" t="e">
        <f t="shared" si="82"/>
        <v>#VALUE!</v>
      </c>
      <c r="BZ207" s="31"/>
      <c r="CA207" s="32"/>
    </row>
    <row r="208" spans="36:79" ht="18" hidden="1" customHeight="1" x14ac:dyDescent="0.15">
      <c r="AJ208" s="277" t="e">
        <f>3*(AM218^2)*AN218/(8*AO218*AP218)</f>
        <v>#VALUE!</v>
      </c>
      <c r="AK208" s="278"/>
      <c r="AL208" s="118" t="e">
        <f t="shared" si="83"/>
        <v>#VALUE!</v>
      </c>
      <c r="AM208" s="118" t="e">
        <f>AL208^3+AJ202*AL208+AK202</f>
        <v>#VALUE!</v>
      </c>
      <c r="AN208" s="118" t="e">
        <f>3*AL208^2+AJ202</f>
        <v>#VALUE!</v>
      </c>
      <c r="AO208" s="118" t="e">
        <f t="shared" si="78"/>
        <v>#VALUE!</v>
      </c>
      <c r="AP208" s="116"/>
      <c r="AQ208" s="117"/>
      <c r="AS208" s="277" t="e">
        <f>3*(AV218^2)*AW218/(8*AX218*AY218)</f>
        <v>#VALUE!</v>
      </c>
      <c r="AT208" s="278"/>
      <c r="AU208" s="118" t="e">
        <f t="shared" si="84"/>
        <v>#VALUE!</v>
      </c>
      <c r="AV208" s="118" t="e">
        <f>AU208^3+AS202*AU208+AT202</f>
        <v>#VALUE!</v>
      </c>
      <c r="AW208" s="118" t="e">
        <f>3*AU208^2+AS202</f>
        <v>#VALUE!</v>
      </c>
      <c r="AX208" s="118" t="e">
        <f t="shared" si="79"/>
        <v>#VALUE!</v>
      </c>
      <c r="AY208" s="116"/>
      <c r="AZ208" s="117"/>
      <c r="BB208" s="277" t="e">
        <f>3*(BE218^2)*BF218/(8*BG218*BH218)</f>
        <v>#VALUE!</v>
      </c>
      <c r="BC208" s="278"/>
      <c r="BD208" s="118" t="e">
        <f t="shared" si="85"/>
        <v>#VALUE!</v>
      </c>
      <c r="BE208" s="118" t="e">
        <f>BD208^3+BB202*BD208+BC202</f>
        <v>#VALUE!</v>
      </c>
      <c r="BF208" s="118" t="e">
        <f>3*BD208^2+BB202</f>
        <v>#VALUE!</v>
      </c>
      <c r="BG208" s="118" t="e">
        <f t="shared" si="80"/>
        <v>#VALUE!</v>
      </c>
      <c r="BH208" s="116"/>
      <c r="BI208" s="117"/>
      <c r="BK208" s="277" t="e">
        <f>3*(BN218^2)*BO218/(8*BP218*BQ218)</f>
        <v>#VALUE!</v>
      </c>
      <c r="BL208" s="278"/>
      <c r="BM208" s="118" t="e">
        <f t="shared" si="86"/>
        <v>#VALUE!</v>
      </c>
      <c r="BN208" s="118" t="e">
        <f>BM208^3+BK202*BM208+BL202</f>
        <v>#VALUE!</v>
      </c>
      <c r="BO208" s="118" t="e">
        <f>3*BM208^2+BK202</f>
        <v>#VALUE!</v>
      </c>
      <c r="BP208" s="118" t="e">
        <f t="shared" si="81"/>
        <v>#VALUE!</v>
      </c>
      <c r="BQ208" s="116"/>
      <c r="BR208" s="117"/>
      <c r="BT208" s="277" t="e">
        <f>3*(BW218^2)*BX218/(8*BY218*BZ218)</f>
        <v>#VALUE!</v>
      </c>
      <c r="BU208" s="278"/>
      <c r="BV208" s="118" t="e">
        <f t="shared" si="87"/>
        <v>#VALUE!</v>
      </c>
      <c r="BW208" s="118" t="e">
        <f>BV208^3+BT202*BV208+BU202</f>
        <v>#VALUE!</v>
      </c>
      <c r="BX208" s="118" t="e">
        <f>3*BV208^2+BT202</f>
        <v>#VALUE!</v>
      </c>
      <c r="BY208" s="118" t="e">
        <f t="shared" si="82"/>
        <v>#VALUE!</v>
      </c>
      <c r="BZ208" s="116"/>
      <c r="CA208" s="117"/>
    </row>
    <row r="209" spans="36:79" ht="18" hidden="1" customHeight="1" x14ac:dyDescent="0.15">
      <c r="AJ209" s="121"/>
      <c r="AK209" s="122"/>
      <c r="AL209" s="118" t="e">
        <f t="shared" si="83"/>
        <v>#VALUE!</v>
      </c>
      <c r="AM209" s="118" t="e">
        <f>AL209^3+AJ202*AL209+AK202</f>
        <v>#VALUE!</v>
      </c>
      <c r="AN209" s="118" t="e">
        <f>3*AL209^2+AJ202</f>
        <v>#VALUE!</v>
      </c>
      <c r="AO209" s="118" t="e">
        <f t="shared" si="78"/>
        <v>#VALUE!</v>
      </c>
      <c r="AP209" s="119"/>
      <c r="AQ209" s="120"/>
      <c r="AS209" s="121"/>
      <c r="AT209" s="122"/>
      <c r="AU209" s="118" t="e">
        <f t="shared" si="84"/>
        <v>#VALUE!</v>
      </c>
      <c r="AV209" s="118" t="e">
        <f>AU209^3+AS202*AU209+AT202</f>
        <v>#VALUE!</v>
      </c>
      <c r="AW209" s="118" t="e">
        <f>3*AU209^2+AS202</f>
        <v>#VALUE!</v>
      </c>
      <c r="AX209" s="118" t="e">
        <f t="shared" si="79"/>
        <v>#VALUE!</v>
      </c>
      <c r="AY209" s="119"/>
      <c r="AZ209" s="120"/>
      <c r="BB209" s="121"/>
      <c r="BC209" s="122"/>
      <c r="BD209" s="118" t="e">
        <f t="shared" si="85"/>
        <v>#VALUE!</v>
      </c>
      <c r="BE209" s="118" t="e">
        <f>BD209^3+BB202*BD209+BC202</f>
        <v>#VALUE!</v>
      </c>
      <c r="BF209" s="118" t="e">
        <f>3*BD209^2+BB202</f>
        <v>#VALUE!</v>
      </c>
      <c r="BG209" s="118" t="e">
        <f t="shared" si="80"/>
        <v>#VALUE!</v>
      </c>
      <c r="BH209" s="119"/>
      <c r="BI209" s="120"/>
      <c r="BK209" s="121"/>
      <c r="BL209" s="122"/>
      <c r="BM209" s="118" t="e">
        <f t="shared" si="86"/>
        <v>#VALUE!</v>
      </c>
      <c r="BN209" s="118" t="e">
        <f>BM209^3+BK202*BM209+BL202</f>
        <v>#VALUE!</v>
      </c>
      <c r="BO209" s="118" t="e">
        <f>3*BM209^2+BK202</f>
        <v>#VALUE!</v>
      </c>
      <c r="BP209" s="118" t="e">
        <f t="shared" si="81"/>
        <v>#VALUE!</v>
      </c>
      <c r="BQ209" s="119"/>
      <c r="BR209" s="120"/>
      <c r="BT209" s="121"/>
      <c r="BU209" s="122"/>
      <c r="BV209" s="118" t="e">
        <f t="shared" si="87"/>
        <v>#VALUE!</v>
      </c>
      <c r="BW209" s="118" t="e">
        <f>BV209^3+BT202*BV209+BU202</f>
        <v>#VALUE!</v>
      </c>
      <c r="BX209" s="118" t="e">
        <f>3*BV209^2+BT202</f>
        <v>#VALUE!</v>
      </c>
      <c r="BY209" s="118" t="e">
        <f t="shared" si="82"/>
        <v>#VALUE!</v>
      </c>
      <c r="BZ209" s="119"/>
      <c r="CA209" s="120"/>
    </row>
    <row r="210" spans="36:79" ht="18" hidden="1" customHeight="1" x14ac:dyDescent="0.15">
      <c r="AJ210" s="269" t="s">
        <v>244</v>
      </c>
      <c r="AK210" s="270"/>
      <c r="AL210" s="118" t="e">
        <f t="shared" si="83"/>
        <v>#VALUE!</v>
      </c>
      <c r="AM210" s="118" t="e">
        <f>AL210^3+AJ202*AL210+AK202</f>
        <v>#VALUE!</v>
      </c>
      <c r="AN210" s="118" t="e">
        <f>3*AL210^2+AJ202</f>
        <v>#VALUE!</v>
      </c>
      <c r="AO210" s="118" t="e">
        <f t="shared" si="78"/>
        <v>#VALUE!</v>
      </c>
      <c r="AP210" s="14" t="s">
        <v>245</v>
      </c>
      <c r="AQ210" s="123" t="e">
        <f>AO216</f>
        <v>#VALUE!</v>
      </c>
      <c r="AS210" s="269" t="s">
        <v>244</v>
      </c>
      <c r="AT210" s="270"/>
      <c r="AU210" s="118" t="e">
        <f t="shared" si="84"/>
        <v>#VALUE!</v>
      </c>
      <c r="AV210" s="118" t="e">
        <f>AU210^3+AS202*AU210+AT202</f>
        <v>#VALUE!</v>
      </c>
      <c r="AW210" s="118" t="e">
        <f>3*AU210^2+AS202</f>
        <v>#VALUE!</v>
      </c>
      <c r="AX210" s="118" t="e">
        <f t="shared" si="79"/>
        <v>#VALUE!</v>
      </c>
      <c r="AY210" s="14" t="s">
        <v>245</v>
      </c>
      <c r="AZ210" s="123" t="e">
        <f>AX216</f>
        <v>#VALUE!</v>
      </c>
      <c r="BB210" s="269" t="s">
        <v>244</v>
      </c>
      <c r="BC210" s="270"/>
      <c r="BD210" s="118" t="e">
        <f t="shared" si="85"/>
        <v>#VALUE!</v>
      </c>
      <c r="BE210" s="118" t="e">
        <f>BD210^3+BB202*BD210+BC202</f>
        <v>#VALUE!</v>
      </c>
      <c r="BF210" s="118" t="e">
        <f>3*BD210^2+BB202</f>
        <v>#VALUE!</v>
      </c>
      <c r="BG210" s="118" t="e">
        <f t="shared" si="80"/>
        <v>#VALUE!</v>
      </c>
      <c r="BH210" s="14" t="s">
        <v>245</v>
      </c>
      <c r="BI210" s="123" t="e">
        <f>BG216</f>
        <v>#VALUE!</v>
      </c>
      <c r="BK210" s="269" t="s">
        <v>244</v>
      </c>
      <c r="BL210" s="270"/>
      <c r="BM210" s="118" t="e">
        <f t="shared" si="86"/>
        <v>#VALUE!</v>
      </c>
      <c r="BN210" s="118" t="e">
        <f>BM210^3+BK202*BM210+BL202</f>
        <v>#VALUE!</v>
      </c>
      <c r="BO210" s="118" t="e">
        <f>3*BM210^2+BK202</f>
        <v>#VALUE!</v>
      </c>
      <c r="BP210" s="118" t="e">
        <f t="shared" si="81"/>
        <v>#VALUE!</v>
      </c>
      <c r="BQ210" s="14" t="s">
        <v>245</v>
      </c>
      <c r="BR210" s="123" t="e">
        <f>BP216</f>
        <v>#VALUE!</v>
      </c>
      <c r="BT210" s="269" t="s">
        <v>244</v>
      </c>
      <c r="BU210" s="270"/>
      <c r="BV210" s="118" t="e">
        <f t="shared" si="87"/>
        <v>#VALUE!</v>
      </c>
      <c r="BW210" s="118" t="e">
        <f>BV210^3+BT202*BV210+BU202</f>
        <v>#VALUE!</v>
      </c>
      <c r="BX210" s="118" t="e">
        <f>3*BV210^2+BT202</f>
        <v>#VALUE!</v>
      </c>
      <c r="BY210" s="118" t="e">
        <f t="shared" si="82"/>
        <v>#VALUE!</v>
      </c>
      <c r="BZ210" s="14" t="s">
        <v>245</v>
      </c>
      <c r="CA210" s="123" t="e">
        <f>BY216</f>
        <v>#VALUE!</v>
      </c>
    </row>
    <row r="211" spans="36:79" ht="18" hidden="1" customHeight="1" x14ac:dyDescent="0.15">
      <c r="AJ211" s="271" t="e">
        <f>AJ208*AL218*AK218/AK218</f>
        <v>#VALUE!</v>
      </c>
      <c r="AK211" s="272"/>
      <c r="AL211" s="118" t="e">
        <f t="shared" si="83"/>
        <v>#VALUE!</v>
      </c>
      <c r="AM211" s="118" t="e">
        <f>AL211^3+AJ202*AL211+AK202</f>
        <v>#VALUE!</v>
      </c>
      <c r="AN211" s="118" t="e">
        <f>3*AL211^2+AJ202</f>
        <v>#VALUE!</v>
      </c>
      <c r="AO211" s="118" t="e">
        <f t="shared" si="78"/>
        <v>#VALUE!</v>
      </c>
      <c r="AP211" s="14" t="s">
        <v>246</v>
      </c>
      <c r="AQ211" s="124" t="e">
        <f>IF(AQ220=1,0,AK218*AM218^2/(8*AO216))</f>
        <v>#VALUE!</v>
      </c>
      <c r="AS211" s="271" t="e">
        <f>AS208*AU218*AT218/AT218</f>
        <v>#VALUE!</v>
      </c>
      <c r="AT211" s="272"/>
      <c r="AU211" s="118" t="e">
        <f t="shared" si="84"/>
        <v>#VALUE!</v>
      </c>
      <c r="AV211" s="118" t="e">
        <f>AU211^3+AS202*AU211+AT202</f>
        <v>#VALUE!</v>
      </c>
      <c r="AW211" s="118" t="e">
        <f>3*AU211^2+AS202</f>
        <v>#VALUE!</v>
      </c>
      <c r="AX211" s="118" t="e">
        <f t="shared" si="79"/>
        <v>#VALUE!</v>
      </c>
      <c r="AY211" s="14" t="s">
        <v>246</v>
      </c>
      <c r="AZ211" s="124">
        <f>IF(OR(B24="",B24="---〃---"),0,IF(OR(AZ220=1,AZ221=1,AZ222=1,AZ223=1,AZ224=1,AZ225=1),0,AT218*AV218^2/(8*AX216)))</f>
        <v>0</v>
      </c>
      <c r="BB211" s="271" t="e">
        <f>BB208*BD218*BC218/BC218</f>
        <v>#VALUE!</v>
      </c>
      <c r="BC211" s="272"/>
      <c r="BD211" s="118" t="e">
        <f t="shared" si="85"/>
        <v>#VALUE!</v>
      </c>
      <c r="BE211" s="118" t="e">
        <f>BD211^3+BB202*BD211+BC202</f>
        <v>#VALUE!</v>
      </c>
      <c r="BF211" s="118" t="e">
        <f>3*BD211^2+BB202</f>
        <v>#VALUE!</v>
      </c>
      <c r="BG211" s="118" t="e">
        <f t="shared" si="80"/>
        <v>#VALUE!</v>
      </c>
      <c r="BH211" s="14" t="s">
        <v>246</v>
      </c>
      <c r="BI211" s="124">
        <f>IF(OR(B25="",B25="---〃---"),0,IF(OR(BI220=1,BI221=1,BI222=1,BI223=1,BI224=1),0,BC218*BE218^2/(8*BG216)))</f>
        <v>0</v>
      </c>
      <c r="BK211" s="271" t="e">
        <f>BK208*BM218*BL218/BL218</f>
        <v>#VALUE!</v>
      </c>
      <c r="BL211" s="272"/>
      <c r="BM211" s="118" t="e">
        <f t="shared" si="86"/>
        <v>#VALUE!</v>
      </c>
      <c r="BN211" s="118" t="e">
        <f>BM211^3+BK202*BM211+BL202</f>
        <v>#VALUE!</v>
      </c>
      <c r="BO211" s="118" t="e">
        <f>3*BM211^2+BK202</f>
        <v>#VALUE!</v>
      </c>
      <c r="BP211" s="118" t="e">
        <f t="shared" si="81"/>
        <v>#VALUE!</v>
      </c>
      <c r="BQ211" s="14" t="s">
        <v>246</v>
      </c>
      <c r="BR211" s="124">
        <f>IF(OR(B26="",B26="---〃---"),0,IF(OR(BR220=1,BR221=1,BR222=1,BR223=1),0,BL218*BN218^2/(8*BP216)))</f>
        <v>0</v>
      </c>
      <c r="BT211" s="271" t="e">
        <f>BT208*BV218*BU218/BU218</f>
        <v>#VALUE!</v>
      </c>
      <c r="BU211" s="272"/>
      <c r="BV211" s="118" t="e">
        <f t="shared" si="87"/>
        <v>#VALUE!</v>
      </c>
      <c r="BW211" s="118" t="e">
        <f>BV211^3+BT202*BV211+BU202</f>
        <v>#VALUE!</v>
      </c>
      <c r="BX211" s="118" t="e">
        <f>3*BV211^2+BT202</f>
        <v>#VALUE!</v>
      </c>
      <c r="BY211" s="118" t="e">
        <f t="shared" si="82"/>
        <v>#VALUE!</v>
      </c>
      <c r="BZ211" s="14" t="s">
        <v>246</v>
      </c>
      <c r="CA211" s="124">
        <f>IF(OR(B27="",B27="---〃---"),0,IF(OR(CA220=1,CA221=1,CA222=1),0,BU218*BW218^2/(8*BY216)))</f>
        <v>0</v>
      </c>
    </row>
    <row r="212" spans="36:79" ht="18" hidden="1" customHeight="1" x14ac:dyDescent="0.15">
      <c r="AJ212" s="125"/>
      <c r="AK212" s="126"/>
      <c r="AL212" s="118" t="e">
        <f t="shared" si="83"/>
        <v>#VALUE!</v>
      </c>
      <c r="AM212" s="118" t="e">
        <f>AL212^3+AJ202*AL212+AK202</f>
        <v>#VALUE!</v>
      </c>
      <c r="AN212" s="118" t="e">
        <f>3*AL212^2+AJ202</f>
        <v>#VALUE!</v>
      </c>
      <c r="AO212" s="118" t="e">
        <f t="shared" si="78"/>
        <v>#VALUE!</v>
      </c>
      <c r="AP212" s="116"/>
      <c r="AQ212" s="117"/>
      <c r="AS212" s="125"/>
      <c r="AT212" s="126"/>
      <c r="AU212" s="118" t="e">
        <f t="shared" si="84"/>
        <v>#VALUE!</v>
      </c>
      <c r="AV212" s="118" t="e">
        <f>AU212^3+AS202*AU212+AT202</f>
        <v>#VALUE!</v>
      </c>
      <c r="AW212" s="118" t="e">
        <f>3*AU212^2+AS202</f>
        <v>#VALUE!</v>
      </c>
      <c r="AX212" s="118" t="e">
        <f t="shared" si="79"/>
        <v>#VALUE!</v>
      </c>
      <c r="AY212" s="116"/>
      <c r="AZ212" s="117"/>
      <c r="BB212" s="125"/>
      <c r="BC212" s="126"/>
      <c r="BD212" s="118" t="e">
        <f t="shared" si="85"/>
        <v>#VALUE!</v>
      </c>
      <c r="BE212" s="118" t="e">
        <f>BD212^3+BB202*BD212+BC202</f>
        <v>#VALUE!</v>
      </c>
      <c r="BF212" s="118" t="e">
        <f>3*BD212^2+BB202</f>
        <v>#VALUE!</v>
      </c>
      <c r="BG212" s="118" t="e">
        <f t="shared" si="80"/>
        <v>#VALUE!</v>
      </c>
      <c r="BH212" s="116"/>
      <c r="BI212" s="117"/>
      <c r="BK212" s="125"/>
      <c r="BL212" s="126"/>
      <c r="BM212" s="118" t="e">
        <f t="shared" si="86"/>
        <v>#VALUE!</v>
      </c>
      <c r="BN212" s="118" t="e">
        <f>BM212^3+BK202*BM212+BL202</f>
        <v>#VALUE!</v>
      </c>
      <c r="BO212" s="118" t="e">
        <f>3*BM212^2+BK202</f>
        <v>#VALUE!</v>
      </c>
      <c r="BP212" s="118" t="e">
        <f t="shared" si="81"/>
        <v>#VALUE!</v>
      </c>
      <c r="BQ212" s="116"/>
      <c r="BR212" s="117"/>
      <c r="BT212" s="125"/>
      <c r="BU212" s="126"/>
      <c r="BV212" s="118" t="e">
        <f t="shared" si="87"/>
        <v>#VALUE!</v>
      </c>
      <c r="BW212" s="118" t="e">
        <f>BV212^3+BT202*BV212+BU202</f>
        <v>#VALUE!</v>
      </c>
      <c r="BX212" s="118" t="e">
        <f>3*BV212^2+BT202</f>
        <v>#VALUE!</v>
      </c>
      <c r="BY212" s="118" t="e">
        <f t="shared" si="82"/>
        <v>#VALUE!</v>
      </c>
      <c r="BZ212" s="116"/>
      <c r="CA212" s="117"/>
    </row>
    <row r="213" spans="36:79" ht="18" hidden="1" customHeight="1" x14ac:dyDescent="0.15">
      <c r="AJ213" s="125"/>
      <c r="AK213" s="126"/>
      <c r="AL213" s="118" t="e">
        <f t="shared" si="83"/>
        <v>#VALUE!</v>
      </c>
      <c r="AM213" s="118" t="e">
        <f>AL213^3+AJ202*AL213+AK202</f>
        <v>#VALUE!</v>
      </c>
      <c r="AN213" s="118" t="e">
        <f>3*AL213^2+AJ202</f>
        <v>#VALUE!</v>
      </c>
      <c r="AO213" s="118" t="e">
        <f t="shared" si="78"/>
        <v>#VALUE!</v>
      </c>
      <c r="AP213" s="112" t="s">
        <v>147</v>
      </c>
      <c r="AQ213" s="113">
        <v>90</v>
      </c>
      <c r="AS213" s="125"/>
      <c r="AT213" s="126"/>
      <c r="AU213" s="118" t="e">
        <f t="shared" si="84"/>
        <v>#VALUE!</v>
      </c>
      <c r="AV213" s="118" t="e">
        <f>AU213^3+AS202*AU213+AT202</f>
        <v>#VALUE!</v>
      </c>
      <c r="AW213" s="118" t="e">
        <f>3*AU213^2+AS202</f>
        <v>#VALUE!</v>
      </c>
      <c r="AX213" s="118" t="e">
        <f t="shared" si="79"/>
        <v>#VALUE!</v>
      </c>
      <c r="AY213" s="112" t="s">
        <v>147</v>
      </c>
      <c r="AZ213" s="113">
        <v>90</v>
      </c>
      <c r="BB213" s="125"/>
      <c r="BC213" s="126"/>
      <c r="BD213" s="118" t="e">
        <f t="shared" si="85"/>
        <v>#VALUE!</v>
      </c>
      <c r="BE213" s="118" t="e">
        <f>BD213^3+BB202*BD213+BC202</f>
        <v>#VALUE!</v>
      </c>
      <c r="BF213" s="118" t="e">
        <f>3*BD213^2+BB202</f>
        <v>#VALUE!</v>
      </c>
      <c r="BG213" s="118" t="e">
        <f t="shared" si="80"/>
        <v>#VALUE!</v>
      </c>
      <c r="BH213" s="112" t="s">
        <v>147</v>
      </c>
      <c r="BI213" s="113">
        <v>90</v>
      </c>
      <c r="BK213" s="125"/>
      <c r="BL213" s="126"/>
      <c r="BM213" s="118" t="e">
        <f t="shared" si="86"/>
        <v>#VALUE!</v>
      </c>
      <c r="BN213" s="118" t="e">
        <f>BM213^3+BK202*BM213+BL202</f>
        <v>#VALUE!</v>
      </c>
      <c r="BO213" s="118" t="e">
        <f>3*BM213^2+BK202</f>
        <v>#VALUE!</v>
      </c>
      <c r="BP213" s="118" t="e">
        <f t="shared" si="81"/>
        <v>#VALUE!</v>
      </c>
      <c r="BQ213" s="112" t="s">
        <v>147</v>
      </c>
      <c r="BR213" s="113">
        <v>90</v>
      </c>
      <c r="BT213" s="125"/>
      <c r="BU213" s="126"/>
      <c r="BV213" s="118" t="e">
        <f t="shared" si="87"/>
        <v>#VALUE!</v>
      </c>
      <c r="BW213" s="118" t="e">
        <f>BV213^3+BT202*BV213+BU202</f>
        <v>#VALUE!</v>
      </c>
      <c r="BX213" s="118" t="e">
        <f>3*BV213^2+BT202</f>
        <v>#VALUE!</v>
      </c>
      <c r="BY213" s="118" t="e">
        <f t="shared" si="82"/>
        <v>#VALUE!</v>
      </c>
      <c r="BZ213" s="112" t="s">
        <v>147</v>
      </c>
      <c r="CA213" s="113">
        <v>90</v>
      </c>
    </row>
    <row r="214" spans="36:79" ht="18" hidden="1" customHeight="1" x14ac:dyDescent="0.15">
      <c r="AJ214" s="125"/>
      <c r="AK214" s="126"/>
      <c r="AL214" s="118" t="e">
        <f t="shared" si="83"/>
        <v>#VALUE!</v>
      </c>
      <c r="AM214" s="118" t="e">
        <f>AL214^3+AJ202*AL214+AK202</f>
        <v>#VALUE!</v>
      </c>
      <c r="AN214" s="118" t="e">
        <f>3*AL214^2+AJ202</f>
        <v>#VALUE!</v>
      </c>
      <c r="AO214" s="118" t="e">
        <f t="shared" si="78"/>
        <v>#VALUE!</v>
      </c>
      <c r="AP214" s="128" t="s">
        <v>218</v>
      </c>
      <c r="AQ214" s="32"/>
      <c r="AS214" s="125"/>
      <c r="AT214" s="126"/>
      <c r="AU214" s="118" t="e">
        <f t="shared" si="84"/>
        <v>#VALUE!</v>
      </c>
      <c r="AV214" s="118" t="e">
        <f>AU214^3+AS202*AU214+AT202</f>
        <v>#VALUE!</v>
      </c>
      <c r="AW214" s="118" t="e">
        <f>3*AU214^2+AS202</f>
        <v>#VALUE!</v>
      </c>
      <c r="AX214" s="118" t="e">
        <f t="shared" si="79"/>
        <v>#VALUE!</v>
      </c>
      <c r="AY214" s="128" t="s">
        <v>219</v>
      </c>
      <c r="AZ214" s="32"/>
      <c r="BB214" s="125"/>
      <c r="BC214" s="126"/>
      <c r="BD214" s="118" t="e">
        <f t="shared" si="85"/>
        <v>#VALUE!</v>
      </c>
      <c r="BE214" s="118" t="e">
        <f>BD214^3+BB202*BD214+BC202</f>
        <v>#VALUE!</v>
      </c>
      <c r="BF214" s="118" t="e">
        <f>3*BD214^2+BB202</f>
        <v>#VALUE!</v>
      </c>
      <c r="BG214" s="118" t="e">
        <f t="shared" si="80"/>
        <v>#VALUE!</v>
      </c>
      <c r="BH214" s="128" t="s">
        <v>220</v>
      </c>
      <c r="BI214" s="32"/>
      <c r="BK214" s="125"/>
      <c r="BL214" s="126"/>
      <c r="BM214" s="118" t="e">
        <f t="shared" si="86"/>
        <v>#VALUE!</v>
      </c>
      <c r="BN214" s="118" t="e">
        <f>BM214^3+BK202*BM214+BL202</f>
        <v>#VALUE!</v>
      </c>
      <c r="BO214" s="118" t="e">
        <f>3*BM214^2+BK202</f>
        <v>#VALUE!</v>
      </c>
      <c r="BP214" s="118" t="e">
        <f t="shared" si="81"/>
        <v>#VALUE!</v>
      </c>
      <c r="BQ214" s="128" t="s">
        <v>221</v>
      </c>
      <c r="BR214" s="32"/>
      <c r="BT214" s="125"/>
      <c r="BU214" s="126"/>
      <c r="BV214" s="118" t="e">
        <f t="shared" si="87"/>
        <v>#VALUE!</v>
      </c>
      <c r="BW214" s="118" t="e">
        <f>BV214^3+BT202*BV214+BU202</f>
        <v>#VALUE!</v>
      </c>
      <c r="BX214" s="118" t="e">
        <f>3*BV214^2+BT202</f>
        <v>#VALUE!</v>
      </c>
      <c r="BY214" s="118" t="e">
        <f t="shared" si="82"/>
        <v>#VALUE!</v>
      </c>
      <c r="BZ214" s="128" t="s">
        <v>222</v>
      </c>
      <c r="CA214" s="32"/>
    </row>
    <row r="215" spans="36:79" ht="18" hidden="1" customHeight="1" x14ac:dyDescent="0.15">
      <c r="AJ215" s="125"/>
      <c r="AK215" s="126"/>
      <c r="AL215" s="18" t="e">
        <f t="shared" si="83"/>
        <v>#VALUE!</v>
      </c>
      <c r="AM215" s="18" t="e">
        <f>AL215^3+AJ202*AL215+AK202</f>
        <v>#VALUE!</v>
      </c>
      <c r="AN215" s="18" t="e">
        <f>3*AL215^2+AJ202</f>
        <v>#VALUE!</v>
      </c>
      <c r="AO215" s="18" t="e">
        <f t="shared" si="78"/>
        <v>#VALUE!</v>
      </c>
      <c r="AP215" s="273" t="str">
        <f>M58</f>
        <v>無 風 時　90[℃]</v>
      </c>
      <c r="AQ215" s="274"/>
      <c r="AS215" s="125"/>
      <c r="AT215" s="126"/>
      <c r="AU215" s="18" t="e">
        <f t="shared" si="84"/>
        <v>#VALUE!</v>
      </c>
      <c r="AV215" s="18" t="e">
        <f>AU215^3+AS202*AU215+AT202</f>
        <v>#VALUE!</v>
      </c>
      <c r="AW215" s="18" t="e">
        <f>3*AU215^2+AS202</f>
        <v>#VALUE!</v>
      </c>
      <c r="AX215" s="18" t="e">
        <f t="shared" si="79"/>
        <v>#VALUE!</v>
      </c>
      <c r="AY215" s="273" t="str">
        <f>M58</f>
        <v>無 風 時　90[℃]</v>
      </c>
      <c r="AZ215" s="274"/>
      <c r="BB215" s="125"/>
      <c r="BC215" s="126"/>
      <c r="BD215" s="18" t="e">
        <f t="shared" si="85"/>
        <v>#VALUE!</v>
      </c>
      <c r="BE215" s="18" t="e">
        <f>BD215^3+BB202*BD215+BC202</f>
        <v>#VALUE!</v>
      </c>
      <c r="BF215" s="18" t="e">
        <f>3*BD215^2+BB202</f>
        <v>#VALUE!</v>
      </c>
      <c r="BG215" s="18" t="e">
        <f t="shared" si="80"/>
        <v>#VALUE!</v>
      </c>
      <c r="BH215" s="273" t="str">
        <f>M58</f>
        <v>無 風 時　90[℃]</v>
      </c>
      <c r="BI215" s="274"/>
      <c r="BK215" s="125"/>
      <c r="BL215" s="126"/>
      <c r="BM215" s="18" t="e">
        <f t="shared" si="86"/>
        <v>#VALUE!</v>
      </c>
      <c r="BN215" s="18" t="e">
        <f>BM215^3+BK202*BM215+BL202</f>
        <v>#VALUE!</v>
      </c>
      <c r="BO215" s="18" t="e">
        <f>3*BM215^2+BK202</f>
        <v>#VALUE!</v>
      </c>
      <c r="BP215" s="18" t="e">
        <f t="shared" si="81"/>
        <v>#VALUE!</v>
      </c>
      <c r="BQ215" s="273" t="str">
        <f>M58</f>
        <v>無 風 時　90[℃]</v>
      </c>
      <c r="BR215" s="274"/>
      <c r="BT215" s="125"/>
      <c r="BU215" s="126"/>
      <c r="BV215" s="18" t="e">
        <f t="shared" si="87"/>
        <v>#VALUE!</v>
      </c>
      <c r="BW215" s="18" t="e">
        <f>BV215^3+BT202*BV215+BU202</f>
        <v>#VALUE!</v>
      </c>
      <c r="BX215" s="18" t="e">
        <f>3*BV215^2+BT202</f>
        <v>#VALUE!</v>
      </c>
      <c r="BY215" s="18" t="e">
        <f t="shared" si="82"/>
        <v>#VALUE!</v>
      </c>
      <c r="BZ215" s="273" t="str">
        <f>M58</f>
        <v>無 風 時　90[℃]</v>
      </c>
      <c r="CA215" s="274"/>
    </row>
    <row r="216" spans="36:79" ht="18" hidden="1" customHeight="1" thickBot="1" x14ac:dyDescent="0.2">
      <c r="AJ216" s="125"/>
      <c r="AK216" s="126"/>
      <c r="AL216" s="114" t="e">
        <f t="shared" si="83"/>
        <v>#VALUE!</v>
      </c>
      <c r="AM216" s="115" t="e">
        <f>AL216^3+AJ202*AL216+AK202</f>
        <v>#VALUE!</v>
      </c>
      <c r="AN216" s="115" t="e">
        <f>3*AL216^2+AJ202</f>
        <v>#VALUE!</v>
      </c>
      <c r="AO216" s="115" t="e">
        <f t="shared" si="78"/>
        <v>#VALUE!</v>
      </c>
      <c r="AP216" s="275"/>
      <c r="AQ216" s="276"/>
      <c r="AS216" s="125"/>
      <c r="AT216" s="126"/>
      <c r="AU216" s="114" t="e">
        <f t="shared" si="84"/>
        <v>#VALUE!</v>
      </c>
      <c r="AV216" s="115" t="e">
        <f>AU216^3+AS202*AU216+AT202</f>
        <v>#VALUE!</v>
      </c>
      <c r="AW216" s="115" t="e">
        <f>3*AU216^2+AS202</f>
        <v>#VALUE!</v>
      </c>
      <c r="AX216" s="115" t="e">
        <f t="shared" si="79"/>
        <v>#VALUE!</v>
      </c>
      <c r="AY216" s="275"/>
      <c r="AZ216" s="276"/>
      <c r="BB216" s="125"/>
      <c r="BC216" s="126"/>
      <c r="BD216" s="114" t="e">
        <f t="shared" si="85"/>
        <v>#VALUE!</v>
      </c>
      <c r="BE216" s="115" t="e">
        <f>BD216^3+BB202*BD216+BC202</f>
        <v>#VALUE!</v>
      </c>
      <c r="BF216" s="115" t="e">
        <f>3*BD216^2+BB202</f>
        <v>#VALUE!</v>
      </c>
      <c r="BG216" s="115" t="e">
        <f t="shared" si="80"/>
        <v>#VALUE!</v>
      </c>
      <c r="BH216" s="275"/>
      <c r="BI216" s="276"/>
      <c r="BK216" s="125"/>
      <c r="BL216" s="126"/>
      <c r="BM216" s="114" t="e">
        <f t="shared" si="86"/>
        <v>#VALUE!</v>
      </c>
      <c r="BN216" s="115" t="e">
        <f>BM216^3+BK202*BM216+BL202</f>
        <v>#VALUE!</v>
      </c>
      <c r="BO216" s="115" t="e">
        <f>3*BM216^2+BK202</f>
        <v>#VALUE!</v>
      </c>
      <c r="BP216" s="115" t="e">
        <f t="shared" si="81"/>
        <v>#VALUE!</v>
      </c>
      <c r="BQ216" s="275"/>
      <c r="BR216" s="276"/>
      <c r="BT216" s="125"/>
      <c r="BU216" s="126"/>
      <c r="BV216" s="114" t="e">
        <f t="shared" si="87"/>
        <v>#VALUE!</v>
      </c>
      <c r="BW216" s="115" t="e">
        <f>BV216^3+BT202*BV216+BU202</f>
        <v>#VALUE!</v>
      </c>
      <c r="BX216" s="115" t="e">
        <f>3*BV216^2+BT202</f>
        <v>#VALUE!</v>
      </c>
      <c r="BY216" s="115" t="e">
        <f t="shared" si="82"/>
        <v>#VALUE!</v>
      </c>
      <c r="BZ216" s="275"/>
      <c r="CA216" s="276"/>
    </row>
    <row r="217" spans="36:79" ht="18" hidden="1" customHeight="1" x14ac:dyDescent="0.15">
      <c r="AJ217" s="62"/>
      <c r="AK217" s="12" t="s">
        <v>224</v>
      </c>
      <c r="AL217" s="12" t="s">
        <v>225</v>
      </c>
      <c r="AM217" s="12" t="s">
        <v>226</v>
      </c>
      <c r="AN217" s="12" t="s">
        <v>227</v>
      </c>
      <c r="AO217" s="63" t="s">
        <v>228</v>
      </c>
      <c r="AP217" s="12" t="s">
        <v>229</v>
      </c>
      <c r="AQ217" s="13" t="s">
        <v>230</v>
      </c>
      <c r="AS217" s="62"/>
      <c r="AT217" s="12" t="s">
        <v>224</v>
      </c>
      <c r="AU217" s="12" t="s">
        <v>225</v>
      </c>
      <c r="AV217" s="12" t="s">
        <v>226</v>
      </c>
      <c r="AW217" s="12" t="s">
        <v>227</v>
      </c>
      <c r="AX217" s="63" t="s">
        <v>228</v>
      </c>
      <c r="AY217" s="12" t="s">
        <v>229</v>
      </c>
      <c r="AZ217" s="13" t="s">
        <v>230</v>
      </c>
      <c r="BB217" s="62"/>
      <c r="BC217" s="12" t="s">
        <v>224</v>
      </c>
      <c r="BD217" s="12" t="s">
        <v>225</v>
      </c>
      <c r="BE217" s="12" t="s">
        <v>226</v>
      </c>
      <c r="BF217" s="12" t="s">
        <v>227</v>
      </c>
      <c r="BG217" s="63" t="s">
        <v>228</v>
      </c>
      <c r="BH217" s="12" t="s">
        <v>229</v>
      </c>
      <c r="BI217" s="13" t="s">
        <v>230</v>
      </c>
      <c r="BK217" s="62"/>
      <c r="BL217" s="12" t="s">
        <v>224</v>
      </c>
      <c r="BM217" s="12" t="s">
        <v>225</v>
      </c>
      <c r="BN217" s="12" t="s">
        <v>226</v>
      </c>
      <c r="BO217" s="12" t="s">
        <v>227</v>
      </c>
      <c r="BP217" s="63" t="s">
        <v>228</v>
      </c>
      <c r="BQ217" s="12" t="s">
        <v>229</v>
      </c>
      <c r="BR217" s="13" t="s">
        <v>230</v>
      </c>
      <c r="BT217" s="62"/>
      <c r="BU217" s="12" t="s">
        <v>224</v>
      </c>
      <c r="BV217" s="12" t="s">
        <v>225</v>
      </c>
      <c r="BW217" s="12" t="s">
        <v>226</v>
      </c>
      <c r="BX217" s="12" t="s">
        <v>227</v>
      </c>
      <c r="BY217" s="63" t="s">
        <v>228</v>
      </c>
      <c r="BZ217" s="12" t="s">
        <v>229</v>
      </c>
      <c r="CA217" s="13" t="s">
        <v>230</v>
      </c>
    </row>
    <row r="218" spans="36:79" ht="30.75" hidden="1" customHeight="1" thickBot="1" x14ac:dyDescent="0.2">
      <c r="AJ218" s="107"/>
      <c r="AK218" s="108" t="e">
        <f>M23+U23</f>
        <v>#VALUE!</v>
      </c>
      <c r="AL218" s="108">
        <f>IF(C33="",L19*(F19/40)^2,C33)</f>
        <v>0</v>
      </c>
      <c r="AM218" s="108">
        <f>F19</f>
        <v>0</v>
      </c>
      <c r="AN218" s="108" t="e">
        <f>AK78*1600/(8*L19)</f>
        <v>#VALUE!</v>
      </c>
      <c r="AO218" s="109">
        <f>V23</f>
        <v>0</v>
      </c>
      <c r="AP218" s="108" t="str">
        <f>L23</f>
        <v/>
      </c>
      <c r="AQ218" s="110">
        <f>W23</f>
        <v>0</v>
      </c>
      <c r="AS218" s="107"/>
      <c r="AT218" s="108" t="str">
        <f>IF(B24="使用電線-2",M24+U24,IF(B25="使用電線-2",M25+U25,IF(B26="使用電線-2",M26+U26,IF(B27="使用電線-2",M27+U27,IF(B28="使用電線-2",M28+U28,IF(B29="使用電線-2",M29+U29,""))))))</f>
        <v/>
      </c>
      <c r="AU218" s="108">
        <f>IF(I33="",L19*(F19/40)^2,I33)</f>
        <v>0</v>
      </c>
      <c r="AV218" s="108">
        <f>F19</f>
        <v>0</v>
      </c>
      <c r="AW218" s="108" t="e">
        <f>AT218*1600/(8*L19)</f>
        <v>#VALUE!</v>
      </c>
      <c r="AX218" s="109" t="str">
        <f>IF(B24="使用電線-2",V24,IF(B25="使用電線-2",V25,IF(B26="使用電線-2",V26,IF(B27="使用電線-2",V27,IF(B28="使用電線-2",V28,IF(B29="使用電線-2",V29,""))))))</f>
        <v/>
      </c>
      <c r="AY218" s="108" t="str">
        <f>IF(B24="使用電線-2",L24,IF(B25="使用電線-2",L25,IF(B26="使用電線-2",L26,IF(B27="使用電線-2",L27,IF(B28="使用電線-2",L28,IF(B29="使用電線-2",L29,""))))))</f>
        <v/>
      </c>
      <c r="AZ218" s="110" t="str">
        <f>IF(B24="使用電線-2",W24,IF(B25="使用電線-2",W25,IF(B26="使用電線-2",W26,IF(B27="使用電線-2",W27,IF(B28="使用電線-2",W28,IF(B29="使用電線-2",W29,""))))))</f>
        <v/>
      </c>
      <c r="BB218" s="107"/>
      <c r="BC218" s="108" t="str">
        <f>IF(B25="使用電線-3",M25+U25,IF(B26="使用電線-3",M26+U26,IF(B27="使用電線-3",M27+U27,IF(B28="使用電線-3",M28+U28,IF(B29="使用電線-3",M29+U29,"")))))</f>
        <v/>
      </c>
      <c r="BD218" s="108">
        <f>IF(N33="",L19*(F19/40)^2,N33)</f>
        <v>0</v>
      </c>
      <c r="BE218" s="108">
        <f>F19</f>
        <v>0</v>
      </c>
      <c r="BF218" s="108" t="e">
        <f>BC218*1600/(8*L19)</f>
        <v>#VALUE!</v>
      </c>
      <c r="BG218" s="109" t="str">
        <f>IF(B25="使用電線-3",V25,IF(B26="使用電線-3",V26,IF(B27="使用電線-3",V27,IF(B28="使用電線-3",V28,IF(B29="使用電線-3",V29,"")))))</f>
        <v/>
      </c>
      <c r="BH218" s="108" t="str">
        <f>IF(B25="使用電線-3",L25,IF(B26="使用電線-3",L26,IF(B27="使用電線-3",L27,IF(B28="使用電線-3",L28,IF(B29="使用電線-3",L29,"")))))</f>
        <v/>
      </c>
      <c r="BI218" s="110" t="str">
        <f>IF(B25="使用電線-3",W25,IF(B26="使用電線-3",W26,IF(B27="使用電線-3",W27,IF(B28="使用電線-3",W28,IF(B29="使用電線-3",W29,"")))))</f>
        <v/>
      </c>
      <c r="BK218" s="107"/>
      <c r="BL218" s="108" t="str">
        <f>IF(B26="使用電線-4",M26+U26,IF(B27="使用電線-4",M27+U27,IF(B28="使用電線-4",M28+U28,IF(B29="使用電線-4",M29+U29,""))))</f>
        <v/>
      </c>
      <c r="BM218" s="108">
        <f>IF(C47="",L19*(F19/40)^2,C47)</f>
        <v>0</v>
      </c>
      <c r="BN218" s="108">
        <f>F19</f>
        <v>0</v>
      </c>
      <c r="BO218" s="127" t="e">
        <f>BL218*1600/(8*L19)</f>
        <v>#VALUE!</v>
      </c>
      <c r="BP218" s="109" t="str">
        <f>IF(B26="使用電線-4",V26,IF(B27="使用電線-4",V27,IF(B28="使用電線-4",V28,IF(B29="使用電線-4",V29,""))))</f>
        <v/>
      </c>
      <c r="BQ218" s="108" t="str">
        <f>IF(B26="使用電線-4",L26,IF(B27="使用電線-4",L27,IF(B28="使用電線-4",L28,IF(B29="使用電線-4",L29,""))))</f>
        <v/>
      </c>
      <c r="BR218" s="110" t="str">
        <f>IF(B26="使用電線-4",W26,IF(B27="使用電線-4",W27,IF(B28="使用電線-4",W28,IF(B29="使用電線-4",W29,""))))</f>
        <v/>
      </c>
      <c r="BT218" s="107"/>
      <c r="BU218" s="108" t="str">
        <f>IF(B27="使用電線-5",M27+U27,IF(B28="使用電線-5",M28+U28,IF(B29="使用電線-5",M29+U29,"")))</f>
        <v/>
      </c>
      <c r="BV218" s="108">
        <f>IF(I47="",L19*(F19/40)^2,I47)</f>
        <v>0</v>
      </c>
      <c r="BW218" s="108">
        <f>F19</f>
        <v>0</v>
      </c>
      <c r="BX218" s="127" t="e">
        <f>BU218*1600/(8*L19)</f>
        <v>#VALUE!</v>
      </c>
      <c r="BY218" s="109" t="str">
        <f>IF(B27="使用電線-5",V27,IF(B28="使用電線-5",V28,IF(B29="使用電線-5",V29,"")))</f>
        <v/>
      </c>
      <c r="BZ218" s="108" t="str">
        <f>IF(B27="使用電線-5",L27,IF(B28="使用電線-5",L28,IF(B29="使用電線-5",L29,"")))</f>
        <v/>
      </c>
      <c r="CA218" s="110" t="str">
        <f>IF(B27="使用電線-5",W27,IF(B28="使用電線-5",W28,IF(B29="使用電線-5",W29,"")))</f>
        <v/>
      </c>
    </row>
    <row r="219" spans="36:79" ht="33.75" hidden="1" customHeight="1" x14ac:dyDescent="0.15"/>
    <row r="220" spans="36:79" ht="38.25" hidden="1" customHeight="1" x14ac:dyDescent="0.15">
      <c r="AQ220" s="166">
        <f>IF(B23="",0,IF(AND(B23="使用電線-1",OR(D23=AF3,AND(VALUE(LEFT(D23,2))&gt;13,VALUE(LEFT(D23,2))&lt;26))),1,0))</f>
        <v>0</v>
      </c>
      <c r="AZ220" s="166">
        <f>IF(B24="",0,IF(AND(B24="使用電線-2",OR(D24=AF3,AND(VALUE(LEFT(D24,2))&gt;13,VALUE(LEFT(D24,2))&lt;26))),1,0))</f>
        <v>0</v>
      </c>
      <c r="BI220" s="166">
        <f>IF(B25="",0,IF(AND(B25="使用電線-3",OR(D25=AF3,AND(VALUE(LEFT(D25,2))&gt;13,VALUE(LEFT(D25,2))&lt;26))),1,0))</f>
        <v>0</v>
      </c>
      <c r="BR220" s="166">
        <f>IF(B26="",0,IF(AND(B26="使用電線-4",OR(D26=AF3,AND(VALUE(LEFT(D26,2))&gt;13,VALUE(LEFT(D26,2))&lt;26))),1,0))</f>
        <v>0</v>
      </c>
      <c r="CA220" s="166">
        <f>IF(B27="",0,IF(AND(B27="使用電線-5",OR(D27=AF3,AND(VALUE(LEFT(D27,2))&gt;13,VALUE(LEFT(D27,2))&lt;26))),1,0))</f>
        <v>0</v>
      </c>
    </row>
    <row r="221" spans="36:79" ht="57.75" hidden="1" customHeight="1" x14ac:dyDescent="0.15">
      <c r="AZ221" s="166">
        <f>IF(B25="",0,IF(AND(B25="使用電線-2",OR(D25=AF3,AND(VALUE(LEFT(D25,2))&gt;13,VALUE(LEFT(D25,2))&lt;26))),1,0))</f>
        <v>0</v>
      </c>
      <c r="BI221" s="166">
        <f>IF(B26="",0,IF(AND(B26="使用電線-3",OR(D26=AF3,AND(VALUE(LEFT(D26,2))&gt;13,VALUE(LEFT(D26,2))&lt;26))),1,0))</f>
        <v>0</v>
      </c>
      <c r="BR221" s="166">
        <f>IF(B27="",0,IF(AND(B27="使用電線-4",OR(D27=AF3,AND(VALUE(LEFT(D27,2))&gt;13,VALUE(LEFT(D27,2))&lt;26))),1,0))</f>
        <v>0</v>
      </c>
      <c r="CA221" s="166">
        <f>IF(B28="",0,IF(AND(B28="使用電線-5",OR(D28=AF3,AND(VALUE(LEFT(D28,2))&gt;13,VALUE(LEFT(D28,2))&lt;26))),1,0))</f>
        <v>0</v>
      </c>
    </row>
    <row r="222" spans="36:79" ht="36" hidden="1" customHeight="1" x14ac:dyDescent="0.15">
      <c r="AZ222" s="166">
        <f>IF(B26="",0,IF(AND(B26="使用電線-2",OR(D26=AF3,AND(VALUE(LEFT(D26,2))&gt;13,VALUE(LEFT(D26,2))&lt;26))),1,0))</f>
        <v>0</v>
      </c>
      <c r="BI222" s="166">
        <f>IF(B27="",0,IF(AND(B27="使用電線-3",OR(D27=AF3,AND(VALUE(LEFT(D27,2))&gt;13,VALUE(LEFT(D27,2))&lt;26))),1,0))</f>
        <v>0</v>
      </c>
      <c r="BR222" s="166">
        <f>IF(B28="",0,IF(AND(B28="使用電線-4",OR(D28=AF3,AND(VALUE(LEFT(D28,2))&gt;13,VALUE(LEFT(D28,2))&lt;26))),1,0))</f>
        <v>0</v>
      </c>
      <c r="CA222" s="166">
        <f>IF(B29="",0,IF(AND(B29="使用電線-5",OR(D29=AF3,AND(VALUE(LEFT(D29,2))&gt;13,VALUE(LEFT(D29,2))&lt;26))),1,0))</f>
        <v>0</v>
      </c>
    </row>
    <row r="223" spans="36:79" ht="38.25" hidden="1" customHeight="1" x14ac:dyDescent="0.15">
      <c r="AZ223" s="166">
        <f>IF(B27="",0,IF(AND(B27="使用電線-2",OR(D27=AF3,AND(VALUE(LEFT(D27,2))&gt;13,VALUE(LEFT(D27,2))&lt;26))),1,0))</f>
        <v>0</v>
      </c>
      <c r="BI223" s="166">
        <f>IF(B28="",0,IF(AND(B28="使用電線-3",OR(D28=AF3,AND(VALUE(LEFT(D28,2))&gt;13,VALUE(LEFT(D28,2))&lt;26))),1,0))</f>
        <v>0</v>
      </c>
      <c r="BR223" s="166">
        <f>IF(B29="",0,IF(AND(B29="使用電線-4",OR(D29=AF3,AND(VALUE(LEFT(D29,2))&gt;13,VALUE(LEFT(D29,2))&lt;26))),1,0))</f>
        <v>0</v>
      </c>
    </row>
    <row r="224" spans="36:79" ht="29.25" hidden="1" customHeight="1" x14ac:dyDescent="0.15">
      <c r="AZ224" s="166">
        <f>IF(B28="",0,IF(AND(B28="使用電線-2",OR(D28=AF3,AND(VALUE(LEFT(D28,2))&gt;13,VALUE(LEFT(D28,2))&lt;26))),1,0))</f>
        <v>0</v>
      </c>
      <c r="BI224" s="166">
        <f>IF(B29="",0,IF(AND(B29="使用電線-3",OR(D29=AF3,AND(VALUE(LEFT(D29,2))&gt;13,VALUE(LEFT(D29,2))&lt;26))),1,0))</f>
        <v>0</v>
      </c>
    </row>
    <row r="225" spans="52:52" ht="45" hidden="1" customHeight="1" x14ac:dyDescent="0.15">
      <c r="AZ225" s="166">
        <f>IF(B29="",0,IF(AND(B29="使用電線-2",OR(D29=AF3,AND(VALUE(LEFT(D29,2))&gt;13,VALUE(LEFT(D29,2))&lt;26))),1,0))</f>
        <v>0</v>
      </c>
    </row>
    <row r="226" spans="52:52" ht="15" customHeight="1" x14ac:dyDescent="0.15"/>
    <row r="227" spans="52:52" ht="15" customHeight="1" x14ac:dyDescent="0.15"/>
    <row r="228" spans="52:52" ht="15" customHeight="1" x14ac:dyDescent="0.15"/>
    <row r="229" spans="52:52" ht="15" customHeight="1" x14ac:dyDescent="0.15"/>
    <row r="230" spans="52:52" ht="15" customHeight="1" x14ac:dyDescent="0.15"/>
    <row r="231" spans="52:52" ht="15" customHeight="1" x14ac:dyDescent="0.15"/>
    <row r="232" spans="52:52" ht="15" customHeight="1" x14ac:dyDescent="0.15"/>
    <row r="233" spans="52:52" ht="15" customHeight="1" x14ac:dyDescent="0.15"/>
    <row r="234" spans="52:52" ht="15" customHeight="1" x14ac:dyDescent="0.15"/>
    <row r="235" spans="52:52" ht="15" customHeight="1" x14ac:dyDescent="0.15"/>
    <row r="236" spans="52:52" ht="15" customHeight="1" x14ac:dyDescent="0.15"/>
    <row r="237" spans="52:52" ht="15" customHeight="1" x14ac:dyDescent="0.15"/>
    <row r="238" spans="52:52" ht="15" customHeight="1" x14ac:dyDescent="0.15"/>
    <row r="239" spans="52:52" ht="15" customHeight="1" x14ac:dyDescent="0.15"/>
    <row r="240" spans="52:52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</sheetData>
  <sheetProtection password="B220" sheet="1" objects="1" scenarios="1" formatCells="0"/>
  <mergeCells count="509">
    <mergeCell ref="BT183:BU183"/>
    <mergeCell ref="BT184:BU184"/>
    <mergeCell ref="BT185:BU185"/>
    <mergeCell ref="BT167:BU167"/>
    <mergeCell ref="BT168:BU168"/>
    <mergeCell ref="BT170:BU170"/>
    <mergeCell ref="BT171:BU171"/>
    <mergeCell ref="BT191:BU191"/>
    <mergeCell ref="BZ215:CA216"/>
    <mergeCell ref="BT205:BU205"/>
    <mergeCell ref="BT206:BU206"/>
    <mergeCell ref="BT207:BU207"/>
    <mergeCell ref="BT208:BU208"/>
    <mergeCell ref="BZ195:CA196"/>
    <mergeCell ref="BT203:BU203"/>
    <mergeCell ref="BT204:BU204"/>
    <mergeCell ref="BT186:BU186"/>
    <mergeCell ref="BT187:BU187"/>
    <mergeCell ref="BT188:BU188"/>
    <mergeCell ref="BT190:BU190"/>
    <mergeCell ref="BT210:BU210"/>
    <mergeCell ref="BT211:BU211"/>
    <mergeCell ref="BT147:BU147"/>
    <mergeCell ref="BT130:BU130"/>
    <mergeCell ref="BT131:BU131"/>
    <mergeCell ref="BZ135:CA136"/>
    <mergeCell ref="BT143:BU143"/>
    <mergeCell ref="BT148:BU148"/>
    <mergeCell ref="BT150:BU150"/>
    <mergeCell ref="BT151:BU151"/>
    <mergeCell ref="BZ175:CA176"/>
    <mergeCell ref="BT163:BU163"/>
    <mergeCell ref="BT164:BU164"/>
    <mergeCell ref="BT165:BU165"/>
    <mergeCell ref="BT166:BU166"/>
    <mergeCell ref="BQ195:BR196"/>
    <mergeCell ref="BZ75:CA76"/>
    <mergeCell ref="BT83:BU83"/>
    <mergeCell ref="BT84:BU84"/>
    <mergeCell ref="BT85:BU85"/>
    <mergeCell ref="BT106:BU106"/>
    <mergeCell ref="BT107:BU107"/>
    <mergeCell ref="BT108:BU108"/>
    <mergeCell ref="BT110:BU110"/>
    <mergeCell ref="BZ95:CA96"/>
    <mergeCell ref="BT103:BU103"/>
    <mergeCell ref="BT104:BU104"/>
    <mergeCell ref="BT105:BU105"/>
    <mergeCell ref="BZ115:CA116"/>
    <mergeCell ref="BT123:BU123"/>
    <mergeCell ref="BT124:BU124"/>
    <mergeCell ref="BZ155:CA156"/>
    <mergeCell ref="BT144:BU144"/>
    <mergeCell ref="BT145:BU145"/>
    <mergeCell ref="BT146:BU146"/>
    <mergeCell ref="BT87:BU87"/>
    <mergeCell ref="BT88:BU88"/>
    <mergeCell ref="BT90:BU90"/>
    <mergeCell ref="BT91:BU91"/>
    <mergeCell ref="BT125:BU125"/>
    <mergeCell ref="BT126:BU126"/>
    <mergeCell ref="BT127:BU127"/>
    <mergeCell ref="BT128:BU128"/>
    <mergeCell ref="BT111:BU111"/>
    <mergeCell ref="BT63:BU63"/>
    <mergeCell ref="BT64:BU64"/>
    <mergeCell ref="BT65:BU65"/>
    <mergeCell ref="BT66:BU66"/>
    <mergeCell ref="BT67:BU67"/>
    <mergeCell ref="BT68:BU68"/>
    <mergeCell ref="BT70:BU70"/>
    <mergeCell ref="BT71:BU71"/>
    <mergeCell ref="BT86:BU86"/>
    <mergeCell ref="BK207:BL207"/>
    <mergeCell ref="BK208:BL208"/>
    <mergeCell ref="BK210:BL210"/>
    <mergeCell ref="BK211:BL211"/>
    <mergeCell ref="BK203:BL203"/>
    <mergeCell ref="BK204:BL204"/>
    <mergeCell ref="BK205:BL205"/>
    <mergeCell ref="BK206:BL206"/>
    <mergeCell ref="BQ215:BR216"/>
    <mergeCell ref="BQ175:BR176"/>
    <mergeCell ref="BK183:BL183"/>
    <mergeCell ref="BK165:BL165"/>
    <mergeCell ref="BK166:BL166"/>
    <mergeCell ref="BK167:BL167"/>
    <mergeCell ref="BK168:BL168"/>
    <mergeCell ref="BK188:BL188"/>
    <mergeCell ref="BK190:BL190"/>
    <mergeCell ref="BK191:BL191"/>
    <mergeCell ref="BK184:BL184"/>
    <mergeCell ref="BK185:BL185"/>
    <mergeCell ref="BK186:BL186"/>
    <mergeCell ref="BK187:BL187"/>
    <mergeCell ref="BQ155:BR156"/>
    <mergeCell ref="BK163:BL163"/>
    <mergeCell ref="BK164:BL164"/>
    <mergeCell ref="BK146:BL146"/>
    <mergeCell ref="BK147:BL147"/>
    <mergeCell ref="BK148:BL148"/>
    <mergeCell ref="BK150:BL150"/>
    <mergeCell ref="BK170:BL170"/>
    <mergeCell ref="BK171:BL171"/>
    <mergeCell ref="BQ135:BR136"/>
    <mergeCell ref="BK143:BL143"/>
    <mergeCell ref="BK144:BL144"/>
    <mergeCell ref="BK145:BL145"/>
    <mergeCell ref="BK127:BL127"/>
    <mergeCell ref="BK128:BL128"/>
    <mergeCell ref="BK130:BL130"/>
    <mergeCell ref="BK131:BL131"/>
    <mergeCell ref="BK151:BL151"/>
    <mergeCell ref="BQ75:BR76"/>
    <mergeCell ref="BK83:BL83"/>
    <mergeCell ref="BK84:BL84"/>
    <mergeCell ref="BQ115:BR116"/>
    <mergeCell ref="BK104:BL104"/>
    <mergeCell ref="BK105:BL105"/>
    <mergeCell ref="BK106:BL106"/>
    <mergeCell ref="BK107:BL107"/>
    <mergeCell ref="BK90:BL90"/>
    <mergeCell ref="BK91:BL91"/>
    <mergeCell ref="BQ95:BR96"/>
    <mergeCell ref="BK103:BL103"/>
    <mergeCell ref="BK108:BL108"/>
    <mergeCell ref="BK110:BL110"/>
    <mergeCell ref="BK111:BL111"/>
    <mergeCell ref="BB210:BC210"/>
    <mergeCell ref="BB211:BC211"/>
    <mergeCell ref="BH215:BI216"/>
    <mergeCell ref="BK63:BL63"/>
    <mergeCell ref="BK64:BL64"/>
    <mergeCell ref="BK65:BL65"/>
    <mergeCell ref="BK66:BL66"/>
    <mergeCell ref="BK67:BL67"/>
    <mergeCell ref="BK68:BL68"/>
    <mergeCell ref="BK70:BL70"/>
    <mergeCell ref="BK85:BL85"/>
    <mergeCell ref="BK86:BL86"/>
    <mergeCell ref="BK87:BL87"/>
    <mergeCell ref="BK88:BL88"/>
    <mergeCell ref="BK71:BL71"/>
    <mergeCell ref="BK123:BL123"/>
    <mergeCell ref="BK124:BL124"/>
    <mergeCell ref="BK125:BL125"/>
    <mergeCell ref="BK126:BL126"/>
    <mergeCell ref="BH175:BI176"/>
    <mergeCell ref="BB183:BC183"/>
    <mergeCell ref="BB184:BC184"/>
    <mergeCell ref="BB185:BC185"/>
    <mergeCell ref="BB205:BC205"/>
    <mergeCell ref="BB207:BC207"/>
    <mergeCell ref="BB208:BC208"/>
    <mergeCell ref="BB191:BC191"/>
    <mergeCell ref="BH195:BI196"/>
    <mergeCell ref="BB203:BC203"/>
    <mergeCell ref="BB204:BC204"/>
    <mergeCell ref="BH155:BI156"/>
    <mergeCell ref="BB144:BC144"/>
    <mergeCell ref="BB145:BC145"/>
    <mergeCell ref="BB146:BC146"/>
    <mergeCell ref="BB147:BC147"/>
    <mergeCell ref="BB167:BC167"/>
    <mergeCell ref="BB168:BC168"/>
    <mergeCell ref="BB170:BC170"/>
    <mergeCell ref="BB171:BC171"/>
    <mergeCell ref="BB163:BC163"/>
    <mergeCell ref="BB164:BC164"/>
    <mergeCell ref="BB165:BC165"/>
    <mergeCell ref="BB166:BC166"/>
    <mergeCell ref="BH135:BI136"/>
    <mergeCell ref="BB143:BC143"/>
    <mergeCell ref="BB125:BC125"/>
    <mergeCell ref="BB126:BC126"/>
    <mergeCell ref="BB127:BC127"/>
    <mergeCell ref="BB128:BC128"/>
    <mergeCell ref="BB148:BC148"/>
    <mergeCell ref="BB150:BC150"/>
    <mergeCell ref="BB151:BC151"/>
    <mergeCell ref="BH75:BI76"/>
    <mergeCell ref="BB83:BC83"/>
    <mergeCell ref="BB84:BC84"/>
    <mergeCell ref="BB85:BC85"/>
    <mergeCell ref="AY215:AZ216"/>
    <mergeCell ref="BB63:BC63"/>
    <mergeCell ref="BB64:BC64"/>
    <mergeCell ref="BB65:BC65"/>
    <mergeCell ref="BB66:BC66"/>
    <mergeCell ref="BB67:BC67"/>
    <mergeCell ref="BH95:BI96"/>
    <mergeCell ref="BB103:BC103"/>
    <mergeCell ref="BB104:BC104"/>
    <mergeCell ref="BB105:BC105"/>
    <mergeCell ref="BB87:BC87"/>
    <mergeCell ref="BB88:BC88"/>
    <mergeCell ref="BB90:BC90"/>
    <mergeCell ref="BB91:BC91"/>
    <mergeCell ref="BB111:BC111"/>
    <mergeCell ref="BH115:BI116"/>
    <mergeCell ref="BB123:BC123"/>
    <mergeCell ref="BB124:BC124"/>
    <mergeCell ref="BB106:BC106"/>
    <mergeCell ref="BB107:BC107"/>
    <mergeCell ref="AS205:AT205"/>
    <mergeCell ref="AS206:AT206"/>
    <mergeCell ref="BB68:BC68"/>
    <mergeCell ref="BB70:BC70"/>
    <mergeCell ref="BB71:BC71"/>
    <mergeCell ref="BB86:BC86"/>
    <mergeCell ref="AS207:AT207"/>
    <mergeCell ref="AS208:AT208"/>
    <mergeCell ref="AS188:AT188"/>
    <mergeCell ref="AS190:AT190"/>
    <mergeCell ref="AS191:AT191"/>
    <mergeCell ref="AY195:AZ196"/>
    <mergeCell ref="BB108:BC108"/>
    <mergeCell ref="BB110:BC110"/>
    <mergeCell ref="BB130:BC130"/>
    <mergeCell ref="BB131:BC131"/>
    <mergeCell ref="BB186:BC186"/>
    <mergeCell ref="BB187:BC187"/>
    <mergeCell ref="BB188:BC188"/>
    <mergeCell ref="BB190:BC190"/>
    <mergeCell ref="AY155:AZ156"/>
    <mergeCell ref="AS163:AT163"/>
    <mergeCell ref="AS164:AT164"/>
    <mergeCell ref="BB206:BC206"/>
    <mergeCell ref="AY175:AZ176"/>
    <mergeCell ref="AS183:AT183"/>
    <mergeCell ref="AS165:AT165"/>
    <mergeCell ref="AS166:AT166"/>
    <mergeCell ref="AS167:AT167"/>
    <mergeCell ref="AS168:AT168"/>
    <mergeCell ref="AS170:AT170"/>
    <mergeCell ref="AS171:AT171"/>
    <mergeCell ref="AS204:AT204"/>
    <mergeCell ref="AY135:AZ136"/>
    <mergeCell ref="AS143:AT143"/>
    <mergeCell ref="AS144:AT144"/>
    <mergeCell ref="AS145:AT145"/>
    <mergeCell ref="AS127:AT127"/>
    <mergeCell ref="AS128:AT128"/>
    <mergeCell ref="AS130:AT130"/>
    <mergeCell ref="AS131:AT131"/>
    <mergeCell ref="AS151:AT151"/>
    <mergeCell ref="AS146:AT146"/>
    <mergeCell ref="AS147:AT147"/>
    <mergeCell ref="AS148:AT148"/>
    <mergeCell ref="AS150:AT150"/>
    <mergeCell ref="AY75:AZ76"/>
    <mergeCell ref="AS83:AT83"/>
    <mergeCell ref="AS84:AT84"/>
    <mergeCell ref="AY115:AZ116"/>
    <mergeCell ref="AS104:AT104"/>
    <mergeCell ref="AS105:AT105"/>
    <mergeCell ref="AS106:AT106"/>
    <mergeCell ref="AS107:AT107"/>
    <mergeCell ref="AS90:AT90"/>
    <mergeCell ref="AS91:AT91"/>
    <mergeCell ref="AY95:AZ96"/>
    <mergeCell ref="AS103:AT103"/>
    <mergeCell ref="AS108:AT108"/>
    <mergeCell ref="AS110:AT110"/>
    <mergeCell ref="AS111:AT111"/>
    <mergeCell ref="AP215:AQ216"/>
    <mergeCell ref="AS63:AT63"/>
    <mergeCell ref="AS64:AT64"/>
    <mergeCell ref="AS65:AT65"/>
    <mergeCell ref="AS66:AT66"/>
    <mergeCell ref="AS67:AT67"/>
    <mergeCell ref="AS68:AT68"/>
    <mergeCell ref="AS70:AT70"/>
    <mergeCell ref="AS85:AT85"/>
    <mergeCell ref="AS86:AT86"/>
    <mergeCell ref="AS87:AT87"/>
    <mergeCell ref="AS88:AT88"/>
    <mergeCell ref="AS71:AT71"/>
    <mergeCell ref="AS123:AT123"/>
    <mergeCell ref="AS124:AT124"/>
    <mergeCell ref="AS125:AT125"/>
    <mergeCell ref="AS126:AT126"/>
    <mergeCell ref="AS184:AT184"/>
    <mergeCell ref="AS185:AT185"/>
    <mergeCell ref="AS186:AT186"/>
    <mergeCell ref="AS187:AT187"/>
    <mergeCell ref="AS210:AT210"/>
    <mergeCell ref="AS211:AT211"/>
    <mergeCell ref="AS203:AT203"/>
    <mergeCell ref="AJ206:AK206"/>
    <mergeCell ref="AJ207:AK207"/>
    <mergeCell ref="AJ208:AK208"/>
    <mergeCell ref="AJ191:AK191"/>
    <mergeCell ref="AP195:AQ196"/>
    <mergeCell ref="AJ203:AK203"/>
    <mergeCell ref="AJ204:AK204"/>
    <mergeCell ref="AJ210:AK210"/>
    <mergeCell ref="AJ211:AK211"/>
    <mergeCell ref="AJ186:AK186"/>
    <mergeCell ref="AJ187:AK187"/>
    <mergeCell ref="AJ188:AK188"/>
    <mergeCell ref="AJ190:AK190"/>
    <mergeCell ref="AP175:AQ176"/>
    <mergeCell ref="AJ183:AK183"/>
    <mergeCell ref="AJ184:AK184"/>
    <mergeCell ref="AJ185:AK185"/>
    <mergeCell ref="AJ205:AK205"/>
    <mergeCell ref="AP155:AQ156"/>
    <mergeCell ref="AJ144:AK144"/>
    <mergeCell ref="AJ145:AK145"/>
    <mergeCell ref="AJ146:AK146"/>
    <mergeCell ref="AJ147:AK147"/>
    <mergeCell ref="AJ167:AK167"/>
    <mergeCell ref="AJ168:AK168"/>
    <mergeCell ref="AJ170:AK170"/>
    <mergeCell ref="AJ171:AK171"/>
    <mergeCell ref="AJ163:AK163"/>
    <mergeCell ref="AJ164:AK164"/>
    <mergeCell ref="AJ165:AK165"/>
    <mergeCell ref="AJ166:AK166"/>
    <mergeCell ref="AP135:AQ136"/>
    <mergeCell ref="AJ143:AK143"/>
    <mergeCell ref="AJ125:AK125"/>
    <mergeCell ref="AJ126:AK126"/>
    <mergeCell ref="AJ127:AK127"/>
    <mergeCell ref="AJ128:AK128"/>
    <mergeCell ref="AJ148:AK148"/>
    <mergeCell ref="AJ150:AK150"/>
    <mergeCell ref="AJ151:AK151"/>
    <mergeCell ref="AP115:AQ116"/>
    <mergeCell ref="AJ123:AK123"/>
    <mergeCell ref="AJ124:AK124"/>
    <mergeCell ref="AJ106:AK106"/>
    <mergeCell ref="AJ107:AK107"/>
    <mergeCell ref="AJ108:AK108"/>
    <mergeCell ref="AJ110:AK110"/>
    <mergeCell ref="AJ130:AK130"/>
    <mergeCell ref="AJ131:AK131"/>
    <mergeCell ref="AP95:AQ96"/>
    <mergeCell ref="AJ103:AK103"/>
    <mergeCell ref="AJ104:AK104"/>
    <mergeCell ref="AJ105:AK105"/>
    <mergeCell ref="AJ87:AK87"/>
    <mergeCell ref="AJ88:AK88"/>
    <mergeCell ref="AJ90:AK90"/>
    <mergeCell ref="AJ91:AK91"/>
    <mergeCell ref="AJ111:AK111"/>
    <mergeCell ref="AP75:AQ76"/>
    <mergeCell ref="D28:E28"/>
    <mergeCell ref="M58:N58"/>
    <mergeCell ref="M46:N47"/>
    <mergeCell ref="J52:J53"/>
    <mergeCell ref="G43:I43"/>
    <mergeCell ref="AJ63:AK63"/>
    <mergeCell ref="G34:I35"/>
    <mergeCell ref="G36:I37"/>
    <mergeCell ref="G38:I39"/>
    <mergeCell ref="E38:E39"/>
    <mergeCell ref="D52:D53"/>
    <mergeCell ref="D50:D51"/>
    <mergeCell ref="E52:E53"/>
    <mergeCell ref="E50:E51"/>
    <mergeCell ref="J38:J39"/>
    <mergeCell ref="F46:F47"/>
    <mergeCell ref="J36:J37"/>
    <mergeCell ref="Q38:Q39"/>
    <mergeCell ref="M41:N41"/>
    <mergeCell ref="M42:N42"/>
    <mergeCell ref="M38:N39"/>
    <mergeCell ref="P36:P37"/>
    <mergeCell ref="F36:F37"/>
    <mergeCell ref="A1:A59"/>
    <mergeCell ref="AJ70:AK70"/>
    <mergeCell ref="AJ71:AK71"/>
    <mergeCell ref="I20:I22"/>
    <mergeCell ref="K20:N20"/>
    <mergeCell ref="B34:C35"/>
    <mergeCell ref="G54:I54"/>
    <mergeCell ref="G40:I40"/>
    <mergeCell ref="G41:I41"/>
    <mergeCell ref="G42:I42"/>
    <mergeCell ref="Q36:Q37"/>
    <mergeCell ref="Q52:Q53"/>
    <mergeCell ref="Q50:Q51"/>
    <mergeCell ref="K48:K49"/>
    <mergeCell ref="L48:L49"/>
    <mergeCell ref="K52:K53"/>
    <mergeCell ref="L52:L53"/>
    <mergeCell ref="O36:O37"/>
    <mergeCell ref="K50:K51"/>
    <mergeCell ref="K38:K39"/>
    <mergeCell ref="K36:K37"/>
    <mergeCell ref="F52:F53"/>
    <mergeCell ref="F48:F49"/>
    <mergeCell ref="D38:D39"/>
    <mergeCell ref="AJ85:AK85"/>
    <mergeCell ref="AJ86:AK86"/>
    <mergeCell ref="AJ64:AK64"/>
    <mergeCell ref="AJ65:AK65"/>
    <mergeCell ref="AJ66:AK66"/>
    <mergeCell ref="AJ67:AK67"/>
    <mergeCell ref="AJ68:AK68"/>
    <mergeCell ref="L36:L37"/>
    <mergeCell ref="L50:L51"/>
    <mergeCell ref="M56:N56"/>
    <mergeCell ref="M57:N57"/>
    <mergeCell ref="M36:N37"/>
    <mergeCell ref="L46:L47"/>
    <mergeCell ref="L38:L39"/>
    <mergeCell ref="M43:N43"/>
    <mergeCell ref="M44:N44"/>
    <mergeCell ref="O48:O49"/>
    <mergeCell ref="M48:N49"/>
    <mergeCell ref="O38:O39"/>
    <mergeCell ref="O52:O53"/>
    <mergeCell ref="M52:N53"/>
    <mergeCell ref="M55:N55"/>
    <mergeCell ref="M40:N40"/>
    <mergeCell ref="AJ84:AK84"/>
    <mergeCell ref="AJ83:AK83"/>
    <mergeCell ref="J50:J51"/>
    <mergeCell ref="G46:I46"/>
    <mergeCell ref="G58:I58"/>
    <mergeCell ref="G47:H47"/>
    <mergeCell ref="G57:I57"/>
    <mergeCell ref="G44:I44"/>
    <mergeCell ref="G48:I49"/>
    <mergeCell ref="G50:I51"/>
    <mergeCell ref="G52:I53"/>
    <mergeCell ref="G55:I55"/>
    <mergeCell ref="G56:I56"/>
    <mergeCell ref="J48:J49"/>
    <mergeCell ref="Q48:Q49"/>
    <mergeCell ref="M54:N54"/>
    <mergeCell ref="O50:O51"/>
    <mergeCell ref="M50:N51"/>
    <mergeCell ref="D48:D49"/>
    <mergeCell ref="D20:E22"/>
    <mergeCell ref="D25:E25"/>
    <mergeCell ref="D26:E26"/>
    <mergeCell ref="D30:E30"/>
    <mergeCell ref="D27:E27"/>
    <mergeCell ref="D29:E29"/>
    <mergeCell ref="D36:D37"/>
    <mergeCell ref="E36:E37"/>
    <mergeCell ref="J19:K19"/>
    <mergeCell ref="J20:J22"/>
    <mergeCell ref="J34:J35"/>
    <mergeCell ref="K34:K35"/>
    <mergeCell ref="F20:G22"/>
    <mergeCell ref="H20:H22"/>
    <mergeCell ref="D23:E23"/>
    <mergeCell ref="D24:E24"/>
    <mergeCell ref="G19:I19"/>
    <mergeCell ref="F32:F33"/>
    <mergeCell ref="G32:I32"/>
    <mergeCell ref="G33:H33"/>
    <mergeCell ref="D34:D35"/>
    <mergeCell ref="E34:E35"/>
    <mergeCell ref="F34:F35"/>
    <mergeCell ref="D19:E19"/>
    <mergeCell ref="B50:C51"/>
    <mergeCell ref="B52:C53"/>
    <mergeCell ref="B20:C22"/>
    <mergeCell ref="B48:C49"/>
    <mergeCell ref="B24:C24"/>
    <mergeCell ref="B25:C25"/>
    <mergeCell ref="B36:C37"/>
    <mergeCell ref="B30:C30"/>
    <mergeCell ref="B29:C29"/>
    <mergeCell ref="B42:C42"/>
    <mergeCell ref="B43:C43"/>
    <mergeCell ref="B32:C32"/>
    <mergeCell ref="B41:C41"/>
    <mergeCell ref="L1:N1"/>
    <mergeCell ref="O1:Q1"/>
    <mergeCell ref="Q32:Q33"/>
    <mergeCell ref="O34:O35"/>
    <mergeCell ref="P34:P35"/>
    <mergeCell ref="Q34:Q35"/>
    <mergeCell ref="M34:N35"/>
    <mergeCell ref="O20:Q20"/>
    <mergeCell ref="L32:L33"/>
    <mergeCell ref="L34:L35"/>
    <mergeCell ref="M32:N32"/>
    <mergeCell ref="P38:P39"/>
    <mergeCell ref="AF57:AF58"/>
    <mergeCell ref="B2:B3"/>
    <mergeCell ref="C2:N3"/>
    <mergeCell ref="C4:N4"/>
    <mergeCell ref="P4:Q4"/>
    <mergeCell ref="B58:C58"/>
    <mergeCell ref="B54:C54"/>
    <mergeCell ref="B55:C55"/>
    <mergeCell ref="B56:C56"/>
    <mergeCell ref="B57:C57"/>
    <mergeCell ref="B6:C6"/>
    <mergeCell ref="B26:C26"/>
    <mergeCell ref="B27:C27"/>
    <mergeCell ref="B28:C28"/>
    <mergeCell ref="B19:C19"/>
    <mergeCell ref="B23:C23"/>
    <mergeCell ref="F50:F51"/>
    <mergeCell ref="F38:F39"/>
    <mergeCell ref="E48:E49"/>
    <mergeCell ref="B44:C44"/>
    <mergeCell ref="B46:C46"/>
    <mergeCell ref="B38:C39"/>
    <mergeCell ref="B40:C40"/>
  </mergeCells>
  <phoneticPr fontId="2"/>
  <dataValidations count="5">
    <dataValidation type="list" showInputMessage="1" showErrorMessage="1" sqref="D24:E29 D31:E31">
      <formula1>$AF$3:$AF$44</formula1>
    </dataValidation>
    <dataValidation type="list" errorStyle="warning" showInputMessage="1" showErrorMessage="1" sqref="D23">
      <formula1>$AF$3:$AF$44</formula1>
    </dataValidation>
    <dataValidation type="list" errorStyle="warning" allowBlank="1" showInputMessage="1" showErrorMessage="1" sqref="I23:I29">
      <formula1>$AH$3:$AH$11</formula1>
    </dataValidation>
    <dataValidation type="custom" allowBlank="1" showInputMessage="1" showErrorMessage="1" errorTitle="弛度補正入力" error="使用電線を選択してください。" sqref="I47 I33">
      <formula1>IF(G33="弛度補正",TRUE,FALSE)</formula1>
    </dataValidation>
    <dataValidation type="custom" allowBlank="1" showInputMessage="1" showErrorMessage="1" errorTitle="弛度補正値入力" error="使用電線を選択して下さい!!" sqref="C47 C33 N33">
      <formula1>IF(B33="弛度補正",TRUE,FALSE)</formula1>
    </dataValidation>
  </dataValidations>
  <pageMargins left="0.70866141732283472" right="0.39370078740157483" top="0.43307086614173229" bottom="0.43307086614173229" header="0" footer="0"/>
  <pageSetup paperSize="9" scale="98" orientation="portrait" r:id="rId1"/>
  <headerFooter alignWithMargins="0">
    <oddFooter>&amp;RNo.２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6398" r:id="rId4">
          <objectPr defaultSize="0" autoPict="0" r:id="rId5">
            <anchor moveWithCells="1" sizeWithCells="1">
              <from>
                <xdr:col>12</xdr:col>
                <xdr:colOff>466725</xdr:colOff>
                <xdr:row>8</xdr:row>
                <xdr:rowOff>180975</xdr:rowOff>
              </from>
              <to>
                <xdr:col>14</xdr:col>
                <xdr:colOff>66675</xdr:colOff>
                <xdr:row>10</xdr:row>
                <xdr:rowOff>123825</xdr:rowOff>
              </to>
            </anchor>
          </objectPr>
        </oleObject>
      </mc:Choice>
      <mc:Fallback>
        <oleObject progId="Equation.3" shapeId="16398" r:id="rId4"/>
      </mc:Fallback>
    </mc:AlternateContent>
    <mc:AlternateContent xmlns:mc="http://schemas.openxmlformats.org/markup-compatibility/2006">
      <mc:Choice Requires="x14">
        <oleObject progId="Equation.3" shapeId="16399" r:id="rId6">
          <objectPr defaultSize="0" autoPict="0" r:id="rId7">
            <anchor moveWithCells="1" sizeWithCells="1">
              <from>
                <xdr:col>9</xdr:col>
                <xdr:colOff>0</xdr:colOff>
                <xdr:row>7</xdr:row>
                <xdr:rowOff>28575</xdr:rowOff>
              </from>
              <to>
                <xdr:col>11</xdr:col>
                <xdr:colOff>409575</xdr:colOff>
                <xdr:row>8</xdr:row>
                <xdr:rowOff>171450</xdr:rowOff>
              </to>
            </anchor>
          </objectPr>
        </oleObject>
      </mc:Choice>
      <mc:Fallback>
        <oleObject progId="Equation.3" shapeId="16399" r:id="rId6"/>
      </mc:Fallback>
    </mc:AlternateContent>
    <mc:AlternateContent xmlns:mc="http://schemas.openxmlformats.org/markup-compatibility/2006">
      <mc:Choice Requires="x14">
        <oleObject progId="Equation.3" shapeId="16401" r:id="rId8">
          <objectPr defaultSize="0" autoPict="0" r:id="rId9">
            <anchor moveWithCells="1" sizeWithCells="1">
              <from>
                <xdr:col>12</xdr:col>
                <xdr:colOff>352425</xdr:colOff>
                <xdr:row>7</xdr:row>
                <xdr:rowOff>38100</xdr:rowOff>
              </from>
              <to>
                <xdr:col>14</xdr:col>
                <xdr:colOff>85725</xdr:colOff>
                <xdr:row>8</xdr:row>
                <xdr:rowOff>152400</xdr:rowOff>
              </to>
            </anchor>
          </objectPr>
        </oleObject>
      </mc:Choice>
      <mc:Fallback>
        <oleObject progId="Equation.3" shapeId="16401" r:id="rId8"/>
      </mc:Fallback>
    </mc:AlternateContent>
    <mc:AlternateContent xmlns:mc="http://schemas.openxmlformats.org/markup-compatibility/2006">
      <mc:Choice Requires="x14">
        <oleObject progId="Equation.3" shapeId="16402" r:id="rId10">
          <objectPr defaultSize="0" autoPict="0" r:id="rId11">
            <anchor moveWithCells="1" sizeWithCells="1">
              <from>
                <xdr:col>3</xdr:col>
                <xdr:colOff>38100</xdr:colOff>
                <xdr:row>8</xdr:row>
                <xdr:rowOff>200025</xdr:rowOff>
              </from>
              <to>
                <xdr:col>7</xdr:col>
                <xdr:colOff>133350</xdr:colOff>
                <xdr:row>10</xdr:row>
                <xdr:rowOff>123825</xdr:rowOff>
              </to>
            </anchor>
          </objectPr>
        </oleObject>
      </mc:Choice>
      <mc:Fallback>
        <oleObject progId="Equation.3" shapeId="16402" r:id="rId10"/>
      </mc:Fallback>
    </mc:AlternateContent>
    <mc:AlternateContent xmlns:mc="http://schemas.openxmlformats.org/markup-compatibility/2006">
      <mc:Choice Requires="x14">
        <oleObject progId="Equation.3" shapeId="16403" r:id="rId12">
          <objectPr defaultSize="0" autoPict="0" r:id="rId13">
            <anchor moveWithCells="1" sizeWithCells="1">
              <from>
                <xdr:col>8</xdr:col>
                <xdr:colOff>104775</xdr:colOff>
                <xdr:row>8</xdr:row>
                <xdr:rowOff>161925</xdr:rowOff>
              </from>
              <to>
                <xdr:col>10</xdr:col>
                <xdr:colOff>133350</xdr:colOff>
                <xdr:row>10</xdr:row>
                <xdr:rowOff>114300</xdr:rowOff>
              </to>
            </anchor>
          </objectPr>
        </oleObject>
      </mc:Choice>
      <mc:Fallback>
        <oleObject progId="Equation.3" shapeId="16403" r:id="rId12"/>
      </mc:Fallback>
    </mc:AlternateContent>
    <mc:AlternateContent xmlns:mc="http://schemas.openxmlformats.org/markup-compatibility/2006">
      <mc:Choice Requires="x14">
        <oleObject progId="Equation.3" shapeId="16404" r:id="rId14">
          <objectPr defaultSize="0" autoPict="0" r:id="rId15">
            <anchor moveWithCells="1" sizeWithCells="1">
              <from>
                <xdr:col>10</xdr:col>
                <xdr:colOff>304800</xdr:colOff>
                <xdr:row>8</xdr:row>
                <xdr:rowOff>200025</xdr:rowOff>
              </from>
              <to>
                <xdr:col>12</xdr:col>
                <xdr:colOff>209550</xdr:colOff>
                <xdr:row>10</xdr:row>
                <xdr:rowOff>104775</xdr:rowOff>
              </to>
            </anchor>
          </objectPr>
        </oleObject>
      </mc:Choice>
      <mc:Fallback>
        <oleObject progId="Equation.3" shapeId="16404" r:id="rId14"/>
      </mc:Fallback>
    </mc:AlternateContent>
    <mc:AlternateContent xmlns:mc="http://schemas.openxmlformats.org/markup-compatibility/2006">
      <mc:Choice Requires="x14">
        <oleObject progId="Equation.3" shapeId="16405" r:id="rId16">
          <objectPr defaultSize="0" autoPict="0" r:id="rId17">
            <anchor moveWithCells="1" sizeWithCells="1">
              <from>
                <xdr:col>14</xdr:col>
                <xdr:colOff>257175</xdr:colOff>
                <xdr:row>9</xdr:row>
                <xdr:rowOff>0</xdr:rowOff>
              </from>
              <to>
                <xdr:col>15</xdr:col>
                <xdr:colOff>390525</xdr:colOff>
                <xdr:row>10</xdr:row>
                <xdr:rowOff>123825</xdr:rowOff>
              </to>
            </anchor>
          </objectPr>
        </oleObject>
      </mc:Choice>
      <mc:Fallback>
        <oleObject progId="Equation.3" shapeId="16405" r:id="rId16"/>
      </mc:Fallback>
    </mc:AlternateContent>
    <mc:AlternateContent xmlns:mc="http://schemas.openxmlformats.org/markup-compatibility/2006">
      <mc:Choice Requires="x14">
        <oleObject progId="Equation.3" shapeId="16407" r:id="rId18">
          <objectPr defaultSize="0" autoPict="0" r:id="rId19">
            <anchor moveWithCells="1" sizeWithCells="1">
              <from>
                <xdr:col>2</xdr:col>
                <xdr:colOff>66675</xdr:colOff>
                <xdr:row>7</xdr:row>
                <xdr:rowOff>38100</xdr:rowOff>
              </from>
              <to>
                <xdr:col>6</xdr:col>
                <xdr:colOff>180975</xdr:colOff>
                <xdr:row>8</xdr:row>
                <xdr:rowOff>171450</xdr:rowOff>
              </to>
            </anchor>
          </objectPr>
        </oleObject>
      </mc:Choice>
      <mc:Fallback>
        <oleObject progId="Equation.3" shapeId="16407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26"/>
  </sheetPr>
  <dimension ref="A1:CA28212"/>
  <sheetViews>
    <sheetView view="pageBreakPreview" zoomScaleNormal="100" zoomScaleSheetLayoutView="100" workbookViewId="0">
      <selection sqref="A1:A59"/>
    </sheetView>
  </sheetViews>
  <sheetFormatPr defaultRowHeight="13.5" x14ac:dyDescent="0.15"/>
  <cols>
    <col min="1" max="1" width="2.125" style="1" customWidth="1"/>
    <col min="2" max="2" width="6.75" style="1" customWidth="1"/>
    <col min="3" max="3" width="7.125" style="1" customWidth="1"/>
    <col min="4" max="4" width="5.875" style="1" customWidth="1"/>
    <col min="5" max="6" width="5.5" style="1" customWidth="1"/>
    <col min="7" max="7" width="3" style="1" customWidth="1"/>
    <col min="8" max="8" width="3.75" style="1" customWidth="1"/>
    <col min="9" max="9" width="7.125" style="1" customWidth="1"/>
    <col min="10" max="10" width="5.75" style="1" customWidth="1"/>
    <col min="11" max="11" width="5.375" style="1" customWidth="1"/>
    <col min="12" max="12" width="5.5" style="1" customWidth="1"/>
    <col min="13" max="14" width="7" style="1" customWidth="1"/>
    <col min="15" max="15" width="5.75" style="1" customWidth="1"/>
    <col min="16" max="16" width="5.625" style="1" customWidth="1"/>
    <col min="17" max="17" width="5.5" style="1" customWidth="1"/>
    <col min="18" max="18" width="1.375" style="1" customWidth="1"/>
    <col min="19" max="31" width="10" style="1" hidden="1" customWidth="1"/>
    <col min="32" max="32" width="11.25" style="1" customWidth="1"/>
    <col min="33" max="33" width="1.25" style="1" customWidth="1"/>
    <col min="34" max="34" width="10" style="1" customWidth="1"/>
    <col min="35" max="79" width="10" style="1" hidden="1" customWidth="1"/>
    <col min="80" max="80" width="10" style="1" customWidth="1"/>
    <col min="81" max="16384" width="9" style="1"/>
  </cols>
  <sheetData>
    <row r="1" spans="1:50" ht="13.5" customHeight="1" thickBot="1" x14ac:dyDescent="0.2">
      <c r="A1" s="339" t="s">
        <v>127</v>
      </c>
      <c r="B1" s="256" t="s">
        <v>164</v>
      </c>
      <c r="C1" s="256"/>
      <c r="D1" s="176"/>
      <c r="E1" s="176"/>
      <c r="F1" s="176"/>
      <c r="G1" s="176"/>
      <c r="H1" s="176"/>
      <c r="I1" s="176"/>
      <c r="J1" s="176"/>
      <c r="K1" s="176"/>
      <c r="L1" s="377"/>
      <c r="M1" s="377"/>
      <c r="N1" s="377"/>
      <c r="O1" s="378">
        <f ca="1">NOW()</f>
        <v>43058.134259837963</v>
      </c>
      <c r="P1" s="378"/>
      <c r="Q1" s="37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K1" s="246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</row>
    <row r="2" spans="1:50" ht="15" customHeight="1" x14ac:dyDescent="0.15">
      <c r="A2" s="339"/>
      <c r="B2" s="398"/>
      <c r="C2" s="413" t="str">
        <f>'WireDip-01'!C2</f>
        <v xml:space="preserve"> 貴社名を入力して下さい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2"/>
      <c r="O2" s="257"/>
      <c r="P2" s="258"/>
      <c r="Q2" s="259"/>
      <c r="AF2" s="42" t="s">
        <v>50</v>
      </c>
      <c r="AH2" s="490" t="s">
        <v>27</v>
      </c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</row>
    <row r="3" spans="1:50" ht="10.5" customHeight="1" x14ac:dyDescent="0.15">
      <c r="A3" s="339"/>
      <c r="B3" s="399"/>
      <c r="C3" s="403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  <c r="O3" s="260"/>
      <c r="P3" s="261"/>
      <c r="Q3" s="262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66" t="str">
        <f>IF('WireDip-01'!AF3="","",'WireDip-01'!AF3)</f>
        <v>01-600V ＯＷ</v>
      </c>
      <c r="AG3" s="24"/>
      <c r="AH3" s="491" t="str">
        <f>IF('WireDip-01'!AH3="","",'WireDip-01'!AH3)</f>
        <v>MW  22sq</v>
      </c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</row>
    <row r="4" spans="1:50" ht="16.5" customHeight="1" thickBot="1" x14ac:dyDescent="0.2">
      <c r="A4" s="339"/>
      <c r="B4" s="488" t="s">
        <v>178</v>
      </c>
      <c r="C4" s="406" t="str">
        <f>'WireDip-01'!C4</f>
        <v xml:space="preserve"> 物件名を入力して下さい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8"/>
      <c r="O4" s="263" t="s">
        <v>180</v>
      </c>
      <c r="P4" s="409" t="str">
        <f>'WireDip-01'!P4</f>
        <v>サイン</v>
      </c>
      <c r="Q4" s="410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66" t="str">
        <f>IF('WireDip-01'!AF4="","",'WireDip-01'!AF4)</f>
        <v>02-6KV ＯＣ</v>
      </c>
      <c r="AG4" s="25"/>
      <c r="AH4" s="266" t="str">
        <f>IF('WireDip-01'!AH4="","",'WireDip-01'!AH4)</f>
        <v>MW  38sq</v>
      </c>
      <c r="AI4" s="26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</row>
    <row r="5" spans="1:50" ht="15.75" customHeight="1" thickBot="1" x14ac:dyDescent="0.2">
      <c r="A5" s="339"/>
      <c r="B5" s="20" t="s">
        <v>182</v>
      </c>
      <c r="C5" s="183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55" t="s">
        <v>183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66" t="str">
        <f>IF('WireDip-01'!AF5="","",'WireDip-01'!AF5)</f>
        <v>03-6KV ＯＥ</v>
      </c>
      <c r="AG5" s="40"/>
      <c r="AH5" s="266" t="str">
        <f>IF('WireDip-01'!AH5="","",'WireDip-01'!AH5)</f>
        <v>MW  55sq</v>
      </c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</row>
    <row r="6" spans="1:50" ht="18" customHeight="1" x14ac:dyDescent="0.15">
      <c r="A6" s="339"/>
      <c r="B6" s="390" t="s">
        <v>12</v>
      </c>
      <c r="C6" s="39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266" t="str">
        <f>IF('WireDip-01'!AF6="","",'WireDip-01'!AF6)</f>
        <v>04-6KV ＯＰ</v>
      </c>
      <c r="AG6" s="41"/>
      <c r="AH6" s="266" t="str">
        <f>IF('WireDip-01'!AH6="","",'WireDip-01'!AH6)</f>
        <v>MW  90sq</v>
      </c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</row>
    <row r="7" spans="1:50" ht="18" customHeight="1" x14ac:dyDescent="0.15">
      <c r="A7" s="339"/>
      <c r="B7" s="215" t="s">
        <v>11</v>
      </c>
      <c r="C7" s="18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266" t="str">
        <f>IF('WireDip-01'!AF7="","",'WireDip-01'!AF7)</f>
        <v>05-6KV ACSR-OC</v>
      </c>
      <c r="AG7" s="41"/>
      <c r="AH7" s="266" t="str">
        <f>IF('WireDip-01'!AH7="","",'WireDip-01'!AH7)</f>
        <v>MW 110sq</v>
      </c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</row>
    <row r="8" spans="1:50" ht="16.5" customHeight="1" x14ac:dyDescent="0.15">
      <c r="A8" s="339"/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266" t="str">
        <f>IF('WireDip-01'!AF8="","",'WireDip-01'!AF8)</f>
        <v>06-6KV ACSR-OE</v>
      </c>
      <c r="AG8" s="41"/>
      <c r="AH8" s="266" t="str">
        <f>IF('WireDip-01'!AH8="","",'WireDip-01'!AH8)</f>
        <v xml:space="preserve">USER Reg. </v>
      </c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</row>
    <row r="9" spans="1:50" ht="16.5" customHeight="1" x14ac:dyDescent="0.15">
      <c r="A9" s="339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266" t="str">
        <f>IF('WireDip-01'!AF9="","",'WireDip-01'!AF9)</f>
        <v>07-6KV AAAC-OC</v>
      </c>
      <c r="AG9" s="41"/>
      <c r="AH9" s="266" t="str">
        <f>IF('WireDip-01'!AH9="","",'WireDip-01'!AH9)</f>
        <v xml:space="preserve">USER Reg. </v>
      </c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</row>
    <row r="10" spans="1:50" ht="18" customHeight="1" x14ac:dyDescent="0.15">
      <c r="A10" s="339"/>
      <c r="B10" s="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266" t="str">
        <f>IF('WireDip-01'!AF10="","",'WireDip-01'!AF10)</f>
        <v>08-6KV CV-T</v>
      </c>
      <c r="AG10" s="41"/>
      <c r="AH10" s="266" t="str">
        <f>IF('WireDip-01'!AH10="","",'WireDip-01'!AH10)</f>
        <v xml:space="preserve">USER Reg. </v>
      </c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</row>
    <row r="11" spans="1:50" ht="18" customHeight="1" x14ac:dyDescent="0.15">
      <c r="A11" s="339"/>
      <c r="B11" s="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3"/>
      <c r="S11" s="3"/>
      <c r="T11" s="3"/>
      <c r="U11" s="3"/>
      <c r="V11" s="212"/>
      <c r="W11" s="3"/>
      <c r="X11" s="3"/>
      <c r="Y11" s="3"/>
      <c r="Z11" s="3"/>
      <c r="AA11" s="3"/>
      <c r="AB11" s="3"/>
      <c r="AC11" s="3"/>
      <c r="AD11" s="3"/>
      <c r="AE11" s="3"/>
      <c r="AF11" s="266" t="str">
        <f>IF('WireDip-01'!AF11="","",'WireDip-01'!AF11)</f>
        <v>09-600V CV-2C</v>
      </c>
      <c r="AG11" s="41"/>
      <c r="AH11" s="266" t="str">
        <f>IF('WireDip-01'!AH11="","",'WireDip-01'!AH11)</f>
        <v>---〃---</v>
      </c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</row>
    <row r="12" spans="1:50" ht="18" customHeight="1" x14ac:dyDescent="0.15">
      <c r="A12" s="339"/>
      <c r="B12" s="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266" t="str">
        <f>IF('WireDip-01'!AF12="","",'WireDip-01'!AF12)</f>
        <v>10-600V CV-3C</v>
      </c>
      <c r="AG12" s="41"/>
      <c r="AH12" s="41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</row>
    <row r="13" spans="1:50" ht="18" customHeight="1" x14ac:dyDescent="0.15">
      <c r="A13" s="339"/>
      <c r="B13" s="5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266" t="str">
        <f>IF('WireDip-01'!AF13="","",'WireDip-01'!AF13)</f>
        <v>11-600V CV-T</v>
      </c>
      <c r="AG13" s="41"/>
      <c r="AH13" s="41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</row>
    <row r="14" spans="1:50" ht="18" customHeight="1" x14ac:dyDescent="0.15">
      <c r="A14" s="339"/>
      <c r="B14" s="5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266" t="str">
        <f>IF('WireDip-01'!AF14="","",'WireDip-01'!AF14)</f>
        <v>12-CVV- 2C</v>
      </c>
      <c r="AG14" s="41"/>
      <c r="AH14" s="41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</row>
    <row r="15" spans="1:50" ht="18" customHeight="1" x14ac:dyDescent="0.15">
      <c r="A15" s="339"/>
      <c r="B15" s="5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48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266" t="str">
        <f>IF('WireDip-01'!AF15="","",'WireDip-01'!AF15)</f>
        <v>13-CVV- 3C</v>
      </c>
      <c r="AG15" s="41"/>
      <c r="AH15" s="41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</row>
    <row r="16" spans="1:50" ht="18" customHeight="1" x14ac:dyDescent="0.15">
      <c r="A16" s="339"/>
      <c r="B16" s="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3"/>
      <c r="S16" s="3"/>
      <c r="T16" s="95" t="s">
        <v>40</v>
      </c>
      <c r="U16" s="95" t="s">
        <v>41</v>
      </c>
      <c r="V16" s="95" t="s">
        <v>42</v>
      </c>
      <c r="W16" s="3"/>
      <c r="X16" s="3"/>
      <c r="Y16" s="3"/>
      <c r="Z16" s="3"/>
      <c r="AA16" s="3"/>
      <c r="AB16" s="3"/>
      <c r="AC16" s="3"/>
      <c r="AD16" s="3"/>
      <c r="AE16" s="3"/>
      <c r="AF16" s="266" t="str">
        <f>IF('WireDip-01'!AF16="","",'WireDip-01'!AF16)</f>
        <v>14-CVV- 4C</v>
      </c>
      <c r="AG16" s="41"/>
      <c r="AH16" s="41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</row>
    <row r="17" spans="1:50" ht="18" customHeight="1" x14ac:dyDescent="0.15">
      <c r="A17" s="339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3"/>
      <c r="S17" s="170">
        <v>23</v>
      </c>
      <c r="T17" s="99">
        <f>IF(AND(AC23=AC24,AC23=AC25,AC23=AC26,AC23=AC27,AC23=AC28,AC23=AC29),S35,IF(AND(AC23=AC24,AC23=AC25,AC23=AC26,AC23=AC27,AC23=AC28),S36,IF(AND(AC23=AC24,AC23=AC25,AC23=AC26,AC23=AC27),S37,IF(AND(AC23=AC24,AC23=AC25,AC23=AC26),S38,IF(AND(AC23=AC24,AC23=AC25),S39,IF(AC23=AC24,S40,0))))))</f>
        <v>0</v>
      </c>
      <c r="U17" s="99">
        <f>IF(AND(AC23=AC24,AC23=AC25,AC23=AC26,AC23=AC27,AC23=AC28,AC23=AC29),S48,IF(AND(AC23=AC24,AC23=AC25,AC23=AC26,AC23=AC27,AC23=AC28),S49,IF(AND(AC23=AC24,AC23=AC25,AC23=AC26,AC23=AC27),S50,IF(AND(AC23=AC24,AC23=AC25,AC23=AC26),S51,IF(AND(AC23=AC24,AC23=AC25),S52,IF(AC23=AC24,S53,0))))))</f>
        <v>0</v>
      </c>
      <c r="V17" s="99">
        <f>IF(AND(AC23=AC24,AC23=AC25,AC23=AC26,AC23=AC27,AC23=AC28,AC23=AC29),S61,IF(AND(AC23=AC24,AC23=AC25,AC23=AC26,AC23=AC27,AC23=AC28),S62,IF(AND(AC23=AC24,AC23=AC25,AC23=AC26,AC23=AC27),S63,IF(AND(AC23=AC24,AC23=AC25,AC23=AC26),S64,IF(AND(AC23=AC24,AC23=AC25),S65,IF(AC23=AC24,S66,0))))))</f>
        <v>0</v>
      </c>
      <c r="W17" s="3"/>
      <c r="X17" s="3"/>
      <c r="Y17" s="3"/>
      <c r="Z17" s="3"/>
      <c r="AA17" s="3"/>
      <c r="AB17" s="3"/>
      <c r="AC17" s="3"/>
      <c r="AD17" s="3"/>
      <c r="AE17" s="3"/>
      <c r="AF17" s="266" t="str">
        <f>IF('WireDip-01'!AF17="","",'WireDip-01'!AF17)</f>
        <v>15-CVV－5C</v>
      </c>
      <c r="AG17" s="41"/>
      <c r="AH17" s="41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</row>
    <row r="18" spans="1:50" ht="13.5" customHeight="1" thickBot="1" x14ac:dyDescent="0.2">
      <c r="A18" s="339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3"/>
      <c r="S18" s="170">
        <v>23</v>
      </c>
      <c r="T18" s="99">
        <f>IF(D23="",0,IF(I23="",SQRT(((K23+S23)/10)^2+(M23+U23)^2),SQRT(((K23/10)*(H23^0.55)+S23/1000)^2+(M23*H23+U23)^2)))</f>
        <v>0</v>
      </c>
      <c r="U18" s="99">
        <f>IF(D23="",0,IF(I23="",SQRT((50*(K23/1000+0.012))^2+(M23+16.9646*(K23/1000+0.006))^2),SQRT((((K23*H23*0.001/H23)*(H23^0.55)+0.012+Y47)*50)^2+(M23*H23+16.9646*((K23*H23*0.001/H23)*(H23^0.55)+0.006)+Z47)^2)))</f>
        <v>0</v>
      </c>
      <c r="V18" s="99">
        <f>IF(D23="",0,IF(I23="",SQRT(((K23+S23)/20)^2+(M23+U23)^2),SQRT(((K23/20)*(H23^0.55)+S23/1000)^2+(M23*H23+U23)^2)))</f>
        <v>0</v>
      </c>
      <c r="W18" s="3"/>
      <c r="X18" s="3"/>
      <c r="Y18" s="3"/>
      <c r="Z18" s="3"/>
      <c r="AA18" s="3"/>
      <c r="AB18" s="3"/>
      <c r="AC18" s="3"/>
      <c r="AD18" s="3"/>
      <c r="AE18" s="3"/>
      <c r="AF18" s="266" t="str">
        <f>IF('WireDip-01'!AF18="","",'WireDip-01'!AF18)</f>
        <v>16-CVV- 6C</v>
      </c>
      <c r="AG18" s="41"/>
      <c r="AH18" s="41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</row>
    <row r="19" spans="1:50" ht="18" customHeight="1" thickBot="1" x14ac:dyDescent="0.2">
      <c r="A19" s="339"/>
      <c r="B19" s="392" t="s">
        <v>44</v>
      </c>
      <c r="C19" s="393"/>
      <c r="D19" s="364" t="s">
        <v>160</v>
      </c>
      <c r="E19" s="365"/>
      <c r="F19" s="477"/>
      <c r="G19" s="349" t="s">
        <v>184</v>
      </c>
      <c r="H19" s="349"/>
      <c r="I19" s="350"/>
      <c r="J19" s="351" t="s">
        <v>45</v>
      </c>
      <c r="K19" s="352"/>
      <c r="L19" s="214"/>
      <c r="M19" s="213" t="str">
        <f>IF(AND(B23="",B24="",B25="",B26="",B27="",B28="",B29="",OR(C33&lt;&gt;"",I33&lt;&gt;"",N33&lt;&gt;"",C47&lt;&gt;"",I47&lt;&gt;"")),"弛度補正値を消去して下さい!!",IF(AND(D23&lt;&gt;"",F19=""),"径間長を入力して下さい!!",IF(AND(D23&lt;&gt;"",L19=""),"基準弛度を入力して下さい!!","")))</f>
        <v/>
      </c>
      <c r="N19" s="38"/>
      <c r="O19" s="38"/>
      <c r="P19" s="38"/>
      <c r="Q19" s="39"/>
      <c r="R19" s="35"/>
      <c r="S19" s="170">
        <v>24</v>
      </c>
      <c r="T19" s="99" t="str">
        <f>IF(AC23=AC24,"",IF(AND(AC24=AC25,AC24=AC26,AC24=AC27,AC24=AC28,AC24=AC29),T36,IF(AND(AC24=AC25,AC24=AC26,AC24=AC27,AC24=AC28),T36,IF(AND(AC24=AC25,AC24=AC26,AC24=AC27),T38,IF(AND(AC24=AC25,AC24=AC26),T39,IF(AC24=AC25,T40,0))))))</f>
        <v/>
      </c>
      <c r="U19" s="99" t="str">
        <f>IF(AC23=AC24,"",IF(AND(AC24=AC25,AC24=AC26,AC24=AC27,AC24=AC28,AC24=AC29),T49,IF(AND(AC24=AC25,AC24=AC26,AC24=AC27,AC24=AC28),T50,IF(AND(AC24=AC25,AC24=AC26,AC24=AC27),T51,IF(AND(AC24=AC25,AC24=AC26),T52,IF(AC24=AC25,T5,0))))))</f>
        <v/>
      </c>
      <c r="V19" s="99" t="str">
        <f>IF(AC23=AC24,"",IF(AND(AC24=AC25,AC24=AC26,AC24=AC27,AC24=AC28,AC24=AC29),T62,IF(AND(AC24=AC25,AC24=AC26,AC24=AC27,AC24=AC28),T63,IF(AND(AC24=AC25,AC24=AC26,AC24=AC27),T64,IF(AND(AC24=AC25,AC24=AC26),T65,IF(AC24=AC25,T66,0))))))</f>
        <v/>
      </c>
      <c r="W19" s="35"/>
      <c r="X19" s="35"/>
      <c r="Y19" s="35"/>
      <c r="Z19" s="35"/>
      <c r="AA19" s="35"/>
      <c r="AB19" s="35"/>
      <c r="AC19" s="35"/>
      <c r="AD19" s="35"/>
      <c r="AE19" s="35"/>
      <c r="AF19" s="266" t="str">
        <f>IF('WireDip-01'!AF19="","",'WireDip-01'!AF19)</f>
        <v>17-CVV- 7C</v>
      </c>
      <c r="AG19" s="41"/>
      <c r="AH19" s="41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</row>
    <row r="20" spans="1:50" ht="11.25" customHeight="1" x14ac:dyDescent="0.15">
      <c r="A20" s="339"/>
      <c r="B20" s="367" t="s">
        <v>60</v>
      </c>
      <c r="C20" s="368"/>
      <c r="D20" s="316" t="s">
        <v>26</v>
      </c>
      <c r="E20" s="317"/>
      <c r="F20" s="316" t="s">
        <v>185</v>
      </c>
      <c r="G20" s="317"/>
      <c r="H20" s="322" t="s">
        <v>29</v>
      </c>
      <c r="I20" s="340" t="s">
        <v>257</v>
      </c>
      <c r="J20" s="353" t="s">
        <v>61</v>
      </c>
      <c r="K20" s="343" t="s">
        <v>43</v>
      </c>
      <c r="L20" s="344"/>
      <c r="M20" s="344"/>
      <c r="N20" s="345"/>
      <c r="O20" s="381" t="s">
        <v>51</v>
      </c>
      <c r="P20" s="344"/>
      <c r="Q20" s="382"/>
      <c r="R20" s="36"/>
      <c r="S20" s="169">
        <v>24</v>
      </c>
      <c r="T20" s="99">
        <f>IF(D24="",0,IF(I24="",SQRT(((K24+S24)/10)^2+(M24+U24)^2),SQRT((K24*(H24^0.55)/10+S24/1000)^2+(M24*H24+U24)^2)))</f>
        <v>0</v>
      </c>
      <c r="U20" s="99">
        <f>IF(D24="",0,IF(I24="",SQRT((50*(K24/1000+0.012))^2+(M24+16.9646*(K24/1000+0.006))^2),SQRT((((K24*H24*0.001/H24)*(H24^0.55)+0.012+Y48)*50)^2+(M24*H24+16.9646*((K24*H24*0.001/H24)*(H24^0.55)+0.006)+Z48)^2)))</f>
        <v>0</v>
      </c>
      <c r="V20" s="99">
        <f>IF(D24="",0,IF(I24="",SQRT(((K24+S24)/20)^2+(M24+U24)^2),SQRT((K24*(H24^0.55)/20+S24/1000)^2+(M24*H24+U24)^2)))</f>
        <v>0</v>
      </c>
      <c r="W20" s="36"/>
      <c r="X20" s="36"/>
      <c r="Y20" s="254" t="s">
        <v>187</v>
      </c>
      <c r="Z20" s="36"/>
      <c r="AA20" s="36"/>
      <c r="AB20" s="36"/>
      <c r="AC20" s="36"/>
      <c r="AD20" s="36"/>
      <c r="AE20" s="36"/>
      <c r="AF20" s="266" t="str">
        <f>IF('WireDip-01'!AF20="","",'WireDip-01'!AF20)</f>
        <v>18-CVV- 8C</v>
      </c>
      <c r="AG20" s="41"/>
      <c r="AH20" s="41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</row>
    <row r="21" spans="1:50" ht="11.25" customHeight="1" x14ac:dyDescent="0.15">
      <c r="A21" s="339"/>
      <c r="B21" s="369"/>
      <c r="C21" s="370"/>
      <c r="D21" s="318"/>
      <c r="E21" s="319"/>
      <c r="F21" s="318"/>
      <c r="G21" s="319"/>
      <c r="H21" s="323"/>
      <c r="I21" s="341"/>
      <c r="J21" s="354"/>
      <c r="K21" s="49" t="s">
        <v>32</v>
      </c>
      <c r="L21" s="50" t="s">
        <v>34</v>
      </c>
      <c r="M21" s="50" t="s">
        <v>36</v>
      </c>
      <c r="N21" s="50" t="s">
        <v>38</v>
      </c>
      <c r="O21" s="50" t="s">
        <v>40</v>
      </c>
      <c r="P21" s="50" t="s">
        <v>41</v>
      </c>
      <c r="Q21" s="52" t="s">
        <v>42</v>
      </c>
      <c r="R21" s="36"/>
      <c r="S21" s="36"/>
      <c r="T21" s="36"/>
      <c r="U21" s="36"/>
      <c r="V21" s="36"/>
      <c r="W21" s="36"/>
      <c r="X21" s="36"/>
      <c r="Y21" s="50" t="s">
        <v>36</v>
      </c>
      <c r="Z21" s="36"/>
      <c r="AA21" s="36"/>
      <c r="AB21" s="36"/>
      <c r="AC21" s="36"/>
      <c r="AD21" s="36"/>
      <c r="AE21" s="36"/>
      <c r="AF21" s="266" t="str">
        <f>IF('WireDip-01'!AF21="","",'WireDip-01'!AF21)</f>
        <v>19-CVV-10C</v>
      </c>
      <c r="AG21" s="41"/>
      <c r="AH21" s="41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</row>
    <row r="22" spans="1:50" ht="11.25" customHeight="1" x14ac:dyDescent="0.15">
      <c r="A22" s="339"/>
      <c r="B22" s="371"/>
      <c r="C22" s="372"/>
      <c r="D22" s="320"/>
      <c r="E22" s="321"/>
      <c r="F22" s="320"/>
      <c r="G22" s="321"/>
      <c r="H22" s="324"/>
      <c r="I22" s="342"/>
      <c r="J22" s="355"/>
      <c r="K22" s="37" t="s">
        <v>258</v>
      </c>
      <c r="L22" s="51" t="s">
        <v>259</v>
      </c>
      <c r="M22" s="51" t="s">
        <v>260</v>
      </c>
      <c r="N22" s="51" t="s">
        <v>261</v>
      </c>
      <c r="O22" s="51" t="s">
        <v>262</v>
      </c>
      <c r="P22" s="51" t="s">
        <v>263</v>
      </c>
      <c r="Q22" s="30" t="s">
        <v>263</v>
      </c>
      <c r="R22" s="36"/>
      <c r="S22" s="103" t="s">
        <v>32</v>
      </c>
      <c r="T22" s="103" t="s">
        <v>34</v>
      </c>
      <c r="U22" s="103" t="s">
        <v>36</v>
      </c>
      <c r="V22" s="104" t="s">
        <v>264</v>
      </c>
      <c r="W22" s="104" t="s">
        <v>265</v>
      </c>
      <c r="X22" s="100"/>
      <c r="Y22" s="51" t="s">
        <v>260</v>
      </c>
      <c r="Z22" s="100"/>
      <c r="AA22" s="36"/>
      <c r="AB22" s="36"/>
      <c r="AC22" s="43" t="s">
        <v>266</v>
      </c>
      <c r="AD22" s="43" t="s">
        <v>267</v>
      </c>
      <c r="AE22" s="36"/>
      <c r="AF22" s="266" t="str">
        <f>IF('WireDip-01'!AF22="","",'WireDip-01'!AF22)</f>
        <v>20-CVV-12C</v>
      </c>
      <c r="AG22" s="41"/>
      <c r="AH22" s="41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</row>
    <row r="23" spans="1:50" ht="15" customHeight="1" x14ac:dyDescent="0.15">
      <c r="A23" s="339"/>
      <c r="B23" s="394" t="str">
        <f>IF(OR(D23="",F23="",H23="",J23=""),"","使用電線-"&amp;AC23)</f>
        <v/>
      </c>
      <c r="C23" s="395"/>
      <c r="D23" s="325"/>
      <c r="E23" s="326"/>
      <c r="F23" s="478"/>
      <c r="G23" s="479" t="str">
        <f t="shared" ref="G23:G29" si="0">IF(F23=0,"",IF(OR(F23=0.5,F23=1.2,F23=2.6,F23=3.2,F23=4,F23=5),"mm","sq"))</f>
        <v/>
      </c>
      <c r="H23" s="480"/>
      <c r="I23" s="481"/>
      <c r="J23" s="482"/>
      <c r="K23" s="190" t="str">
        <f>IF(B23="","",HLOOKUP(F23,Ｗｉｒｅ,3+(VALUE(LEFT(D23,2))-1)*8,FALSE))</f>
        <v/>
      </c>
      <c r="L23" s="189" t="str">
        <f t="shared" ref="L23:L29" si="1">IF(B23="","",IF(I23="",HLOOKUP(F23,Ｗｉｒｅ,4+(VALUE(LEFT(D23,2))-1)*8),T23))</f>
        <v/>
      </c>
      <c r="M23" s="191" t="str">
        <f>IF(AND(I24="---〃---",I25="---〃---",I26="---〃---",I27="---〃---",I28="---〃---",I29="---〃---"),SUM(Y23:Y29),IF(AND(I24="---〃---",I25="---〃---",I26="---〃---",I27="---〃---",I28="---〃---"),SUM(Y23:Y28),IF(AND(I24="---〃---",I25="---〃---",I26="---〃---",I27="---〃---"),SUM(Y23:Y27),IF(AND(I24="---〃---",I25="---〃---",I26="---〃---"),SUM(Y23:Y26),IF(AND(I24="---〃---",I25="---〃---"),SUM(Y23:Y25),IF(I24="---〃---",SUM(Y23:Y24),Y23))))))</f>
        <v/>
      </c>
      <c r="N23" s="192" t="str">
        <f>IF(B23="","",IF(I23="",HLOOKUP(F23,Ｗｉｒｅ,6+(VALUE(LEFT(D23,2))-1)*8,FALSE),VLOOKUP(I23,Ｍ.Ｗｉｒｅ,5,FALSE)))</f>
        <v/>
      </c>
      <c r="O23" s="191" t="str">
        <f>IF(B23="","",IF(T17=0,T18,T17))</f>
        <v/>
      </c>
      <c r="P23" s="191" t="str">
        <f>IF(B23="","",IF(U17=0,U18,U17))</f>
        <v/>
      </c>
      <c r="Q23" s="193" t="str">
        <f>IF(B23="","",IF(V17=0,V18,V17))</f>
        <v/>
      </c>
      <c r="R23" s="58"/>
      <c r="S23" s="54">
        <f>IF(OR(I23=AH3,I23=AH4,I23=AH5,I23=AH6,I23=AH7,I23=AH8,I23=AH9,I23=AH10),VLOOKUP(I23,Ｍ.Ｗｉｒｅ,2,FALSE),0)</f>
        <v>0</v>
      </c>
      <c r="T23" s="54">
        <f>IF(OR(I23=AH3,I23=AH4,I23=AH5,I23=AH6,I23=AH7,I23=AH8,I23=AH9,I23=AH10),VLOOKUP(I23,Ｍ.Ｗｉｒｅ,3,FALSE),0)</f>
        <v>0</v>
      </c>
      <c r="U23" s="54">
        <f>IF(OR(I23=AH3,I23=AH4,I23=AH5,I23=AH6,I23=AH7,I23=AH8,I23=AH9,I23=AH10),VLOOKUP(I23,Ｍ.Ｗｉｒｅ,4,FALSE),0)</f>
        <v>0</v>
      </c>
      <c r="V23" s="96">
        <f t="shared" ref="V23:V29" si="2">IF(B23="",0,IF(I23="---〃---","",IF(I23="",HLOOKUP(F23,Ｗｉｒｅ,7+(VALUE(LEFT(D23,2))-1)*8,FALSE),VLOOKUP(I23,Ｍ.Ｗｉｒｅ,6,FALSE))))</f>
        <v>0</v>
      </c>
      <c r="W23" s="53">
        <f t="shared" ref="W23:W29" si="3">IF(B23="",0,IF(I23="---〃---","",IF(I23="",HLOOKUP(F23,Ｗｉｒｅ,8+(VALUE(LEFT(D23,2))-1)*8,FALSE),VLOOKUP(I23,Ｍ.Ｗｉｒｅ,7,FALSE))))</f>
        <v>0</v>
      </c>
      <c r="X23" s="101"/>
      <c r="Y23" s="54" t="str">
        <f t="shared" ref="Y23:Y29" si="4">IF(B23="","",HLOOKUP(F23,Ｗｉｒｅ,5+(VALUE(LEFT(D23,2))-1)*8)*H23)</f>
        <v/>
      </c>
      <c r="Z23" s="101"/>
      <c r="AA23" s="58"/>
      <c r="AB23" s="53" t="str">
        <f>IF(AC23="","",1)</f>
        <v/>
      </c>
      <c r="AC23" s="53" t="str">
        <f>IF(AND(D23&lt;&gt;"",OR(AD23=0,AD23=1)),1,"")</f>
        <v/>
      </c>
      <c r="AD23" s="53">
        <f t="shared" ref="AD23:AD29" si="5">IF(I23="",0,IF(I23="---〃---",2,IF(I23&lt;&gt;"",1,"入力ミス")))</f>
        <v>0</v>
      </c>
      <c r="AE23" s="58"/>
      <c r="AF23" s="266" t="str">
        <f>IF('WireDip-01'!AF23="","",'WireDip-01'!AF23)</f>
        <v>21-CVV-15C</v>
      </c>
      <c r="AG23" s="41"/>
      <c r="AH23" s="41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</row>
    <row r="24" spans="1:50" ht="15" customHeight="1" x14ac:dyDescent="0.15">
      <c r="A24" s="339"/>
      <c r="B24" s="373" t="str">
        <f>IF(OR(D24="",F24="",H24="",J24=""),"",IF(AC23=AC24,"---〃---","使用電線-"&amp;AC24))</f>
        <v/>
      </c>
      <c r="C24" s="374"/>
      <c r="D24" s="327"/>
      <c r="E24" s="328"/>
      <c r="F24" s="483"/>
      <c r="G24" s="479" t="str">
        <f t="shared" si="0"/>
        <v/>
      </c>
      <c r="H24" s="484"/>
      <c r="I24" s="485"/>
      <c r="J24" s="486"/>
      <c r="K24" s="194" t="str">
        <f>IF(B24="","",HLOOKUP(F24,Ｗｉｒｅ,3+(VALUE(LEFT(D24,2))-1)*8,FALSE))</f>
        <v/>
      </c>
      <c r="L24" s="189" t="str">
        <f t="shared" si="1"/>
        <v/>
      </c>
      <c r="M24" s="195" t="str">
        <f>IF(I24="---〃---",0.00001,IF(AND(I25="---〃---",I26="---〃---",I27="---〃---",I28="---〃---",I29="---〃---"),SUM(Y24:Y29),IF(AND(I25="---〃---",I26="---〃---",I27="---〃---",I28="---〃---"),SUM(Y24:Y28),IF(AND(I25="---〃---",I26="---〃---",I27="---〃---"),SUM(Y24:Y27),IF(AND(I25="---〃---",I26="---〃---"),SUM(Y24:Y26),IF(I25="---〃---",SUM(Y24:Y25),Y24))))))</f>
        <v/>
      </c>
      <c r="N24" s="196" t="str">
        <f>IF(OR(B24="",I24="---〃---"),"",IF(I24="",HLOOKUP(F24,Ｗｉｒｅ,6+(VALUE(LEFT(D24,2))-1)*8,FALSE),VLOOKUP(I24,Ｍ.Ｗｉｒｅ,5,FALSE)))</f>
        <v/>
      </c>
      <c r="O24" s="195" t="str">
        <f>IF(AND(T19=0,T20=0),"",IF(T19=0,T20,T19))</f>
        <v/>
      </c>
      <c r="P24" s="195" t="str">
        <f>IF(AND(U19=0,U20=0),"",IF(U19=0,U20,U19))</f>
        <v/>
      </c>
      <c r="Q24" s="197" t="str">
        <f>IF(AND(V19=0,V20=0),"",IF(V19=0,V20,V19))</f>
        <v/>
      </c>
      <c r="R24" s="58"/>
      <c r="S24" s="54">
        <f>IF(OR(I24=AH3,I24=AH4,I24=AH5,I24=AH6,I24=AH7,I24=AH8,I24=AH9,I24=AH10),VLOOKUP(I24,Ｍ.Ｗｉｒｅ,2,FALSE),0)</f>
        <v>0</v>
      </c>
      <c r="T24" s="54">
        <f>IF(OR(I24=AH3,I24=AH4,I24=AH5,I24=AH6,I24=AH7,I24=AH8,I24=AH9,I24=AH10),VLOOKUP(I24,Ｍ.Ｗｉｒｅ,3,FALSE),0)</f>
        <v>0</v>
      </c>
      <c r="U24" s="54">
        <f>IF(OR(I24=AH3,I24=AH4,I24=AH5,I24=AH6,I24=AH7,I24=AH8,I24=AH9,I24=AH10),VLOOKUP(I24,Ｍ.Ｗｉｒｅ,4,FALSE),0)</f>
        <v>0</v>
      </c>
      <c r="V24" s="96">
        <f t="shared" si="2"/>
        <v>0</v>
      </c>
      <c r="W24" s="53">
        <f t="shared" si="3"/>
        <v>0</v>
      </c>
      <c r="X24" s="101"/>
      <c r="Y24" s="54" t="str">
        <f t="shared" si="4"/>
        <v/>
      </c>
      <c r="Z24" s="101"/>
      <c r="AA24" s="58"/>
      <c r="AB24" s="53" t="str">
        <f t="shared" ref="AB24:AB29" si="6">IF(AC24="","",AB23+1)</f>
        <v/>
      </c>
      <c r="AC24" s="53" t="str">
        <f t="shared" ref="AC24:AC29" si="7">IF(AND(D24&lt;&gt;"",AD24=2),AC23,IF(AND(D24&lt;&gt;"",OR(AD24=0,AD24=1)),AC23+1,""))</f>
        <v/>
      </c>
      <c r="AD24" s="53">
        <f t="shared" si="5"/>
        <v>0</v>
      </c>
      <c r="AE24" s="58"/>
      <c r="AF24" s="266" t="str">
        <f>IF('WireDip-01'!AF24="","",'WireDip-01'!AF24)</f>
        <v>22-CVV-20C</v>
      </c>
      <c r="AG24" s="41"/>
      <c r="AH24" s="41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</row>
    <row r="25" spans="1:50" ht="15" customHeight="1" x14ac:dyDescent="0.15">
      <c r="A25" s="339"/>
      <c r="B25" s="373" t="str">
        <f>IF(OR(D25="",F25="",H25="",J25=""),"",IF(AC24=AC25,"---〃---","使用電線-"&amp;AC25))</f>
        <v/>
      </c>
      <c r="C25" s="374"/>
      <c r="D25" s="327"/>
      <c r="E25" s="328"/>
      <c r="F25" s="483"/>
      <c r="G25" s="479" t="str">
        <f t="shared" si="0"/>
        <v/>
      </c>
      <c r="H25" s="484"/>
      <c r="I25" s="485"/>
      <c r="J25" s="486"/>
      <c r="K25" s="194" t="str">
        <f>IF(B25="","",HLOOKUP(F25,Ｗｉｒｅ,3+(VALUE(LEFT(D25,2))-1)*8,FALSE))</f>
        <v/>
      </c>
      <c r="L25" s="189" t="str">
        <f t="shared" si="1"/>
        <v/>
      </c>
      <c r="M25" s="195" t="str">
        <f>IF(I25="---〃---",0.00001,IF(AND(I26="---〃---",I27="---〃---",I28="---〃---",I29="---〃---"),SUM(Y25:Y29),IF(AND(I26="---〃---",I27="---〃---",I28="---〃---"),SUM(Y25:Y28),IF(AND(I26="---〃---",I27="---〃---"),SUM(Y25:Y27),IF(I26="---〃---",SUM(Y25:Y26),Y25)))))</f>
        <v/>
      </c>
      <c r="N25" s="196" t="str">
        <f>IF(OR(B25="",I25="---〃---"),"",IF(I25="",HLOOKUP(F25,Ｗｉｒｅ,6+(VALUE(LEFT(D25,2))-1)*8,FALSE),VLOOKUP(I25,Ｍ.Ｗｉｒｅ,5,FALSE)))</f>
        <v/>
      </c>
      <c r="O25" s="195" t="str">
        <f>IF(B25="","",IF(AC24=AC25,"",IF(AND(AC25=AC26,AC25=AC27,AC25=AC28,AC25=AC29),U37,IF(AND(AC25=AC26,AC25=AC27,AC25=AC28),U38,IF(AND(AC25=AC26,AC25=AC27),U39,IF(AC25=AC26,U40,IF(I25="",SQRT(((K25+S25)/10)^2+(M25+U25)^2),SQRT(((K25/10)*(H25^0.55)+S25/1000)^2+(M25*H25+U25)^2))))))))</f>
        <v/>
      </c>
      <c r="P25" s="195" t="str">
        <f>IF(O25="","",IF(AC24=AC25,"",IF(AND(AC25=AC26,AC25=AC27,AC25=AC28,AC25=AC29),U50,IF(AND(AC25=AC26,AC25=AC27,AC25=AC28),U51,IF(AND(AC25=AC26,AC25=AC27),U52,IF(AC25=AC26,U53,IF(I25="",SQRT((50*(K25/1000+0.012))^2+(M25+16.9646*(K25/1000+0.006))^2),SQRT((((K25*H25*0.001/H25)*(H25^0.55)+0.012+Y49)*50)^2+(M25*H25+16.9646*((K25*H25*0.001/H25)*(H25^0.55)+0.006)+Z49)^2))))))))</f>
        <v/>
      </c>
      <c r="Q25" s="197" t="str">
        <f>IF(O25="","",IF(AC24=AC25,"",IF(AND(AC25=AC26,AC25=AC27,AC25=AC28,AC25=AC29),U63,IF(AND(AC25=AC26,AC25=AC27,AC25=AC28),U64,IF(AND(AC25=AC26,AC25=AC27),U65,IF(AC25=AC26,U66,IF(I25="",SQRT(((K25+S25)/20)^2+(M25+U25)^2),SQRT(((K25/20)*(H25^0.55)+S25/1000)^2+(M25*H25+U25)^2))))))))</f>
        <v/>
      </c>
      <c r="R25" s="58"/>
      <c r="S25" s="54">
        <f>IF(OR(I25=AH3,I25=AH4,I25=AH5,I25=AH6,I25=AH7,I25=AH8,I25=AH9,I25=AH10),VLOOKUP(I25,Ｍ.Ｗｉｒｅ,2,FALSE),0)</f>
        <v>0</v>
      </c>
      <c r="T25" s="54">
        <f>IF(OR(I25=AH3,I25=AH4,I25=AH5,I25=AH6,I25=AH7,I25=AH8,I25=AH9,I25=AH10),VLOOKUP(I25,Ｍ.Ｗｉｒｅ,3,FALSE),0)</f>
        <v>0</v>
      </c>
      <c r="U25" s="54">
        <f>IF(OR(I25=AH3,I25=AH4,I25=AH5,I25=AH6,I25=AH7,I25=AH8,I25=AH9,I25=AH10),VLOOKUP(I25,Ｍ.Ｗｉｒｅ,4,FALSE),0)</f>
        <v>0</v>
      </c>
      <c r="V25" s="96">
        <f t="shared" si="2"/>
        <v>0</v>
      </c>
      <c r="W25" s="53">
        <f t="shared" si="3"/>
        <v>0</v>
      </c>
      <c r="X25" s="101"/>
      <c r="Y25" s="54" t="str">
        <f t="shared" si="4"/>
        <v/>
      </c>
      <c r="Z25" s="101"/>
      <c r="AA25" s="58"/>
      <c r="AB25" s="53" t="str">
        <f t="shared" si="6"/>
        <v/>
      </c>
      <c r="AC25" s="53" t="str">
        <f t="shared" si="7"/>
        <v/>
      </c>
      <c r="AD25" s="53">
        <f t="shared" si="5"/>
        <v>0</v>
      </c>
      <c r="AE25" s="58"/>
      <c r="AF25" s="266" t="str">
        <f>IF('WireDip-01'!AF25="","",'WireDip-01'!AF25)</f>
        <v>23-CVV-30C</v>
      </c>
      <c r="AG25" s="41"/>
      <c r="AH25" s="41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</row>
    <row r="26" spans="1:50" ht="15" customHeight="1" x14ac:dyDescent="0.15">
      <c r="A26" s="339"/>
      <c r="B26" s="373" t="str">
        <f>IF(OR(D26="",F26="",H26="",J26=""),"",IF(AC25=AC26,"---〃---","使用電線-"&amp;AC26))</f>
        <v/>
      </c>
      <c r="C26" s="374"/>
      <c r="D26" s="327"/>
      <c r="E26" s="328"/>
      <c r="F26" s="483"/>
      <c r="G26" s="479" t="str">
        <f t="shared" si="0"/>
        <v/>
      </c>
      <c r="H26" s="484"/>
      <c r="I26" s="485"/>
      <c r="J26" s="486"/>
      <c r="K26" s="194" t="str">
        <f>IF(B26="","",HLOOKUP(F26,Ｗｉｒｅ,3+(VALUE(LEFT(D26,2))-1)*8,FALSE))</f>
        <v/>
      </c>
      <c r="L26" s="189" t="str">
        <f t="shared" si="1"/>
        <v/>
      </c>
      <c r="M26" s="195" t="str">
        <f>IF(I26="---〃---",0.00001,IF(AND(I27="---〃---",I28="---〃---",I29="---〃---"),SUM(Y26:Y29),IF(AND(I27="---〃---",I28="---〃---"),SUM(Y26:Y28),IF(I27="---〃---",SUM(Y26:Y27),Y26))))</f>
        <v/>
      </c>
      <c r="N26" s="196" t="str">
        <f>IF(OR(B26="",I26="---〃---"),"",IF(I26="",HLOOKUP(F26,Ｗｉｒｅ,6+(VALUE(LEFT(D26,2))-1)*8,FALSE),VLOOKUP(I26,Ｍ.Ｗｉｒｅ,5,FALSE)))</f>
        <v/>
      </c>
      <c r="O26" s="195" t="str">
        <f>IF(B26="","",IF(AC25=AC26,"",IF(AND(AC26=AC27,AC26=AC28,AC26=AC29),V38,IF(AND(AC26=AC27,AC26=AC28),V39,IF(AC26=AC27,V40,IF(I26="",SQRT(((K26+S26)/10)^2+(M26+U26)^2),SQRT(((K26/10)*(H26^0.55)+S26/1000)^2+(M26*H26+U26)^2)))))))</f>
        <v/>
      </c>
      <c r="P26" s="195" t="str">
        <f>IF(O26="","",IF(AC25=AC26,"",IF(AND(AC26=AC27,AC26=AC28,AC26=AC29),V51,IF(AND(AC26=AC27,AC26=AC28),V52,IF(AC26=AC27,V53,IF(I26="",SQRT((50*(K26/1000+0.012))^2+(M26+16.9646*(K26/1000+0.006))^2),SQRT((((K26*H26*0.001/H26)*(H26^0.55)+0.012+Y50)*50)^2+(M26*H26+16.9646*((K26*H26*0.001/H26)*(H26^0.55)+0.006)+Z50)^2)))))))</f>
        <v/>
      </c>
      <c r="Q26" s="197" t="str">
        <f>IF(O26="","",IF(AC25=AC26,"",IF(AND(AC26=AC27,AC26=AC28,AC26=AC29),V64,IF(AND(AC26=AC27,AC26=AC28),V65,IF(AC26=AC27,V66,IF(I26="",SQRT(((K26+S26)/20)^2+(M26+U26)^2),SQRT(((K26/20)*(H26^0.55)+S26/1000)^2+(M26*H26+U26)^2)))))))</f>
        <v/>
      </c>
      <c r="R26" s="58"/>
      <c r="S26" s="54">
        <f>IF(OR(I26=AH3,I26=AH4,I26=AH5,I26=AH6,I26=AH7,I26=AH8,I26=AH9,I26=AH10),VLOOKUP(I26,Ｍ.Ｗｉｒｅ,2,FALSE),0)</f>
        <v>0</v>
      </c>
      <c r="T26" s="54">
        <f>IF(OR(I26=AH3,I26=AH4,I26=AH5,I26=AH6,I26=AH7,I26=AH8,I26=AH9,I26=AH10),VLOOKUP(I26,Ｍ.Ｗｉｒｅ,3,FALSE),0)</f>
        <v>0</v>
      </c>
      <c r="U26" s="54">
        <f>IF(OR(I26=AH3,I26=AH4,I26=AH5,I26=AH6,I26=AH7,I26=AH8,I26=AH9,I26=AH10),VLOOKUP(I26,Ｍ.Ｗｉｒｅ,4,FALSE),0)</f>
        <v>0</v>
      </c>
      <c r="V26" s="96">
        <f t="shared" si="2"/>
        <v>0</v>
      </c>
      <c r="W26" s="53">
        <f t="shared" si="3"/>
        <v>0</v>
      </c>
      <c r="X26" s="101"/>
      <c r="Y26" s="54" t="str">
        <f t="shared" si="4"/>
        <v/>
      </c>
      <c r="Z26" s="101"/>
      <c r="AA26" s="58"/>
      <c r="AB26" s="53" t="str">
        <f t="shared" si="6"/>
        <v/>
      </c>
      <c r="AC26" s="53" t="str">
        <f t="shared" si="7"/>
        <v/>
      </c>
      <c r="AD26" s="53">
        <f t="shared" si="5"/>
        <v>0</v>
      </c>
      <c r="AE26" s="58"/>
      <c r="AF26" s="266" t="str">
        <f>IF('WireDip-01'!AF26="","",'WireDip-01'!AF26)</f>
        <v xml:space="preserve">24-USER Reg. </v>
      </c>
      <c r="AG26" s="41"/>
      <c r="AH26" s="41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</row>
    <row r="27" spans="1:50" ht="15" customHeight="1" x14ac:dyDescent="0.15">
      <c r="A27" s="339"/>
      <c r="B27" s="373" t="str">
        <f>IF(OR(D27="",F27="",H27="",J27=""),"",IF(AC26=AC27,"---〃---","使用電線-"&amp;AC27))</f>
        <v/>
      </c>
      <c r="C27" s="374"/>
      <c r="D27" s="327"/>
      <c r="E27" s="328"/>
      <c r="F27" s="483"/>
      <c r="G27" s="479" t="str">
        <f t="shared" si="0"/>
        <v/>
      </c>
      <c r="H27" s="484"/>
      <c r="I27" s="485"/>
      <c r="J27" s="486"/>
      <c r="K27" s="194" t="str">
        <f>IF(B27="","",HLOOKUP(F27,Ｗｉｒｅ,3+(VALUE(LEFT(D27,2))-1)*8,FALSE))</f>
        <v/>
      </c>
      <c r="L27" s="189" t="str">
        <f t="shared" si="1"/>
        <v/>
      </c>
      <c r="M27" s="195" t="str">
        <f>IF(I27="---〃---",0.00001,IF(AND(I28="---〃---",I29="---〃---"),SUM(Y27:Y29),IF(I28="---〃---",SUM(Y27:Y28),Y27)))</f>
        <v/>
      </c>
      <c r="N27" s="196" t="str">
        <f>IF(OR(B27="",I27="---〃---"),"",IF(I27="",HLOOKUP(F27,Ｗｉｒｅ,6+(VALUE(LEFT(D27,2))-1)*8,FALSE),VLOOKUP(I27,Ｍ.Ｗｉｒｅ,5,FALSE)))</f>
        <v/>
      </c>
      <c r="O27" s="195" t="str">
        <f>IF(B27="","",IF(AC26=AC27,"",IF(AND(AC27=AC28,AC27=AC29),W39,IF(AC27=AC28,W40,IF(I27="",SQRT(((K27+S27)/10)^2+(M27+U27)^2),SQRT(((K27/10)*(H27^0.55)+S27/1000)^2+(M27*H27+U27)^2))))))</f>
        <v/>
      </c>
      <c r="P27" s="195" t="str">
        <f>IF(O27="","",IF(AC26=AC27,"",IF(AND(AC27=AC28,AC27=AC29),W52,IF(AC27=AC28,W53,IF(I27="",SQRT((50*(K27/1000+0.012))^2+(M27+16.9646*(K27/1000+0.006))^2),SQRT((((K27*H27*0.001/H27)*(H27^0.55)+0.012+Y51)*50)^2+(M27*H27+16.9646*((K27*H27*0.001/H27)*(H27^0.55)+0.006)+Z51)^2))))))</f>
        <v/>
      </c>
      <c r="Q27" s="197" t="str">
        <f>IF(O27="","",IF(AC26=AC27,"",IF(AND(AC27=AC28,AC27=AC29),W65,IF(AC27=AC28,W66,IF(I27="",SQRT(((K27+S27)/20)^2+(M27+U27)^2),SQRT(((K27/20)*(H27^0.55)+S27/1000)^2+(M27*H27+U27)^2))))))</f>
        <v/>
      </c>
      <c r="R27" s="58"/>
      <c r="S27" s="54">
        <f>IF(OR(I27=AH3,I27=AH4,I27=AH5,I27=AH6,I27=AH7,I27=AH8,I27=AH9,I27=AH10),VLOOKUP(I27,Ｍ.Ｗｉｒｅ,2,FALSE),0)</f>
        <v>0</v>
      </c>
      <c r="T27" s="54">
        <f>IF(OR(I27=AH3,I27=AH4,I27=AH5,I27=AH6,I27=AH7,I27=AH8,I27=AH9,I27=AH10),VLOOKUP(I27,Ｍ.Ｗｉｒｅ,3,FALSE),0)</f>
        <v>0</v>
      </c>
      <c r="U27" s="54">
        <f>IF(OR(I27=AH3,I27=AH4,I27=AH5,I27=AH6,I27=AH7,I27=AH8,I27=AH9,I27=AH10),VLOOKUP(I27,Ｍ.Ｗｉｒｅ,4,FALSE),0)</f>
        <v>0</v>
      </c>
      <c r="V27" s="96">
        <f t="shared" si="2"/>
        <v>0</v>
      </c>
      <c r="W27" s="53">
        <f t="shared" si="3"/>
        <v>0</v>
      </c>
      <c r="X27" s="101"/>
      <c r="Y27" s="54" t="str">
        <f t="shared" si="4"/>
        <v/>
      </c>
      <c r="Z27" s="101"/>
      <c r="AA27" s="58"/>
      <c r="AB27" s="53" t="str">
        <f t="shared" si="6"/>
        <v/>
      </c>
      <c r="AC27" s="53" t="str">
        <f t="shared" si="7"/>
        <v/>
      </c>
      <c r="AD27" s="53">
        <f t="shared" si="5"/>
        <v>0</v>
      </c>
      <c r="AE27" s="58"/>
      <c r="AF27" s="266" t="str">
        <f>IF('WireDip-01'!AF27="","",'WireDip-01'!AF27)</f>
        <v xml:space="preserve">25-USER Reg. </v>
      </c>
      <c r="AG27" s="41"/>
      <c r="AH27" s="41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</row>
    <row r="28" spans="1:50" ht="15" customHeight="1" x14ac:dyDescent="0.15">
      <c r="A28" s="339"/>
      <c r="B28" s="373" t="str">
        <f>IF(AC28="","",IF(AC28&gt;5,"計算不可",IF(OR(D28="",F28="",H28="",J28=""),"",IF(AC27=AC28,"---〃---","使用電線-"&amp;AC28))))</f>
        <v/>
      </c>
      <c r="C28" s="374"/>
      <c r="D28" s="327"/>
      <c r="E28" s="328"/>
      <c r="F28" s="483"/>
      <c r="G28" s="479" t="str">
        <f t="shared" si="0"/>
        <v/>
      </c>
      <c r="H28" s="484"/>
      <c r="I28" s="485"/>
      <c r="J28" s="486"/>
      <c r="K28" s="194" t="str">
        <f>IF(OR(B28="",B28="計算不可"),"",HLOOKUP(F28,Ｗｉｒｅ,3+(VALUE(LEFT(D28,2))-1)*8,FALSE))</f>
        <v/>
      </c>
      <c r="L28" s="189" t="str">
        <f t="shared" si="1"/>
        <v/>
      </c>
      <c r="M28" s="195" t="str">
        <f>IF(I28="---〃---",0.00001,IF(I29="---〃---",SUM(Y28:Y29),Y28))</f>
        <v/>
      </c>
      <c r="N28" s="196" t="str">
        <f>IF(OR(B28="",I28="---〃---",B28="計算不可"),"",IF(I28="",HLOOKUP(F28,Ｗｉｒｅ,6+(VALUE(LEFT(D28,2))-1)*8,FALSE),VLOOKUP(I28,Ｍ.Ｗｉｒｅ,5,FALSE)))</f>
        <v/>
      </c>
      <c r="O28" s="195" t="str">
        <f>IF(OR(B28="",B28="計算不可"),"",IF(B28="","",IF(AC27=AC28,"",IF(AC28=AC29,X40,IF(I28="",SQRT(((K28+S28)/10)^2+(M28+U28)^2),SQRT(((K28/10)*(H28^0.55)+S28/1000)^2+(M28*H28+U28)^2))))))</f>
        <v/>
      </c>
      <c r="P28" s="195" t="str">
        <f>IF(O28="","",IF(B28="","",IF(AC27=AC28,"",IF(AC28=AC29,X53,IF(I28="",SQRT((50*(K28/1000+0.012))^2+(M28+16.9646*(K28/1000+0.006))^2),SQRT((((K28*H28*0.001/H28)*(H28^0.55)+0.012+Y52)*50)^2+(M28*H28+16.9646*((K28*H28*0.001/H28)*(H28^0.55)+0.006)+Z52)^2))))))</f>
        <v/>
      </c>
      <c r="Q28" s="197" t="str">
        <f>IF(O28="","",IF(B28="","",IF(AC27=AC28,"",IF(AC28=AC29,X66,IF(I28="",SQRT(((K28+S28)/20)^2+(M28+U28)^2),SQRT(((K28/20)*(H28^0.55)+S28/1000)^2+(M28*H28+U28)^2))))))</f>
        <v/>
      </c>
      <c r="R28" s="58"/>
      <c r="S28" s="54">
        <f>IF(OR(I28=AH3,I28=AH4,I28=AH5,I28=AH6,I28=AH7,I28=AH8,I28=AH9,I28=AH10),VLOOKUP(I28,Ｍ.Ｗｉｒｅ,2,FALSE),0)</f>
        <v>0</v>
      </c>
      <c r="T28" s="54">
        <f>IF(OR(I28=AH3,I28=AH4,I28=AH5,I28=AH6,I28=AH7,I28=AH8,I28=AH9,I28=AH10),VLOOKUP(I28,Ｍ.Ｗｉｒｅ,3,FALSE),0)</f>
        <v>0</v>
      </c>
      <c r="U28" s="54">
        <f>IF(OR(I28=AH3,I28=AH4,I28=AH5,I28=AH6,I28=AH7,I28=AH8,I28=AH9,I28=AH10),VLOOKUP(I28,Ｍ.Ｗｉｒｅ,4,FALSE),0)</f>
        <v>0</v>
      </c>
      <c r="V28" s="96">
        <f t="shared" si="2"/>
        <v>0</v>
      </c>
      <c r="W28" s="53">
        <f t="shared" si="3"/>
        <v>0</v>
      </c>
      <c r="X28" s="101"/>
      <c r="Y28" s="54" t="str">
        <f t="shared" si="4"/>
        <v/>
      </c>
      <c r="Z28" s="101"/>
      <c r="AA28" s="58"/>
      <c r="AB28" s="53" t="str">
        <f t="shared" si="6"/>
        <v/>
      </c>
      <c r="AC28" s="53" t="str">
        <f t="shared" si="7"/>
        <v/>
      </c>
      <c r="AD28" s="53">
        <f t="shared" si="5"/>
        <v>0</v>
      </c>
      <c r="AE28" s="58"/>
      <c r="AF28" s="266" t="str">
        <f>IF('WireDip-01'!AF28="","",'WireDip-01'!AF28)</f>
        <v xml:space="preserve">26-USER Reg. </v>
      </c>
      <c r="AG28" s="3"/>
      <c r="AH28" s="3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</row>
    <row r="29" spans="1:50" ht="15" customHeight="1" x14ac:dyDescent="0.15">
      <c r="A29" s="339"/>
      <c r="B29" s="373" t="str">
        <f>IF(AC29="","",IF(AC29&gt;5,"計算不可",IF(OR(D29="",F29="",H29="",J29=""),"",IF(AC28=AC29,"---〃---","使用電線-"&amp;AC29))))</f>
        <v/>
      </c>
      <c r="C29" s="374"/>
      <c r="D29" s="327"/>
      <c r="E29" s="328"/>
      <c r="F29" s="483"/>
      <c r="G29" s="479" t="str">
        <f t="shared" si="0"/>
        <v/>
      </c>
      <c r="H29" s="484"/>
      <c r="I29" s="485"/>
      <c r="J29" s="486"/>
      <c r="K29" s="194" t="str">
        <f>IF(OR(B29="",B29="計算不可"),"",HLOOKUP(F29,Ｗｉｒｅ,3+(VALUE(LEFT(D29,2))-1)*8,FALSE))</f>
        <v/>
      </c>
      <c r="L29" s="189" t="str">
        <f t="shared" si="1"/>
        <v/>
      </c>
      <c r="M29" s="195" t="str">
        <f>IF(I29="---〃---",0.00001,Y29)</f>
        <v/>
      </c>
      <c r="N29" s="196" t="str">
        <f>IF(OR(B29="",I29="---〃---",B29="計算不可"),"",IF(I29="",HLOOKUP(F29,Ｗｉｒｅ,6+(VALUE(LEFT(D29,2))-1)*8,FALSE),VLOOKUP(I29,Ｍ.Ｗｉｒｅ,5,FALSE)))</f>
        <v/>
      </c>
      <c r="O29" s="195" t="str">
        <f>IF(OR(B29="",B29="計算不可"),"",IF(AC28=AC29,"",IF(I29="",SQRT(((K29+S29)/10)^2+(M29+U29)^2),SQRT(((K29/10)*(H29^0.55)+S29/1000)^2+(M29*H29+U29)^2))))</f>
        <v/>
      </c>
      <c r="P29" s="195" t="str">
        <f>IF(O29="","",IF(AC28=AC29,"",IF(I29="",SQRT((50*(K29/1000+0.012))^2+(M29+16.9646*(K29/1000+0.006))^2),SQRT((((K29*H29*0.001/H29)*(H29^0.55)+0.012+Y53)*50)^2+(M29*H29+16.9646*((K29*H29*0.001/H29)*(H29^0.55)+0.006)+Z53)^2))))</f>
        <v/>
      </c>
      <c r="Q29" s="197" t="str">
        <f>IF(O29="","",IF(AC28=AC29,"",IF(I29="",SQRT(((K29+S29)/20)^2+(M29+U29)^2),SQRT(((K29/20)*(H29^0.55)+S29/1000)^2+(M29*H29+U29)^2))))</f>
        <v/>
      </c>
      <c r="R29" s="58"/>
      <c r="S29" s="54">
        <f>IF(OR(I29=AH3,I29=AH4,I29=AH5,I29=AH6,I29=AH7,I29=AH8,I29=AH9,I29=AH10),VLOOKUP(I29,Ｍ.Ｗｉｒｅ,2,FALSE),0)</f>
        <v>0</v>
      </c>
      <c r="T29" s="54">
        <f>IF(OR(I29=AH3,I29=AH4,I29=AH5,I29=AH6,I29=AH7,I29=AH8,I29=AH9,I29=AH10),VLOOKUP(I29,Ｍ.Ｗｉｒｅ,3,FALSE),0)</f>
        <v>0</v>
      </c>
      <c r="U29" s="54">
        <f>IF(OR(I29=AH3,I29=AH4,I29=AH5,I29=AH6,I29=AH7,I29=AH8,I29=AH9,I29=AH10),VLOOKUP(I29,Ｍ.Ｗｉｒｅ,4,FALSE),0)</f>
        <v>0</v>
      </c>
      <c r="V29" s="96">
        <f t="shared" si="2"/>
        <v>0</v>
      </c>
      <c r="W29" s="53">
        <f t="shared" si="3"/>
        <v>0</v>
      </c>
      <c r="X29" s="101"/>
      <c r="Y29" s="54" t="str">
        <f t="shared" si="4"/>
        <v/>
      </c>
      <c r="Z29" s="101"/>
      <c r="AA29" s="58"/>
      <c r="AB29" s="53" t="str">
        <f t="shared" si="6"/>
        <v/>
      </c>
      <c r="AC29" s="53" t="str">
        <f t="shared" si="7"/>
        <v/>
      </c>
      <c r="AD29" s="53">
        <f t="shared" si="5"/>
        <v>0</v>
      </c>
      <c r="AE29" s="58"/>
      <c r="AF29" s="266" t="str">
        <f>IF('WireDip-01'!AF29="","",'WireDip-01'!AF29)</f>
        <v xml:space="preserve">27-USER Reg. </v>
      </c>
      <c r="AG29" s="3"/>
      <c r="AH29" s="3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</row>
    <row r="30" spans="1:50" ht="15" customHeight="1" x14ac:dyDescent="0.15">
      <c r="A30" s="339"/>
      <c r="B30" s="375"/>
      <c r="C30" s="376"/>
      <c r="D30" s="327"/>
      <c r="E30" s="328"/>
      <c r="F30" s="487"/>
      <c r="G30" s="479"/>
      <c r="H30" s="484"/>
      <c r="I30" s="484"/>
      <c r="J30" s="486"/>
      <c r="K30" s="105"/>
      <c r="L30" s="97"/>
      <c r="M30" s="54"/>
      <c r="N30" s="94"/>
      <c r="O30" s="54"/>
      <c r="P30" s="54"/>
      <c r="Q30" s="98"/>
      <c r="R30" s="58"/>
      <c r="S30" s="36"/>
      <c r="T30" s="36"/>
      <c r="U30" s="36"/>
      <c r="V30" s="36"/>
      <c r="W30" s="36"/>
      <c r="X30" s="101"/>
      <c r="Y30" s="101"/>
      <c r="Z30" s="101"/>
      <c r="AA30" s="58"/>
      <c r="AB30" s="36"/>
      <c r="AC30" s="36"/>
      <c r="AD30" s="36"/>
      <c r="AE30" s="58"/>
      <c r="AF30" s="266" t="str">
        <f>IF('WireDip-01'!AF30="","",'WireDip-01'!AF30)</f>
        <v xml:space="preserve">28-USER Reg. </v>
      </c>
      <c r="AG30" s="3"/>
      <c r="AH30" s="3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</row>
    <row r="31" spans="1:50" ht="15" customHeight="1" x14ac:dyDescent="0.15">
      <c r="A31" s="339"/>
      <c r="B31" s="44"/>
      <c r="C31" s="185"/>
      <c r="D31" s="45"/>
      <c r="E31" s="45"/>
      <c r="F31" s="46"/>
      <c r="G31" s="47"/>
      <c r="H31" s="48"/>
      <c r="I31" s="45"/>
      <c r="J31" s="48"/>
      <c r="K31" s="11"/>
      <c r="L31" s="11"/>
      <c r="M31" s="11"/>
      <c r="N31" s="11"/>
      <c r="O31" s="11"/>
      <c r="P31" s="11"/>
      <c r="Q31" s="23"/>
      <c r="R31" s="3"/>
      <c r="S31" s="36"/>
      <c r="T31" s="36"/>
      <c r="U31" s="36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266" t="str">
        <f>IF('WireDip-01'!AF31="","",'WireDip-01'!AF31)</f>
        <v xml:space="preserve">29-USER Reg. </v>
      </c>
      <c r="AG31" s="3"/>
      <c r="AH31" s="3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</row>
    <row r="32" spans="1:50" ht="12.75" customHeight="1" x14ac:dyDescent="0.15">
      <c r="A32" s="339"/>
      <c r="B32" s="386" t="str">
        <f>IF(AC23="","","使用電線-"&amp;AC23)</f>
        <v/>
      </c>
      <c r="C32" s="387"/>
      <c r="D32" s="29" t="s">
        <v>21</v>
      </c>
      <c r="E32" s="29" t="s">
        <v>22</v>
      </c>
      <c r="F32" s="356" t="s">
        <v>23</v>
      </c>
      <c r="G32" s="411" t="str">
        <f>IF(AC24=2,"使用電線-"&amp;AC24,IF(AC25=2,"使用電線-"&amp;AC25,IF(AC26=2,"使用電線-"&amp;AC26,IF(AC27=2,"使用電線-"&amp;AC27,IF(AC28=2,"使用電線-"&amp;AC28,IF(AC29=2,"使用電線-"&amp;AC29,IF(AC30=2,"使用電線-"&amp;AC30,"")))))))</f>
        <v/>
      </c>
      <c r="H32" s="412"/>
      <c r="I32" s="387"/>
      <c r="J32" s="29" t="s">
        <v>21</v>
      </c>
      <c r="K32" s="29" t="s">
        <v>22</v>
      </c>
      <c r="L32" s="356" t="s">
        <v>23</v>
      </c>
      <c r="M32" s="411" t="str">
        <f>IF(AC25=3,"使用電線-"&amp;AC25,IF(AC26=3,"使用電線-"&amp;AC26,IF(AC27=3,"使用電線-"&amp;AC27,IF(AC28=3,"使用電線-"&amp;AC28,IF(AC29=3,"使用電線-"&amp;AC29,IF(AC30=3,"使用電線-"&amp;AC30,""))))))</f>
        <v/>
      </c>
      <c r="N32" s="387"/>
      <c r="O32" s="29" t="s">
        <v>21</v>
      </c>
      <c r="P32" s="29" t="s">
        <v>22</v>
      </c>
      <c r="Q32" s="379" t="s">
        <v>23</v>
      </c>
      <c r="R32" s="36"/>
      <c r="S32" s="36"/>
      <c r="T32" s="10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266" t="str">
        <f>IF('WireDip-01'!AF32="","",'WireDip-01'!AF32)</f>
        <v xml:space="preserve">30-USER Reg. </v>
      </c>
      <c r="AG32" s="36"/>
      <c r="AH32" s="36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</row>
    <row r="33" spans="1:50" ht="12.75" customHeight="1" x14ac:dyDescent="0.15">
      <c r="A33" s="339"/>
      <c r="B33" s="187" t="str">
        <f>IF(B32="","","弛度補正")</f>
        <v/>
      </c>
      <c r="C33" s="182"/>
      <c r="D33" s="55" t="s">
        <v>125</v>
      </c>
      <c r="E33" s="55" t="s">
        <v>24</v>
      </c>
      <c r="F33" s="357"/>
      <c r="G33" s="383" t="str">
        <f>IF(G32="","","弛度補正")</f>
        <v/>
      </c>
      <c r="H33" s="384"/>
      <c r="I33" s="182"/>
      <c r="J33" s="55" t="s">
        <v>125</v>
      </c>
      <c r="K33" s="55" t="s">
        <v>24</v>
      </c>
      <c r="L33" s="357"/>
      <c r="M33" s="181" t="str">
        <f>IF(M32="","","弛度補正")</f>
        <v/>
      </c>
      <c r="N33" s="182"/>
      <c r="O33" s="55" t="s">
        <v>125</v>
      </c>
      <c r="P33" s="55" t="s">
        <v>24</v>
      </c>
      <c r="Q33" s="380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266" t="str">
        <f>IF('WireDip-01'!AF33="","",'WireDip-01'!AF33)</f>
        <v xml:space="preserve">31-USER Reg. </v>
      </c>
      <c r="AG33" s="36"/>
      <c r="AH33" s="36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</row>
    <row r="34" spans="1:50" ht="13.5" customHeight="1" x14ac:dyDescent="0.15">
      <c r="A34" s="339"/>
      <c r="B34" s="346" t="s">
        <v>13</v>
      </c>
      <c r="C34" s="347"/>
      <c r="D34" s="335" t="str">
        <f>IF(B32="","",AQ71*H23*J23)</f>
        <v/>
      </c>
      <c r="E34" s="337" t="str">
        <f>IF(D34="","",AQ70)</f>
        <v/>
      </c>
      <c r="F34" s="360" t="str">
        <f>IF(D34="","",N23*H23*J23/D34)</f>
        <v/>
      </c>
      <c r="G34" s="287" t="s">
        <v>13</v>
      </c>
      <c r="H34" s="288"/>
      <c r="I34" s="289"/>
      <c r="J34" s="335" t="str">
        <f>IF(G32="","",IF(B24="使用電線-2",AZ71*H24*J24,IF(B25="使用電線-2",AZ71*H25*J25,IF(B26="使用電線-2",AZ71*H26*J26,IF(B27="使用電線-2",AZ71*H27*J27,IF(B28="使用電線-2",AZ71*H28*J28,IF(B29="使用電線-2",AZ71*H29*J29,"")))))))</f>
        <v/>
      </c>
      <c r="K34" s="337" t="str">
        <f>IF(J34="","",AZ70)</f>
        <v/>
      </c>
      <c r="L34" s="302" t="str">
        <f>IF(J34="","",IF(B24="使用電線-2",N24*H24*J24/J34,IF(B25="使用電線-2",N25*H25*J25/J34,IF(B26="使用電線-2",N26*H26*J26/J34,IF(B27="使用電線-2",N27*H27*J27/J34,IF(B28="使用電線-2",N28*H28*J28/J34,IF(B29="使用電線-2",N29*H29*J29/J34)))))))</f>
        <v/>
      </c>
      <c r="M34" s="287" t="s">
        <v>13</v>
      </c>
      <c r="N34" s="347"/>
      <c r="O34" s="335" t="str">
        <f>IF(M32="","",IF(B25="使用電線-3",BI71*H25*J25,IF(B26="使用電線-3",BI71*H26*J26,IF(B27="使用電線-3",BI71*H27*J27,IF(B28="使用電線-3",BI71*H28*J28,IF(B29="使用電線-3",BI71*H29*J29,""))))))</f>
        <v/>
      </c>
      <c r="P34" s="337" t="str">
        <f>IF(O34="","",BI70)</f>
        <v/>
      </c>
      <c r="Q34" s="306" t="str">
        <f>IF(O34="","",IF(B25="使用電線-3",N25*H25*J25/O34,IF(B26="使用電線-3",N26*H26*J26/O34,IF(B27="使用電線-3",N27*H27*J27/O34,IF(B28="使用電線-3",N28*H28*J28/O34,IF(B29="使用電線-3",N29*H29*J29/O34))))))</f>
        <v/>
      </c>
      <c r="R34" s="59"/>
      <c r="S34" s="103" t="s">
        <v>121</v>
      </c>
      <c r="T34" s="36"/>
      <c r="U34" s="102"/>
      <c r="V34" s="102"/>
      <c r="W34" s="59"/>
      <c r="X34" s="59"/>
      <c r="Y34" s="59"/>
      <c r="Z34" s="59"/>
      <c r="AA34" s="59"/>
      <c r="AB34" s="59"/>
      <c r="AC34" s="59"/>
      <c r="AD34" s="59"/>
      <c r="AE34" s="59"/>
      <c r="AF34" s="266" t="str">
        <f>IF('WireDip-01'!AF34="","",'WireDip-01'!AF34)</f>
        <v xml:space="preserve">32-USER Reg. </v>
      </c>
      <c r="AG34" s="28"/>
      <c r="AH34" s="28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</row>
    <row r="35" spans="1:50" ht="13.5" customHeight="1" x14ac:dyDescent="0.15">
      <c r="A35" s="339"/>
      <c r="B35" s="348"/>
      <c r="C35" s="292"/>
      <c r="D35" s="336"/>
      <c r="E35" s="338"/>
      <c r="F35" s="361"/>
      <c r="G35" s="290"/>
      <c r="H35" s="291"/>
      <c r="I35" s="292"/>
      <c r="J35" s="336"/>
      <c r="K35" s="338"/>
      <c r="L35" s="303"/>
      <c r="M35" s="290"/>
      <c r="N35" s="292"/>
      <c r="O35" s="336"/>
      <c r="P35" s="338"/>
      <c r="Q35" s="307"/>
      <c r="R35" s="59"/>
      <c r="S35" s="99">
        <f>IF(D29="",0,SQRT(((((K23*H23+K24*H24+K25*H25+K26*H26+K27*H27+K28*H28+K29*H29)*0.001/SUM(H23:H29))*((SUM(H23:H29))^0.55)+S23*0.001)*100)^2+(M23*H23+M24*H24+M25*H25+M26*H26+M27*H27+M28*H28+M29*H29+U23)^2))</f>
        <v>0</v>
      </c>
      <c r="T35" s="103" t="s">
        <v>132</v>
      </c>
      <c r="U35" s="102"/>
      <c r="V35" s="102"/>
      <c r="W35" s="59"/>
      <c r="X35" s="59"/>
      <c r="Y35" s="59"/>
      <c r="Z35" s="59"/>
      <c r="AA35" s="59"/>
      <c r="AB35" s="59"/>
      <c r="AC35" s="59"/>
      <c r="AD35" s="59"/>
      <c r="AE35" s="59"/>
      <c r="AF35" s="266" t="str">
        <f>IF('WireDip-01'!AF35="","",'WireDip-01'!AF35)</f>
        <v xml:space="preserve">33-USER Reg. </v>
      </c>
      <c r="AG35" s="28"/>
      <c r="AH35" s="28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</row>
    <row r="36" spans="1:50" ht="13.5" customHeight="1" x14ac:dyDescent="0.15">
      <c r="A36" s="339"/>
      <c r="B36" s="366" t="s">
        <v>14</v>
      </c>
      <c r="C36" s="295"/>
      <c r="D36" s="314" t="str">
        <f>IF(B32="","",AQ91*H23*J23)</f>
        <v/>
      </c>
      <c r="E36" s="333" t="str">
        <f>IF(D36="","",AQ90)</f>
        <v/>
      </c>
      <c r="F36" s="302" t="str">
        <f>IF(D36="","",N23*H23*J23/D36)</f>
        <v/>
      </c>
      <c r="G36" s="293" t="s">
        <v>14</v>
      </c>
      <c r="H36" s="294"/>
      <c r="I36" s="295"/>
      <c r="J36" s="314" t="str">
        <f>IF(G32="","",IF(B24="使用電線-2",AZ91*H24*J24,IF(B25="使用電線-2",AZ91*H25*J25,IF(B26="使用電線-2",AZ91*H26*J26,IF(B27="使用電線-2",AZ91*H27*J27,IF(B28="使用電線-2",AZ91*H28*J28,IF(B29="使用電線-2",AZ91*H29*J29,"")))))))</f>
        <v/>
      </c>
      <c r="K36" s="333" t="str">
        <f>IF(J36="","",AZ90)</f>
        <v/>
      </c>
      <c r="L36" s="302" t="str">
        <f>IF(J36="","",IF(B24="使用電線-2",N24*H24*J24/J36,IF(B25="使用電線-2",N25*H25*J25/J36,IF(B26="使用電線-2",N26*H26*J26/J36,IF(B27="使用電線-2",N27*H27*J27/J36,IF(B28="使用電線-2",N28*H28*J28/J36,IF(B29="使用電線-2",N29*H29*J29/J36)))))))</f>
        <v/>
      </c>
      <c r="M36" s="293" t="s">
        <v>14</v>
      </c>
      <c r="N36" s="295"/>
      <c r="O36" s="314" t="str">
        <f>IF(M32="","",IF(B25="使用電線-3",BI91*H25*J25,IF(B26="使用電線-3",BI91*H26*J26,IF(B27="使用電線-3",BI91*H27*J27,IF(B28="使用電線-3",BI91*H28*J28,IF(B29="使用電線-3",BI91*H29*J29,""))))))</f>
        <v/>
      </c>
      <c r="P36" s="333" t="str">
        <f>IF(O36="","",BI90)</f>
        <v/>
      </c>
      <c r="Q36" s="358" t="str">
        <f>IF(O36="","",IF(B25="使用電線-3",N25*H25*J25/O36,IF(B26="使用電線-3",N26*H26*J26/O36,IF(B27="使用電線-3",N27*H27*J27/O36,IF(B28="使用電線-3",N28*H28*J28/O36,IF(B29="使用電線-3",N29*H29*J29/O36))))))</f>
        <v/>
      </c>
      <c r="R36" s="59"/>
      <c r="S36" s="99">
        <f>IF(D28="",0,SQRT(((((K23*H23+K24*H24+K25*H25+K26*H26+K27*H27+K28*H28)*0.001/SUM(H23:H28))*((SUM(H23:H28))^0.55)+S23*0.001)*100)^2+(M23*H23+M24*H24+M25*H25+M26*H26+M27*H27+M28*H28+U23)^2))</f>
        <v>0</v>
      </c>
      <c r="T36" s="99">
        <f>IF(D29="",0,SQRT(((((K24*H24+K25*H25+K26*H26+K27*H27+K28*H28+K29*H29)*0.001/SUM(H24:H29))*((SUM(H24:H29))^0.55)+S24*0.001)*100)^2+(M24*H24+M25*H25+M26*H26+M27*H27+M28*H28+M29*H29+U24)^2))</f>
        <v>0</v>
      </c>
      <c r="U36" s="103" t="s">
        <v>128</v>
      </c>
      <c r="V36" s="102"/>
      <c r="W36" s="59"/>
      <c r="X36" s="59"/>
      <c r="Y36" s="59"/>
      <c r="Z36" s="59"/>
      <c r="AA36" s="59"/>
      <c r="AB36" s="59"/>
      <c r="AC36" s="59"/>
      <c r="AD36" s="59"/>
      <c r="AE36" s="59"/>
      <c r="AF36" s="266" t="str">
        <f>IF('WireDip-01'!AF36="","",'WireDip-01'!AF36)</f>
        <v xml:space="preserve">34-USER Reg. </v>
      </c>
      <c r="AG36" s="28"/>
      <c r="AH36" s="28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</row>
    <row r="37" spans="1:50" ht="13.5" customHeight="1" x14ac:dyDescent="0.15">
      <c r="A37" s="339"/>
      <c r="B37" s="348"/>
      <c r="C37" s="292"/>
      <c r="D37" s="315"/>
      <c r="E37" s="334"/>
      <c r="F37" s="303"/>
      <c r="G37" s="290"/>
      <c r="H37" s="291"/>
      <c r="I37" s="292"/>
      <c r="J37" s="315"/>
      <c r="K37" s="334"/>
      <c r="L37" s="303"/>
      <c r="M37" s="290"/>
      <c r="N37" s="292"/>
      <c r="O37" s="315"/>
      <c r="P37" s="334"/>
      <c r="Q37" s="359"/>
      <c r="R37" s="59"/>
      <c r="S37" s="99">
        <f>IF(D27="",0,SQRT(((((K23*H23+K24*H24+K25*H25+K26*H26+K27*H27)*0.001/SUM(H23:H27))*((SUM(H23:H27))^0.55)+S23*0.001)*100)^2+(M23*H23+M24*H24+M25*H25+M26*H26+M27*H27+U23)^2))</f>
        <v>0</v>
      </c>
      <c r="T37" s="99">
        <f>IF(D28="",0,SQRT(((((K24*H24+K25*H25+K26*H26+K27*H27+K28*H28)*0.001/SUM(H24:H28))*((SUM(H24:H28))^0.55)+S24*0.001)*100)^2+(M24*H24+M25*H25+M26*H26+M27*H27+M28*H28+U24)^2))</f>
        <v>0</v>
      </c>
      <c r="U37" s="99">
        <f>IF(D29="",0,SQRT(((((K25*H25+K26*H26+K27*H27+K28*H28+K29*H29)*0.001/SUM(H25:H29))*((SUM(H25:H29))^0.55)+S25*0.001)*100)^2+(M25*H25+M26*H26+M27*H27+M28*H28+M29*H29+U25)^2))</f>
        <v>0</v>
      </c>
      <c r="V37" s="103" t="s">
        <v>129</v>
      </c>
      <c r="W37" s="59"/>
      <c r="X37" s="59"/>
      <c r="Y37" s="59"/>
      <c r="Z37" s="59"/>
      <c r="AA37" s="59"/>
      <c r="AB37" s="59"/>
      <c r="AC37" s="59"/>
      <c r="AD37" s="59"/>
      <c r="AE37" s="59"/>
      <c r="AF37" s="266" t="str">
        <f>IF('WireDip-01'!AF37="","",'WireDip-01'!AF37)</f>
        <v xml:space="preserve">35-USER Reg. </v>
      </c>
      <c r="AG37" s="28"/>
      <c r="AH37" s="28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50" ht="17.25" customHeight="1" x14ac:dyDescent="0.15">
      <c r="A38" s="339"/>
      <c r="B38" s="366" t="s">
        <v>15</v>
      </c>
      <c r="C38" s="295"/>
      <c r="D38" s="314" t="str">
        <f>IF(B32="","",AQ111*H23*J23)</f>
        <v/>
      </c>
      <c r="E38" s="333" t="str">
        <f>IF(D38="","",AQ110)</f>
        <v/>
      </c>
      <c r="F38" s="302" t="str">
        <f>IF(D38="","",N23*H23*J23/D38)</f>
        <v/>
      </c>
      <c r="G38" s="293" t="s">
        <v>15</v>
      </c>
      <c r="H38" s="294"/>
      <c r="I38" s="295"/>
      <c r="J38" s="314" t="str">
        <f>IF(G32="","",IF(B24="使用電線-2",AZ111*H24*J24,IF(B25="使用電線-2",AZ111*H25*J25,IF(B26="使用電線-2",AZ111*H26*J26,IF(B27="使用電線-2",AZ111*H27*J27,IF(B28="使用電線-2",AZ111*H28*J28,IF(B29="使用電線-2",AZ111*H29*J29,"")))))))</f>
        <v/>
      </c>
      <c r="K38" s="333" t="str">
        <f>IF(J38="","",AZ110)</f>
        <v/>
      </c>
      <c r="L38" s="302" t="str">
        <f>IF(J38="","",IF(B24="使用電線-2",N24*H24*J24/J38,IF(B25="使用電線-2",N25*H25*J25/J38,IF(B26="使用電線-2",N26*H26*J26/J38,IF(B27="使用電線-2",N27*H27*J27/J38,IF(B28="使用電線-2",N28*H28*J28/J38,IF(B29="使用電線-2",N29*H29*J29/J38)))))))</f>
        <v/>
      </c>
      <c r="M38" s="293" t="s">
        <v>15</v>
      </c>
      <c r="N38" s="295"/>
      <c r="O38" s="314" t="str">
        <f>IF(M32="","",IF(B25="使用電線-3",BI111*H25*J25,IF(B26="使用電線-3",BI111*H26*J26,IF(B27="使用電線-3",BI111*H27*J27,IF(B28="使用電線-3",BI111*H28*J28,IF(B29="使用電線-3",BI111*H29*J29,""))))))</f>
        <v/>
      </c>
      <c r="P38" s="333" t="str">
        <f>IF(O38="","",BI110)</f>
        <v/>
      </c>
      <c r="Q38" s="358" t="str">
        <f>IF(O38="","",IF(B25="使用電線-3",N25*H25*J25/O38,IF(B26="使用電線-3",N26*H26*J26/O38,IF(B27="使用電線-3",N27*H27*J27/O38,IF(B28="使用電線-3",N28*H28*J28/O38,IF(B29="使用電線-3",N29*H29*J29/O38))))))</f>
        <v/>
      </c>
      <c r="R38" s="59"/>
      <c r="S38" s="99">
        <f>IF(D26="",0,SQRT(((((K23*H23+K24*H24+K25*H25+K26*H26)*0.001/SUM(H23:H26))*((SUM(H23:H26))^0.55)+S23*0.001)*100)^2+(M23*H23+M24*H24+M25*H25+M26*H26+U23)^2))</f>
        <v>0</v>
      </c>
      <c r="T38" s="99">
        <f>IF(D27="",0,SQRT(((((K24*H24+K25*H25+K26*H26+K27*H27)*0.001/SUM(H24:H27))*((SUM(H24:H27))^0.55)+S24*0.001)*100)^2+(M24*H24+M25*H25+M26*H26+M27*H27+U24)^2))</f>
        <v>0</v>
      </c>
      <c r="U38" s="99">
        <f>IF(D28="",0,SQRT(((((K25*H25+K26*H26+K27*H27+K28*H28)*0.001/SUM(H25:H28))*((SUM(H25:H28))^0.55)+S25*0.001)*100)^2+(M25*H25+M26*H26+M27*H27+M28*H28+U25)^2))</f>
        <v>0</v>
      </c>
      <c r="V38" s="99">
        <f>IF(D29="",0,SQRT(((((K26*H26+K27*H27+K28*H28+K29*H29)*0.001/SUM(H26:H29))*((SUM(H26:H29))^0.55)+S26*0.001)*100)^2+(M26*H26+M27*H27+M28*H28+M29*H29+U26)^2))</f>
        <v>0</v>
      </c>
      <c r="W38" s="103" t="s">
        <v>130</v>
      </c>
      <c r="X38" s="59"/>
      <c r="Y38" s="59"/>
      <c r="Z38" s="59"/>
      <c r="AA38" s="59"/>
      <c r="AB38" s="59"/>
      <c r="AC38" s="59"/>
      <c r="AD38" s="59"/>
      <c r="AE38" s="59"/>
      <c r="AF38" s="266" t="str">
        <f>IF('WireDip-01'!AF38="","",'WireDip-01'!AF38)</f>
        <v xml:space="preserve">36-USER Reg. </v>
      </c>
      <c r="AG38" s="28"/>
      <c r="AH38" s="28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50" ht="17.25" customHeight="1" x14ac:dyDescent="0.15">
      <c r="A39" s="339"/>
      <c r="B39" s="348"/>
      <c r="C39" s="292"/>
      <c r="D39" s="315"/>
      <c r="E39" s="334"/>
      <c r="F39" s="303"/>
      <c r="G39" s="290"/>
      <c r="H39" s="291"/>
      <c r="I39" s="292"/>
      <c r="J39" s="315"/>
      <c r="K39" s="334"/>
      <c r="L39" s="303"/>
      <c r="M39" s="290"/>
      <c r="N39" s="292"/>
      <c r="O39" s="315"/>
      <c r="P39" s="334"/>
      <c r="Q39" s="359"/>
      <c r="R39" s="59"/>
      <c r="S39" s="99">
        <f>IF(D25="",0,SQRT(((((K23*H23+K24*H24+K25*H25)*0.001/SUM(H23:H25))*((SUM(H23:H25))^0.55)+S23*0.001)*100)^2+(M23*H23+M24*H24+M25*H25+U23)^2))</f>
        <v>0</v>
      </c>
      <c r="T39" s="99">
        <f>IF(D26="",0,SQRT(((((K24*H24+K25*H25+K26*H26)*0.001/SUM(H24:H26))*((SUM(H24:H26))^0.55)+S24*0.001)*100)^2+(M24*H24+M25*H25+M26*H26+U24)^2))</f>
        <v>0</v>
      </c>
      <c r="U39" s="99">
        <f>IF(D27="",0,SQRT(((((K25*H25+K26*H26+K27*H27)*0.001/SUM(H25:H27))*((SUM(H25:H27))^0.55)+S25*0.001)*100)^2+(M25*H25+M26*H26+M27*H27+U25)^2))</f>
        <v>0</v>
      </c>
      <c r="V39" s="99">
        <f>IF(D28="",0,SQRT(((((K26*H26+K27*H27+K28*H28)*0.001/SUM(H26:H28))*((SUM(H26:H28))^0.55)+S26*0.001)*100)^2+(M26*H26+M27*H27+M28*H28+U26)^2))</f>
        <v>0</v>
      </c>
      <c r="W39" s="99">
        <f>IF(D29="",0,SQRT(((((K27*H27+K28*H28+K29*H29)*0.001/SUM(H27:H29))*((SUM(H27:H29))^0.55)+S27*0.001)*100)^2+(M27*H27+M28*H28+M29*H29+U27)^2))</f>
        <v>0</v>
      </c>
      <c r="X39" s="103" t="s">
        <v>131</v>
      </c>
      <c r="Y39" s="59"/>
      <c r="Z39" s="59"/>
      <c r="AA39" s="59"/>
      <c r="AB39" s="59"/>
      <c r="AC39" s="59"/>
      <c r="AD39" s="59"/>
      <c r="AE39" s="59"/>
      <c r="AF39" s="266" t="str">
        <f>IF('WireDip-01'!AF39="","",'WireDip-01'!AF39)</f>
        <v xml:space="preserve">37-USER Reg. </v>
      </c>
      <c r="AG39" s="28"/>
      <c r="AH39" s="28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50" ht="15" customHeight="1" x14ac:dyDescent="0.15">
      <c r="A40" s="339"/>
      <c r="B40" s="388" t="s">
        <v>16</v>
      </c>
      <c r="C40" s="298"/>
      <c r="D40" s="198" t="str">
        <f>IF(B32="","",AQ131*H23*J23)</f>
        <v/>
      </c>
      <c r="E40" s="199" t="str">
        <f>IF(D40="","",AQ130)</f>
        <v/>
      </c>
      <c r="F40" s="200" t="str">
        <f>IF(D40="","",N23*H23*J23/D40)</f>
        <v/>
      </c>
      <c r="G40" s="296" t="s">
        <v>16</v>
      </c>
      <c r="H40" s="297"/>
      <c r="I40" s="298"/>
      <c r="J40" s="198" t="str">
        <f>IF(G32="","",IF(B24="使用電線-2",AZ131*H24*J24,IF(B25="使用電線-2",AZ131*H25*J25,IF(B26="使用電線-2",AZ131*H26*J26,IF(B27="使用電線-2",AZ131*H27*J27,IF(B28="使用電線-2",AZ131*H28*J28,IF(B29="使用電線-2",AZ131*H29*J29,"")))))))</f>
        <v/>
      </c>
      <c r="K40" s="199" t="str">
        <f>IF(J40="","",AZ130)</f>
        <v/>
      </c>
      <c r="L40" s="200" t="str">
        <f>IF(J40="","",IF(B24="使用電線-2",N24*H24*J24/J40,IF(B25="使用電線-2",N25*H25*J25/J40,IF(B26="使用電線-2",N26*H26*J26/J40,IF(B27="使用電線-2",N27*H27*J27/J40,IF(B28="使用電線-2",N28*H28*J28/J40,IF(B29="使用電線-2",N29*H29*J29/J40)))))))</f>
        <v/>
      </c>
      <c r="M40" s="296" t="s">
        <v>16</v>
      </c>
      <c r="N40" s="298"/>
      <c r="O40" s="198" t="str">
        <f>IF(M32="","",IF(B25="使用電線-3",BI131*H25*J25,IF(B26="使用電線-3",BI131*H26*J26,IF(B27="使用電線-3",BI131*H27*J27,IF(B28="使用電線-3",BI131*H28*J28,IF(B29="使用電線-3",BI131*H29*J29,""))))))</f>
        <v/>
      </c>
      <c r="P40" s="199" t="str">
        <f>IF(O40="","",BI130)</f>
        <v/>
      </c>
      <c r="Q40" s="203" t="str">
        <f>IF(O40="","",IF(B25="使用電線-3",N25*H25*J25/O40,IF(B26="使用電線-3",N26*H26*J26/O40,IF(B27="使用電線-3",N27*H27*J27/O40,IF(B28="使用電線-3",N28*H28*J28/O40,IF(B29="使用電線-3",N29*H29*J29/O40))))))</f>
        <v/>
      </c>
      <c r="R40" s="59"/>
      <c r="S40" s="99">
        <f>IF(D24="",0,SQRT(((((K23*H23+K24*H24)*0.001/SUM(H23:H24))*((SUM(H23:H24))^0.55)+S23*0.001)*100)^2+(M23*H23+M24*H24+U23)^2))</f>
        <v>0</v>
      </c>
      <c r="T40" s="99">
        <f>IF(D25="",0,SQRT(((((K24*H24+K25*H25)*0.001/SUM(H24:H25))*((SUM(H24:H25))^0.55)+S24*0.001)*100)^2+(M24*H24+M25*H25+U24)^2))</f>
        <v>0</v>
      </c>
      <c r="U40" s="99">
        <f>IF(D26="",0,SQRT(((((K25*H25+K26*H26)*0.001/SUM(H25:H26))*((SUM(H25:H26))^0.55)+S25*0.001)*100)^2+(M25*H25+M26*H26+U25)^2))</f>
        <v>0</v>
      </c>
      <c r="V40" s="99">
        <f>IF(D27="",0,SQRT(((((K26*H26+K27*H27)*0.001/SUM(H26:H27))*((SUM(H26:H27))^0.55)+S26*0.001)*100)^2+(M26*H26+M27*H27+U26)^2))</f>
        <v>0</v>
      </c>
      <c r="W40" s="99">
        <f>IF(D28="",0,SQRT(((((K27*H27+K28*H28)*0.001/SUM(H27:H28))*((SUM(H27:H28))^0.55)+S27*0.001)*100)^2+(M27*H27+M28*H28+U27)^2))</f>
        <v>0</v>
      </c>
      <c r="X40" s="99">
        <f>IF(D29="",0,SQRT(((((K28*H28+K29*H29)*0.001/SUM(H28:H29))*((SUM(H28:H29))^0.55)+S28*0.001)*100)^2+(M28*H28+M29*H29+U28)^2))</f>
        <v>0</v>
      </c>
      <c r="Y40" s="59"/>
      <c r="Z40" s="59"/>
      <c r="AA40" s="59"/>
      <c r="AB40" s="59"/>
      <c r="AC40" s="59"/>
      <c r="AD40" s="59"/>
      <c r="AE40" s="59"/>
      <c r="AF40" s="266" t="str">
        <f>IF('WireDip-01'!AF40="","",'WireDip-01'!AF40)</f>
        <v xml:space="preserve">38-USER Reg. </v>
      </c>
      <c r="AG40" s="3"/>
      <c r="AH40" s="3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</row>
    <row r="41" spans="1:50" ht="15" customHeight="1" x14ac:dyDescent="0.15">
      <c r="A41" s="339"/>
      <c r="B41" s="389" t="s">
        <v>17</v>
      </c>
      <c r="C41" s="301"/>
      <c r="D41" s="249" t="str">
        <f>IF(B32="","",AQ151*H23*J23)</f>
        <v/>
      </c>
      <c r="E41" s="250" t="str">
        <f>IF(D41="","",AQ150)</f>
        <v/>
      </c>
      <c r="F41" s="251" t="str">
        <f>IF(D41="","",N23*H23*J23/D41)</f>
        <v/>
      </c>
      <c r="G41" s="299" t="s">
        <v>17</v>
      </c>
      <c r="H41" s="300"/>
      <c r="I41" s="301"/>
      <c r="J41" s="249" t="str">
        <f>IF(G32="","",IF(B24="使用電線-2",AZ151*H24*J24,IF(B25="使用電線-2",AZ151*H25*J25,IF(B26="使用電線-2",AZ151*H26*J26,IF(B27="使用電線-2",AZ151*H27*J27,IF(B28="使用電線-2",AZ151*H28*J28,IF(B29="使用電線-2",AZ151*H29*J29,"")))))))</f>
        <v/>
      </c>
      <c r="K41" s="250" t="str">
        <f>IF(J41="","",AZ150)</f>
        <v/>
      </c>
      <c r="L41" s="251" t="str">
        <f>IF(J41="","",IF(B24="使用電線-2",N24*H24*J24/J41,IF(B25="使用電線-2",N25/J41,IF(B26="使用電線-2",N26/J41,IF(B27="使用電線-2",N27/J41,IF(B28="使用電線-2",N28/J41,IF(B29="使用電線-2",N29/J41)))))))</f>
        <v/>
      </c>
      <c r="M41" s="299" t="s">
        <v>17</v>
      </c>
      <c r="N41" s="301"/>
      <c r="O41" s="249" t="str">
        <f>IF(M32="","",IF(B25="使用電線-3",BI151*H25*J25,IF(B26="使用電線-3",BI151*H26*J26,IF(B27="使用電線-3",BI151*H27*J27,IF(B28="使用電線-3",BI151*H28*J28,IF(B29="使用電線-3",BI151*H29*J29,""))))))</f>
        <v/>
      </c>
      <c r="P41" s="250" t="str">
        <f>IF(O41="","",BI150)</f>
        <v/>
      </c>
      <c r="Q41" s="252" t="str">
        <f>IF(O41="","",IF(B25="使用電線-3",N25*H25*J25/O41,IF(B26="使用電線-3",N26*H26*J26/O41,IF(B27="使用電線-3",N27*H27*J27/O41,IF(B28="使用電線-3",N28*H28*J28/O41,IF(B29="使用電線-3",N29*H29*J29/O41))))))</f>
        <v/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266" t="str">
        <f>IF('WireDip-01'!AF41="","",'WireDip-01'!AF41)</f>
        <v xml:space="preserve">39-USER Reg. </v>
      </c>
      <c r="AG41" s="3"/>
      <c r="AH41" s="3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</row>
    <row r="42" spans="1:50" ht="15" customHeight="1" x14ac:dyDescent="0.15">
      <c r="A42" s="339"/>
      <c r="B42" s="388" t="s">
        <v>18</v>
      </c>
      <c r="C42" s="298"/>
      <c r="D42" s="198" t="str">
        <f>IF(B32="","",AQ171*H23*J23)</f>
        <v/>
      </c>
      <c r="E42" s="199" t="str">
        <f>IF(D42="","",AQ170)</f>
        <v/>
      </c>
      <c r="F42" s="200" t="str">
        <f>IF(D42="","",N23*H23*J23/D42)</f>
        <v/>
      </c>
      <c r="G42" s="296" t="s">
        <v>18</v>
      </c>
      <c r="H42" s="297"/>
      <c r="I42" s="298"/>
      <c r="J42" s="198" t="str">
        <f>IF(G32="","",IF(B24="使用電線-2",AZ171*H24*J24,IF(B25="使用電線-2",AZ171*H25*J25,IF(B26="使用電線-2",AZ171*H26*J26,IF(B27="使用電線-2",AZ171*H27*J27,IF(B28="使用電線-2",AZ171*H28*J28,IF(B29="使用電線-2",AZ171*H29*J29,"")))))))</f>
        <v/>
      </c>
      <c r="K42" s="199" t="str">
        <f>IF(J42="","",AZ170)</f>
        <v/>
      </c>
      <c r="L42" s="200" t="str">
        <f>IF(J42="","",IF(B24="使用電線-2",N24*H24*J24/J42,IF(B25="使用電線-2",N25*H25*J25/J42,IF(B26="使用電線-2",N26*H26*J26/J42,IF(B27="使用電線-2",N27*H27*J27/J42,IF(B28="使用電線-2",N28*H28*J28/J42,IF(B29="使用電線-2",N29*H29*J29/J42)))))))</f>
        <v/>
      </c>
      <c r="M42" s="296" t="s">
        <v>18</v>
      </c>
      <c r="N42" s="298"/>
      <c r="O42" s="198" t="str">
        <f>IF(M32="","",IF(B25="使用電線-3",BI171*H25*J25,IF(B26="使用電線-3",BI171*H26*J26,IF(B27="使用電線-3",BI171*H27*J27,IF(B28="使用電線-3",BI171*H28*J28,IF(B29="使用電線-3",BI171*H29*J29,""))))))</f>
        <v/>
      </c>
      <c r="P42" s="199" t="str">
        <f>IF(O42="","",BI170)</f>
        <v/>
      </c>
      <c r="Q42" s="203" t="str">
        <f>IF(O42="","",IF(B25="使用電線-3",N25*H25*J25/O42,IF(B26="使用電線-3",N26*H26*J26/O42,IF(B27="使用電線-3",N27*H27*J27/O42,IF(B28="使用電線-3",N28*H28*J28/O42,IF(B29="使用電線-3",N29*H29*J29/O42))))))</f>
        <v/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266" t="str">
        <f>IF('WireDip-01'!AF42="","",'WireDip-01'!AF42)</f>
        <v xml:space="preserve">40-USER Reg. </v>
      </c>
      <c r="AG42" s="3"/>
      <c r="AH42" s="3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</row>
    <row r="43" spans="1:50" ht="15" customHeight="1" x14ac:dyDescent="0.15">
      <c r="A43" s="339"/>
      <c r="B43" s="388" t="s">
        <v>19</v>
      </c>
      <c r="C43" s="298"/>
      <c r="D43" s="198" t="str">
        <f>IF(B32="","",AQ191*H23*J23)</f>
        <v/>
      </c>
      <c r="E43" s="199" t="str">
        <f>IF(D43="","",AQ190)</f>
        <v/>
      </c>
      <c r="F43" s="200" t="str">
        <f>IF(D43="","",N23*H23*J23/D43)</f>
        <v/>
      </c>
      <c r="G43" s="296" t="s">
        <v>19</v>
      </c>
      <c r="H43" s="297"/>
      <c r="I43" s="298"/>
      <c r="J43" s="198" t="str">
        <f>IF(G32="","",IF(B24="使用電線-2",AZ191*H24*J24,IF(B25="使用電線-2",AZ191*H25*J25,IF(B26="使用電線-2",AZ191*H26*J26,IF(B27="使用電線-2",AZ191*H27*J27,IF(B28="使用電線-2",AZ191*H28*J28,IF(B29="使用電線-2",AZ191*H29*J29,"")))))))</f>
        <v/>
      </c>
      <c r="K43" s="199" t="str">
        <f>IF(J43="","",AZ190)</f>
        <v/>
      </c>
      <c r="L43" s="200" t="str">
        <f>IF(J43="","",IF(B24="使用電線-2",N24*H24*J24/J43,IF(B25="使用電線-2",N25*H25*J25/J43,IF(B26="使用電線-2",N26*H26*J26/J43,IF(B27="使用電線-2",N27*H27*J27/J43,IF(B28="使用電線-2",N28*H28*J28/J43,IF(B29="使用電線-2",N29*H29*J29/J43)))))))</f>
        <v/>
      </c>
      <c r="M43" s="296" t="s">
        <v>19</v>
      </c>
      <c r="N43" s="298"/>
      <c r="O43" s="198" t="str">
        <f>IF(M32="","",IF(B25="使用電線-3",BI191*H25*J25,IF(B26="使用電線-3",BI191*H26*J26,IF(B27="使用電線-3",BI191*H27*J27,IF(B28="使用電線-3",BI191*H28*J28,IF(B29="使用電線-3",BI191*H29*J29,""))))))</f>
        <v/>
      </c>
      <c r="P43" s="199" t="str">
        <f>IF(O43="","",BI190)</f>
        <v/>
      </c>
      <c r="Q43" s="203" t="str">
        <f>IF(O43="","",IF(B25="使用電線-3",N25*H25*J25/O43,IF(B26="使用電線-3",N26*H26*J26/O43,IF(B27="使用電線-3",N27*H27*J27/O43,IF(B28="使用電線-3",N28*H28*J28/O43,IF(B29="使用電線-3",N29*H29*J29/O43))))))</f>
        <v/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266" t="str">
        <f>IF('WireDip-01'!AF43="","",'WireDip-01'!AF43)</f>
        <v xml:space="preserve">41-USER Reg. </v>
      </c>
      <c r="AG43" s="3"/>
      <c r="AH43" s="3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</row>
    <row r="44" spans="1:50" ht="15" customHeight="1" x14ac:dyDescent="0.15">
      <c r="A44" s="339"/>
      <c r="B44" s="385" t="s">
        <v>20</v>
      </c>
      <c r="C44" s="309"/>
      <c r="D44" s="198" t="str">
        <f>IF(B32="","",IF(AQ211=0,"",AQ211*H23*J23))</f>
        <v/>
      </c>
      <c r="E44" s="199" t="str">
        <f>IF(D44="","",AQ210)</f>
        <v/>
      </c>
      <c r="F44" s="200" t="str">
        <f>IF(D44="","",N23*H23*J23/D44)</f>
        <v/>
      </c>
      <c r="G44" s="308" t="s">
        <v>20</v>
      </c>
      <c r="H44" s="332"/>
      <c r="I44" s="309"/>
      <c r="J44" s="201" t="str">
        <f>IF(AZ211=0,"",IF(B24="使用電線-2",AZ211*H24*J24,IF(B25="使用電線-2",AZ211*H25*J25,IF(B26="使用電線-2",AZ211*H26*J26,IF(B27="使用電線-2",AZ211*H27*J27,IF(B28="使用電線-2",AZ211*H28*J28,IF(B29="使用電線-2",AZ211*H29*J29,"")))))))</f>
        <v/>
      </c>
      <c r="K44" s="199" t="str">
        <f>IF(J44="","",AZ210)</f>
        <v/>
      </c>
      <c r="L44" s="202" t="str">
        <f>IF(J44="","",IF(B24="使用電線-2",N24*H24*J24/J44,IF(B25="使用電線-2",N25*H25*J25/J44,IF(B26="使用電線-2",N26*H26*J26/J44,IF(B27="使用電線-2",N27*H27*J27/J44,IF(B28="使用電線-2",N28*H28244*J28/J44,IF(B29="使用電線-2",N29*H29*J29/J44)))))))</f>
        <v/>
      </c>
      <c r="M44" s="308" t="s">
        <v>20</v>
      </c>
      <c r="N44" s="309"/>
      <c r="O44" s="201" t="str">
        <f>IF(G32="","",IF(BI211=0,"",IF(B25="使用電線-3",BI211*H25*J25,IF(B26="使用電線-3",BI211*H26*J26,IF(B27="使用電線-3",BI211*H27*J27,IF(B28="使用電線-3",BI211*H28*J28,IF(B29="使用電線-3",BI211*H29*J29,"")))))))</f>
        <v/>
      </c>
      <c r="P44" s="199" t="str">
        <f>IF(O44="","",BI210)</f>
        <v/>
      </c>
      <c r="Q44" s="204" t="str">
        <f>IF(O44="","",IF(B25="使用電線-3",N25*H25*J25/O44,IF(B26="使用電線-3",N26*H26*J26/O44,IF(B27="使用電線-3",N27*H27*J27/O44,IF(B28="使用電線-3",N28*H28*J28/O44,IF(B29="使用電線-3",N29*H29*J29/O44))))))</f>
        <v/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266" t="str">
        <f>IF('WireDip-01'!AF44="","",'WireDip-01'!AF44)</f>
        <v xml:space="preserve">42-USER Reg. </v>
      </c>
      <c r="AG44" s="3"/>
      <c r="AH44" s="3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</row>
    <row r="45" spans="1:50" ht="3.75" customHeight="1" x14ac:dyDescent="0.15">
      <c r="A45" s="339"/>
      <c r="B45" s="33"/>
      <c r="C45" s="186"/>
      <c r="D45" s="11"/>
      <c r="E45" s="11"/>
      <c r="F45" s="11"/>
      <c r="G45" s="11"/>
      <c r="H45" s="11"/>
      <c r="I45" s="34"/>
      <c r="J45" s="11"/>
      <c r="K45" s="11"/>
      <c r="L45" s="11"/>
      <c r="M45" s="11"/>
      <c r="N45" s="34"/>
      <c r="O45" s="11"/>
      <c r="P45" s="11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6"/>
      <c r="AG45" s="3"/>
      <c r="AH45" s="3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</row>
    <row r="46" spans="1:50" ht="13.5" customHeight="1" x14ac:dyDescent="0.15">
      <c r="A46" s="339"/>
      <c r="B46" s="386" t="str">
        <f>IF(AC26=4,"使用電線-"&amp;AC26,IF(AC27=4,"使用電線-"&amp;AC27,IF(AC28=4,"使用電線-"&amp;AC28,IF(AC29=4,"使用電線-"&amp;AC29,IF(AC30=4,"使用電線-"&amp;AC30,"")))))</f>
        <v/>
      </c>
      <c r="C46" s="387"/>
      <c r="D46" s="29" t="s">
        <v>21</v>
      </c>
      <c r="E46" s="29" t="s">
        <v>22</v>
      </c>
      <c r="F46" s="356" t="s">
        <v>23</v>
      </c>
      <c r="G46" s="329" t="str">
        <f>IF(AC27=5,"使用電線-"&amp;AC27,IF(AC28=5,"使用電線-"&amp;AC28,IF(AC29=5,"使用電線-"&amp;AC29,IF(AC30=5,"使用電線-"&amp;AC30,""))))</f>
        <v/>
      </c>
      <c r="H46" s="330"/>
      <c r="I46" s="331"/>
      <c r="J46" s="29" t="s">
        <v>21</v>
      </c>
      <c r="K46" s="29" t="s">
        <v>22</v>
      </c>
      <c r="L46" s="362" t="s">
        <v>23</v>
      </c>
      <c r="M46" s="310" t="s">
        <v>25</v>
      </c>
      <c r="N46" s="311"/>
      <c r="O46" s="29" t="s">
        <v>46</v>
      </c>
      <c r="P46" s="29" t="s">
        <v>22</v>
      </c>
      <c r="Q46" s="57" t="s">
        <v>23</v>
      </c>
      <c r="R46" s="60"/>
      <c r="S46" s="3"/>
      <c r="T46" s="3"/>
      <c r="U46" s="59"/>
      <c r="V46" s="59"/>
      <c r="W46" s="59"/>
      <c r="X46" s="59"/>
      <c r="Y46" s="95" t="s">
        <v>158</v>
      </c>
      <c r="Z46" s="95" t="s">
        <v>159</v>
      </c>
      <c r="AA46" s="60"/>
      <c r="AB46" s="60"/>
      <c r="AC46" s="60"/>
      <c r="AD46" s="60"/>
      <c r="AE46" s="60"/>
      <c r="AF46" s="36"/>
      <c r="AG46" s="36"/>
      <c r="AH46" s="36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</row>
    <row r="47" spans="1:50" ht="13.5" customHeight="1" x14ac:dyDescent="0.15">
      <c r="A47" s="339"/>
      <c r="B47" s="187" t="str">
        <f>IF(B46="","","弛度補正")</f>
        <v/>
      </c>
      <c r="C47" s="182"/>
      <c r="D47" s="55" t="s">
        <v>125</v>
      </c>
      <c r="E47" s="55" t="s">
        <v>24</v>
      </c>
      <c r="F47" s="357"/>
      <c r="G47" s="304" t="str">
        <f>IF(G46="","","弛度補正")</f>
        <v/>
      </c>
      <c r="H47" s="305"/>
      <c r="I47" s="182"/>
      <c r="J47" s="188" t="s">
        <v>125</v>
      </c>
      <c r="K47" s="55" t="s">
        <v>24</v>
      </c>
      <c r="L47" s="363"/>
      <c r="M47" s="312"/>
      <c r="N47" s="313"/>
      <c r="O47" s="55" t="s">
        <v>125</v>
      </c>
      <c r="P47" s="167" t="s">
        <v>157</v>
      </c>
      <c r="Q47" s="56" t="s">
        <v>174</v>
      </c>
      <c r="R47" s="61"/>
      <c r="S47" s="103" t="s">
        <v>126</v>
      </c>
      <c r="T47" s="3"/>
      <c r="U47" s="3"/>
      <c r="V47" s="59"/>
      <c r="W47" s="59"/>
      <c r="X47" s="59"/>
      <c r="Y47" s="99">
        <f>IF(I23="---〃---",0,IF(OR(I23=AH3,I23=AH4,I23=AH5,I23=AH6,I23=AH7,I23=AH8,I23=AH9,I23=AH10),S23*0.001+0.012,0))</f>
        <v>0</v>
      </c>
      <c r="Z47" s="99">
        <f>IF(I23="---〃---",0,IF(OR(I23=AH3,I23=AH4,I23=AH5,I23=AH6,I23=AH7,I23=AH8,I23=AH9,I23=AH10),U23+1.884955592*(S23*0.001+0.006)*0.9,0))</f>
        <v>0</v>
      </c>
      <c r="AA47" s="61"/>
      <c r="AB47" s="61"/>
      <c r="AC47" s="61"/>
      <c r="AD47" s="61"/>
      <c r="AE47" s="61"/>
      <c r="AF47" s="36"/>
      <c r="AG47" s="36"/>
      <c r="AH47" s="36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</row>
    <row r="48" spans="1:50" ht="13.5" customHeight="1" x14ac:dyDescent="0.15">
      <c r="A48" s="339"/>
      <c r="B48" s="346" t="s">
        <v>13</v>
      </c>
      <c r="C48" s="347"/>
      <c r="D48" s="335" t="str">
        <f>IF(B46="","",IF(B26="使用電線-4",BR71*H26*J26,IF(B27="使用電線-4",BR71*H27*J27,IF(B28="使用電線-4",BR71*H28*J28,IF(B29="使用電線-4",BR71*H29*J29,"")))))</f>
        <v/>
      </c>
      <c r="E48" s="337" t="str">
        <f>IF(D48="","",BR70)</f>
        <v/>
      </c>
      <c r="F48" s="360" t="str">
        <f>IF(D48="","",IF(B26="使用電線-4",N26*H26*J26/D48,IF(B27="使用電線-4",N27*H27*J27/D48,IF(B28="使用電線-4",N28*H28*J28/D48,IF(B29="使用電線-4",N29*H29*J29/D48)))))</f>
        <v/>
      </c>
      <c r="G48" s="287" t="s">
        <v>13</v>
      </c>
      <c r="H48" s="288"/>
      <c r="I48" s="347"/>
      <c r="J48" s="335" t="str">
        <f>IF(G46="","",IF(B27="使用電線-5",CA71*H27*J27,IF(B28="使用電線-5",CA71*H28*J28,IF(B29="使用電線-5",CA71*H29*J29,""))))</f>
        <v/>
      </c>
      <c r="K48" s="337" t="str">
        <f>IF(J48="","",CA70)</f>
        <v/>
      </c>
      <c r="L48" s="360" t="str">
        <f>IF(J48="","",IF(B27="使用電線-5",N27*H27*J27/J48,IF(B28="使用電線-5",N28*H28*J28/J48,IF(B29="使用電線-5",N29*H29*J29/J48))))</f>
        <v/>
      </c>
      <c r="M48" s="287" t="s">
        <v>13</v>
      </c>
      <c r="N48" s="347"/>
      <c r="O48" s="335" t="str">
        <f>IF(D34="","",SUM(J61:N61))</f>
        <v/>
      </c>
      <c r="P48" s="206" t="str">
        <f>IF(D34="","",MAX(E34,K34,P34,E48,K48))</f>
        <v/>
      </c>
      <c r="Q48" s="306" t="str">
        <f>IF(D34="","",MIN(F34,L34,Q34,F48,L48))</f>
        <v/>
      </c>
      <c r="R48" s="59"/>
      <c r="S48" s="99">
        <f>IF(D29="",0,SQRT(((((K23*H23+K24*H24+K25*H25+K26*H26+K27*H27+K28*H28+K29*H29)*0.001/SUM(H23:H29))*((SUM(H23:H29))^0.55)+0.012+Y47)*50)^2+(M23*H23+M24*H24+M25*H25+M26*H26+M27*H27+M28*H28+M29*H29+16.9646*(((K23*H23+K24*H24+K25*H25+K26*H26+K27*H27+K28*H28+K29*H29)*0.001/SUM(H23:H29))*((SUM(H23:H29))^0.55)+0.006)+Z47)^2))</f>
        <v>0</v>
      </c>
      <c r="T48" s="103" t="s">
        <v>133</v>
      </c>
      <c r="U48" s="3"/>
      <c r="V48" s="59"/>
      <c r="W48" s="59"/>
      <c r="X48" s="59"/>
      <c r="Y48" s="99">
        <f>IF(I24="---〃---",0,IF(OR(I24=AH3,I24=AH4,I24=AH5,I24=AH6,I24=AH7,I24=AH8,I24=AH9,I24=AH10),S24*0.001+0.012,0))</f>
        <v>0</v>
      </c>
      <c r="Z48" s="99">
        <f>IF(I24="---〃---",0,IF(OR(I24=AH3,I24=AH4,I24=AH5,I24=AH6,I24=AH7,I24=AH8,I24=AH9,I24=AH10),U24+1.884955592*(S24*0.001+0.006)*0.9,0))</f>
        <v>0</v>
      </c>
      <c r="AA48" s="59"/>
      <c r="AB48" s="59"/>
      <c r="AC48" s="59"/>
      <c r="AD48" s="59"/>
      <c r="AE48" s="59"/>
      <c r="AF48" s="28"/>
      <c r="AG48" s="28"/>
      <c r="AH48" s="28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</row>
    <row r="49" spans="1:79" ht="13.5" customHeight="1" x14ac:dyDescent="0.15">
      <c r="A49" s="339"/>
      <c r="B49" s="348"/>
      <c r="C49" s="292"/>
      <c r="D49" s="336"/>
      <c r="E49" s="338"/>
      <c r="F49" s="361"/>
      <c r="G49" s="290"/>
      <c r="H49" s="291"/>
      <c r="I49" s="292"/>
      <c r="J49" s="336"/>
      <c r="K49" s="338"/>
      <c r="L49" s="361"/>
      <c r="M49" s="290"/>
      <c r="N49" s="292"/>
      <c r="O49" s="336"/>
      <c r="P49" s="207" t="str">
        <f>IF(D34="","",MIN(E34,K34,P34,E48,K48))</f>
        <v/>
      </c>
      <c r="Q49" s="307"/>
      <c r="R49" s="59"/>
      <c r="S49" s="99">
        <f>IF(D28="",0,SQRT(((((K23*H23+K24*H24+K25*H25+K26*H26+K27*H27+K28*H28)*0.001/SUM(H23:H28))*((SUM(H23:H28))^0.55)+0.012+Y51)*47)^2+(M23*H23+M24*H24+M25*H25+M26*H26+M27*H27+M28*H28+16.9646*(((K23*H23+K24*H24+K25*H25+K26*H26+K27*H27+K28*H28)*0.001/SUM(H23:H28))*((SUM(H23:H28))^0.55)+0.006)+Z47)^2))</f>
        <v>0</v>
      </c>
      <c r="T49" s="99">
        <f>IF(D29="",0,SQRT(((((K24*H24+K25*H25+K26*H26+K27*H27+K28*H28+K29*H29)*0.001/SUM(H24:H29))*((SUM(H24:H29))^0.55)+0.012+Y48)*50)^2+(M24*H24+M25*H25+M26*H26+M27*H27+M28*H28+M29*H29+16.9646*(((K24*H24+K25*H25+K26*H26+K27*H27+K28*H28+K29*H29)*0.001/SUM(H24:H29))*((SUM(H24:H29))^0.55)+0.006)+Z48)^2))</f>
        <v>0</v>
      </c>
      <c r="U49" s="103" t="s">
        <v>134</v>
      </c>
      <c r="V49" s="3"/>
      <c r="W49" s="3"/>
      <c r="X49" s="59"/>
      <c r="Y49" s="99">
        <f>IF(I25="---〃---",0,IF(OR(I25=AH3,I25=AH4,I25=AH5,I25=AH6,I25=AH7,I25=AH8,I25=AH9,I25=AH10),S25*0.001+0.012,0))</f>
        <v>0</v>
      </c>
      <c r="Z49" s="99">
        <f>IF(I25="---〃---",0,IF(OR(I25=AH3,I25=AH4,I25=AH5,I25=AH6,I25=AH7,I25=AH8,I25=AH9,I25=AH10),U25+1.884955592*(S25*0.001+0.006)*0.9,0))</f>
        <v>0</v>
      </c>
      <c r="AA49" s="59"/>
      <c r="AB49" s="59"/>
      <c r="AC49" s="59"/>
      <c r="AD49" s="59"/>
      <c r="AE49" s="59"/>
      <c r="AF49" s="28"/>
      <c r="AG49" s="28"/>
      <c r="AH49" s="28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</row>
    <row r="50" spans="1:79" ht="13.5" customHeight="1" x14ac:dyDescent="0.15">
      <c r="A50" s="339"/>
      <c r="B50" s="366" t="s">
        <v>14</v>
      </c>
      <c r="C50" s="295"/>
      <c r="D50" s="314" t="str">
        <f>IF(B46="","",IF(B26="使用電線-4",BR91*H26*J26,IF(B27="使用電線-4",BR91*H27*J27,IF(B28="使用電線-4",BR91*H28*J28,IF(B29="使用電線-4",BR91*H29*J29,"")))))</f>
        <v/>
      </c>
      <c r="E50" s="333" t="str">
        <f>IF(D50="","",BR90)</f>
        <v/>
      </c>
      <c r="F50" s="302" t="str">
        <f>IF(D50="","",IF(B26="使用電線-4",N26*H26*J26/D50,IF(B27="使用電線-4",N27*H27*J27/D50,IF(B28="使用電線-4",N28*H28*J28/D50,IF(B29="使用電線-4",N29*H29*J29/D50)))))</f>
        <v/>
      </c>
      <c r="G50" s="293" t="s">
        <v>14</v>
      </c>
      <c r="H50" s="294"/>
      <c r="I50" s="295"/>
      <c r="J50" s="314" t="str">
        <f>IF(G46="","",IF(B27="使用電線-5",CA91*H27*J27,IF(B28="使用電線-5",CA91*H28*J28,IF(B29="使用電線-5",CA91*H29*J29,""))))</f>
        <v/>
      </c>
      <c r="K50" s="333" t="str">
        <f>IF(J50="","",CA90)</f>
        <v/>
      </c>
      <c r="L50" s="302" t="str">
        <f>IF(J50="","",IF(B27="使用電線-5",N27*H27*J27/J50,IF(B28="使用電線-5",N28*H28*J28/J50,IF(B29="使用電線-5",N29*H29*J29/J50))))</f>
        <v/>
      </c>
      <c r="M50" s="293" t="s">
        <v>14</v>
      </c>
      <c r="N50" s="295"/>
      <c r="O50" s="314" t="str">
        <f>IF(D34="","",SUM(J62:N62))</f>
        <v/>
      </c>
      <c r="P50" s="208" t="str">
        <f>IF(D36="","",MAX(E36,K36,P36,E50,K50))</f>
        <v/>
      </c>
      <c r="Q50" s="358" t="str">
        <f>IF(D36="","",MIN(F36,L36,Q36,F50,L50))</f>
        <v/>
      </c>
      <c r="R50" s="59"/>
      <c r="S50" s="99">
        <f>IF(D27="",0,SQRT(((((K23*H23+K24*H24+K25*H25+K26*H26+K27*H27)*0.001/SUM(H23:H27))*((SUM(H23:H27))^0.55)+0.012+Y47)*50)^2+(M23*H23+M24*H24+M25*H25+M26*H26+M27*H27+16.9646*(((K23*H23+K24*H24+K25*H25+K26*H26+K27*H27)*0.001/SUM(H23:H27))*((SUM(H23:H27))^0.55)+0.006)+Z47)^2))</f>
        <v>0</v>
      </c>
      <c r="T50" s="99">
        <f>IF(D28="",0,SQRT(((((K24*H24+K25*H25+K26*H26+K27*H27+K28*H28)*0.001/SUM(H24:H28))*((SUM(H24:H28))^0.55)+0.012+Y48)*50)^2+(M24*H24+M25*H25+M26*H26+M27*H27+M28*H28+16.9646*(((K24*H24+K25*H25+K26*H26+K27*H27+K28*H28)*0.001/SUM(H24:H28))*((SUM(H24:H28))^0.55)+0.006)+Z48)^2))</f>
        <v>0</v>
      </c>
      <c r="U50" s="99">
        <f>IF(D29="",0,SQRT(((((K25*H25+K26*H26+K27*H27+K28*H28+K29*H29)*0.001/SUM(H25:H29))*((SUM(H25:H29))^0.55)+0.012+Y49)*50)^2+(M25*H25+M26*H26+M27*H27+M28*H28+M29*H29+16.9646*(((K25*H25+K26*H26+K27*H27+K28*H28+K29*H29)*0.001/SUM(H25:H29))*((SUM(H25:H29))^0.55)+0.006)+Z49)^2))</f>
        <v>0</v>
      </c>
      <c r="V50" s="103" t="s">
        <v>135</v>
      </c>
      <c r="W50" s="3"/>
      <c r="X50" s="3"/>
      <c r="Y50" s="99">
        <f>IF(I26="---〃---",0,IF(OR(I26=AH3,I26=AH4,I26=AH5,I26=AH6,I26=AH7,I26=AH8,I26=AH9,I26=AH10),S26*0.001+0.012,0))</f>
        <v>0</v>
      </c>
      <c r="Z50" s="99">
        <f>IF(I26="---〃---",0,IF(OR(I26=AH3,I26=AH4,I26=AH5,I26=AH6,I26=AH7,I26=AH8,I26=AH9,I26=AH10),U26+1.884955592*(S26*0.001+0.006)*0.9,0))</f>
        <v>0</v>
      </c>
      <c r="AA50" s="59"/>
      <c r="AB50" s="59"/>
      <c r="AC50" s="59"/>
      <c r="AD50" s="59"/>
      <c r="AE50" s="59"/>
      <c r="AF50" s="28"/>
      <c r="AG50" s="28"/>
      <c r="AH50" s="28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</row>
    <row r="51" spans="1:79" ht="13.5" customHeight="1" x14ac:dyDescent="0.15">
      <c r="A51" s="339"/>
      <c r="B51" s="348"/>
      <c r="C51" s="292"/>
      <c r="D51" s="315"/>
      <c r="E51" s="334"/>
      <c r="F51" s="303"/>
      <c r="G51" s="290"/>
      <c r="H51" s="291"/>
      <c r="I51" s="292"/>
      <c r="J51" s="315"/>
      <c r="K51" s="334"/>
      <c r="L51" s="303"/>
      <c r="M51" s="290"/>
      <c r="N51" s="292"/>
      <c r="O51" s="315"/>
      <c r="P51" s="207" t="str">
        <f>IF(D36="","",MIN(E36,K36,P36,E50,K50))</f>
        <v/>
      </c>
      <c r="Q51" s="359"/>
      <c r="R51" s="59"/>
      <c r="S51" s="99">
        <f>IF(D26="",0,SQRT(((((K23*H23+K24*H24+K25*H25+K26*H26)*0.001/SUM(H23:H26))*((SUM(H23:H26))^0.55)+0.012+Y47)*50)^2+(M23*H23+M24*H24+M25*H25+M26*H26+16.9646*(((K23*H23+K24*H24+K25*H25+K26*H26)*0.001/SUM(H23:H26))*((SUM(H23:H26))^0.55)+0.006)+Z47)^2))</f>
        <v>0</v>
      </c>
      <c r="T51" s="99">
        <f>IF(D27="",0,SQRT(((((K24*H24+K25*H25+K26*H26+K27*H27)*0.001/SUM(H24:H27))*((SUM(H24:H27))^0.55)+0.012+Y48)*50)^2+(M24*H24+M25*H25+M26*H26+M27*H27+16.9646*(((K24*H24+K25*H25+K26*H26+K27*H27)*0.001/SUM(H24:H27))*((SUM(H24:H27))^0.55)+0.006)+Z48)^2))</f>
        <v>0</v>
      </c>
      <c r="U51" s="99">
        <f>IF(D28="",0,SQRT(((((K25*H25+K26*H26+K27*H27+K28*H28)*0.001/SUM(H25:H28))*((SUM(H25:H28))^0.55)+0.012+Y49)*50)^2+(M25*H25+M26*H26+M27*H27+M28*H28+16.9646*(((K25*H25+K26*H26+K27*H27+K28*H28)*0.001/SUM(H25:H28))*((SUM(H25:H28))^0.55)+0.006)+Z49)^2))</f>
        <v>0</v>
      </c>
      <c r="V51" s="99">
        <f>IF(D29="",0,SQRT(((((K26*H26+K27*H27+K28*H28+K29*H29)*0.001/SUM(H26:H29))*((SUM(H26:H29))^0.55)+0.012+Y50)*50)^2+(M26*H26+M27*H27+M28*H28+M29*H29+16.9646*(((K26*H26+K27*H27+K28*H28+K29*H29)*0.001/SUM(H26:H29))*((SUM(H26:H29))^0.55)+0.006)+Z50)^2))</f>
        <v>0</v>
      </c>
      <c r="W51" s="103" t="s">
        <v>136</v>
      </c>
      <c r="X51" s="3"/>
      <c r="Y51" s="99">
        <f>IF(I27="---〃---",0,IF(OR(I27=AH3,I27=AH4,I27=AH5,I27=AH6,I27=AH7,I27=AH8,I27=AH9,I27=AH10),S27*0.001+0.012,0))</f>
        <v>0</v>
      </c>
      <c r="Z51" s="99">
        <f>IF(I27="---〃---",0,IF(OR(I27=AH3,I27=AH4,I27=AH5,I27=AH6,I27=AH7,I27=AH8,I27=AH9,I27=AH10),U27+1.884955592*(S27*0.001+0.006)*0.9,0))</f>
        <v>0</v>
      </c>
      <c r="AA51" s="59"/>
      <c r="AB51" s="59"/>
      <c r="AC51" s="59"/>
      <c r="AD51" s="59"/>
      <c r="AE51" s="59"/>
      <c r="AF51" s="28"/>
      <c r="AG51" s="28"/>
      <c r="AH51" s="28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BV51" s="168"/>
    </row>
    <row r="52" spans="1:79" ht="17.25" customHeight="1" x14ac:dyDescent="0.15">
      <c r="A52" s="339"/>
      <c r="B52" s="366" t="s">
        <v>15</v>
      </c>
      <c r="C52" s="295"/>
      <c r="D52" s="314" t="str">
        <f>IF(B46="","",IF(B26="使用電線-4",BR111*H26*J26,IF(B27="使用電線-4",BR111*H27*J27,IF(B28="使用電線-4",BR111*H28*J28,IF(B29="使用電線-4",BR111*H29*J29,"")))))</f>
        <v/>
      </c>
      <c r="E52" s="333" t="str">
        <f>IF(D52="","",BR110)</f>
        <v/>
      </c>
      <c r="F52" s="302" t="str">
        <f>IF(D52="","",IF(B26="使用電線-4",N26*H26*J26/D52,IF(B27="使用電線-4",N27*H27*J27/D52,IF(B28="使用電線-4",N28*H28*J28/D52,IF(B29="使用電線-4",N29*H29*J29/D52)))))</f>
        <v/>
      </c>
      <c r="G52" s="293" t="s">
        <v>15</v>
      </c>
      <c r="H52" s="294"/>
      <c r="I52" s="295"/>
      <c r="J52" s="314" t="str">
        <f>IF(G46="","",IF(B27="使用電線-5",CA111*H27*J27,IF(B28="使用電線-5",CA111*H28*J28,IF(B29="使用電線-5",CA111*H29*J29,""))))</f>
        <v/>
      </c>
      <c r="K52" s="333" t="str">
        <f>IF(J52="","",CA110)</f>
        <v/>
      </c>
      <c r="L52" s="302" t="str">
        <f>IF(J52="","",IF(B27="使用電線-5",N27*H27*J27/J52,IF(B28="使用電線-5",N28*H28*J28/J52,IF(B29="使用電線-5",N29*H29*J29/J52))))</f>
        <v/>
      </c>
      <c r="M52" s="293" t="s">
        <v>15</v>
      </c>
      <c r="N52" s="295"/>
      <c r="O52" s="336" t="str">
        <f>IF(D34="","",SUM(J63:N63))</f>
        <v/>
      </c>
      <c r="P52" s="209" t="str">
        <f>IF(D38="","",MAX(E38,K38,P38,E52,K52))</f>
        <v/>
      </c>
      <c r="Q52" s="358" t="str">
        <f>IF(D38="","",MIN(F38,L38,Q38,F52,L52))</f>
        <v/>
      </c>
      <c r="R52" s="59"/>
      <c r="S52" s="99">
        <f>IF(D25="",0,SQRT(((((K23*H23+K24*H24+K25*H25)*0.001/SUM(H23:H25))*((SUM(H23:H25))^0.55)+0.012+Y47)*50)^2+(M23*H23+M24*H24+M25*H25+16.9646*(((K23*H23+K24*H24+K25*H25)*0.001/SUM(H23:H25))*((SUM(H23:H25))^0.55)+0.006)+Z47)^2))</f>
        <v>0</v>
      </c>
      <c r="T52" s="99">
        <f>IF(D26="",0,SQRT(((((K24*H24+K25*H25+K26*H26)*0.001/SUM(H24:H26))*((SUM(H24:H26))^0.55)+0.012+Y48)*50)^2+(M24*H24+M25*H25+M26*H26+16.9646*(((K24*H24+K25*H25+K26*H26)*0.001/SUM(H24:H26))*((SUM(H24:H26))^0.55)+0.006)+Z48)^2))</f>
        <v>0</v>
      </c>
      <c r="U52" s="99">
        <f>IF(D27="",0,SQRT(((((K25*H25+K26*H26+K27*H27)*0.001/SUM(H25:H27))*((SUM(H25:H27))^0.55)+0.012+Y49)*50)^2+(M25*H25+M26*H26+M27*H27+16.9646*(((K25*H25+K26*H26+K27*H27)*0.001/SUM(H25:H27))*((SUM(H25:H27))^0.55)+0.006)+Z49)^2))</f>
        <v>0</v>
      </c>
      <c r="V52" s="99">
        <f>IF(D28="",0,SQRT(((((K26*H26+K27*H27+K28*H28)*0.001/SUM(H26:H28))*((SUM(H26:H28))^0.55)+0.012+Y50)*50)^2+(M26*H26+M27*H27+M28*H28+16.9646*(((K26*H26+K27*H27+K28*H28)*0.001/SUM(H26:H28))*((SUM(H26:H28))^0.55)+0.006)+Z50)^2))</f>
        <v>0</v>
      </c>
      <c r="W52" s="99">
        <f>IF(D29="",0,SQRT(((((K27*H27+K28*H28+K29*H29)*0.001/SUM(H27:H29))*((SUM(H27:H29))^0.55)+0.012+Y51)*50)^2+(M27*H27+M28*H28+M29*H29+16.9646*(((K27*H27+K28*H28+K29*H29)*0.001/SUM(H27:H29))*((SUM(H27:H29))^0.55)+0.006)+Z51)^2))</f>
        <v>0</v>
      </c>
      <c r="X52" s="103" t="s">
        <v>137</v>
      </c>
      <c r="Y52" s="99">
        <f>IF(I28="---〃---",0,IF(OR(I28=AH3,I28=AH4,I28=AH5,I28=AH6,I28=AH7,I28=AH8,I28=AH9,I28=AH10),S28*0.001+0.012,0))</f>
        <v>0</v>
      </c>
      <c r="Z52" s="99">
        <f>IF(I28="---〃---",0,IF(OR(I28=AH3,I28=AH4,I28=AH5,I28=AH6,I28=AH7,I28=AH8,I28=AH9,I28=AH10),U28+1.884955592*(S28*0.001+0.006)*0.9,0))</f>
        <v>0</v>
      </c>
      <c r="AA52" s="59"/>
      <c r="AB52" s="59"/>
      <c r="AC52" s="59"/>
      <c r="AD52" s="59"/>
      <c r="AE52" s="59"/>
      <c r="AF52" s="28"/>
      <c r="AG52" s="28"/>
      <c r="AH52" s="28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</row>
    <row r="53" spans="1:79" ht="17.25" customHeight="1" x14ac:dyDescent="0.15">
      <c r="A53" s="339"/>
      <c r="B53" s="348"/>
      <c r="C53" s="292"/>
      <c r="D53" s="315"/>
      <c r="E53" s="334"/>
      <c r="F53" s="303"/>
      <c r="G53" s="290"/>
      <c r="H53" s="291"/>
      <c r="I53" s="292"/>
      <c r="J53" s="315"/>
      <c r="K53" s="334"/>
      <c r="L53" s="303"/>
      <c r="M53" s="290"/>
      <c r="N53" s="292"/>
      <c r="O53" s="336"/>
      <c r="P53" s="210" t="str">
        <f>IF(D38="","",MIN(E38,K38,P38,E52,K52))</f>
        <v/>
      </c>
      <c r="Q53" s="359"/>
      <c r="R53" s="59"/>
      <c r="S53" s="99">
        <f>IF(D24="",0,SQRT(((((K23*H23+K24*H24)*0.001/SUM(H23:H24))*((SUM(H23:H24))^0.55)+0.012+Y47)*50)^2+(M23*H23+M24*H24+16.9646*(((K23*H23+K24*H24)*0.001/SUM(H23:H24))*((SUM(H23:H24))^0.55)+0.006)+Z47)^2))</f>
        <v>0</v>
      </c>
      <c r="T53" s="99">
        <f>IF(D25="",0,SQRT(((((K24*H24+K25*H25)*0.001/SUM(H24:H25))*((SUM(H24:H25))^0.55)+0.012+Y48)*50)^2+(M24*H24+M25*H25+16.9646*(((K24*H24+K25*H25)*0.001/SUM(H24:H25))*((SUM(H24:H25))^0.55)+0.006)+Z48)^2))</f>
        <v>0</v>
      </c>
      <c r="U53" s="99">
        <f>IF(D26="",0,SQRT(((((K25*H25+K26*H26)*0.001/SUM(H25:H26))*((SUM(H25:H26))^0.55)+0.012+Y49)*50)^2+(M25*H25+M26*H26+16.9646*(((K25*H25+K26*H26)*0.001/SUM(H25:H26))*((SUM(H25:H26))^0.55)+0.006)+Z49)^2))</f>
        <v>0</v>
      </c>
      <c r="V53" s="99">
        <f>IF(D27="",0,SQRT(((((K26*H26+K27*H27)*0.001/SUM(H26:H27))*((SUM(H26:H27))^0.55)+0.012+Y50)*50)^2+(M26*H26+M27*H27+16.9646*(((K26*H26+K27*H27)*0.001/SUM(H26:H27))*((SUM(H26:H27))^0.55)+0.006)+Z50)^2))</f>
        <v>0</v>
      </c>
      <c r="W53" s="99">
        <f>IF(D28="",0,SQRT(((((K27*H27+K28*H28)*0.001/SUM(H27:H28))*((SUM(H27:H28))^0.55)+0.012+Y51)*50)^2+(M27*H27+M28*H28+16.9646*(((K27*H27+K28*H28)*0.001/SUM(H27:H28))*((SUM(H27:H28))^0.55)+0.006)+Z51)^2))</f>
        <v>0</v>
      </c>
      <c r="X53" s="99">
        <f>IF(D29="",0,SQRT(((((K28*H28+K29*H29)*0.001/SUM(H28:H29))*((SUM(H28:H29))^0.55)+0.012+Y52)*50)^2+(M28*H28+M29*H29+16.9646*(((K28*H28+K29*H29)*0.001/SUM(H28:H29))*((SUM(H28:H29))^0.55)+0.006)+Z52)^2))</f>
        <v>0</v>
      </c>
      <c r="Y53" s="99">
        <f>IF(I29="---〃---",0,IF(OR(I29=AH3,I29=AH4,I29=AH5,I29=AH6,I29=AH7,I29=AH8,I29=AH9,I29=AH10),S29*0.001+0.012,0))</f>
        <v>0</v>
      </c>
      <c r="Z53" s="99">
        <f>IF(I29="---〃---",0,IF(OR(I29=AH3,I29=AH4,I29=AH5,I29=AH6,I29=AH7,I29=AH8,I29=AH9,I29=AH10),U29+1.884955592*(S29*0.001+0.006)*0.9,0))</f>
        <v>0</v>
      </c>
      <c r="AA53" s="59"/>
      <c r="AB53" s="59"/>
      <c r="AC53" s="59"/>
      <c r="AD53" s="59"/>
      <c r="AE53" s="59"/>
      <c r="AF53" s="28"/>
      <c r="AG53" s="28"/>
      <c r="AH53" s="28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</row>
    <row r="54" spans="1:79" ht="15" customHeight="1" x14ac:dyDescent="0.15">
      <c r="A54" s="339"/>
      <c r="B54" s="388" t="s">
        <v>16</v>
      </c>
      <c r="C54" s="298"/>
      <c r="D54" s="198" t="str">
        <f>IF(B46="","",IF(B26="使用電線-4",BR131*H26*J26,IF(B27="使用電線-4",BR131*H27*J27,IF(B28="使用電線-4",BR131*H28*J28,IF(B29="使用電線-4",BR131*H29*J29,"")))))</f>
        <v/>
      </c>
      <c r="E54" s="199" t="str">
        <f>IF(D54="","",BR130)</f>
        <v/>
      </c>
      <c r="F54" s="200" t="str">
        <f>IF(D54="","",IF(B26="使用電線-4",N26*H26*J26/D54,IF(B27="使用電線-4",N27*H27*J27/D54,IF(B28="使用電線-4",N28*H28*J28/D54,IF(B29="使用電線-4",N29*H29*J29/D54)))))</f>
        <v/>
      </c>
      <c r="G54" s="296" t="s">
        <v>16</v>
      </c>
      <c r="H54" s="297"/>
      <c r="I54" s="298"/>
      <c r="J54" s="198" t="str">
        <f>IF(G46="","",IF(B27="使用電線-5",CA131*H27*J27,IF(B28="使用電線-5",CA131*H28*J28,IF(B29="使用電線-5",CA131*H29*J29,""))))</f>
        <v/>
      </c>
      <c r="K54" s="199" t="str">
        <f>IF(J54="","",CA130)</f>
        <v/>
      </c>
      <c r="L54" s="200" t="str">
        <f>IF(J54="","",IF(B27="使用電線-5",N27*H27*J27/J54,IF(B28="使用電線-5",N28*H28*J28/J54,IF(B29="使用電線-5",N29*H29*J29/J54))))</f>
        <v/>
      </c>
      <c r="M54" s="296" t="s">
        <v>16</v>
      </c>
      <c r="N54" s="298"/>
      <c r="O54" s="198" t="str">
        <f>IF(D34="","",SUM(J64:N64))</f>
        <v/>
      </c>
      <c r="P54" s="189" t="str">
        <f>IF(D40="","",MAX(E40,K40,P40,E54,K54))</f>
        <v/>
      </c>
      <c r="Q54" s="203" t="str">
        <f>IF(D40="","",MIN(F40,L40,Q40,F54,L54))</f>
        <v/>
      </c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3"/>
      <c r="AG54" s="3"/>
      <c r="AH54" s="3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</row>
    <row r="55" spans="1:79" ht="15" customHeight="1" x14ac:dyDescent="0.15">
      <c r="A55" s="339"/>
      <c r="B55" s="389" t="s">
        <v>17</v>
      </c>
      <c r="C55" s="301"/>
      <c r="D55" s="249" t="str">
        <f>IF(B46="","",IF(B26="使用電線-4",BR151*H26*J26,IF(B27="使用電線-4",BR151*H27*J27,IF(B28="使用電線-4",BR151*H28*J28,IF(B29="使用電線-4",BR151*H29*J29,"")))))</f>
        <v/>
      </c>
      <c r="E55" s="250" t="str">
        <f>IF(D55="","",BR150)</f>
        <v/>
      </c>
      <c r="F55" s="251" t="str">
        <f>IF(D55="","",IF(B26="使用電線-4",N26*H26*J26/D55,IF(B27="使用電線-4",N27*H27*J27/D55,IF(B28="使用電線-4",N28*H28*J28/D55,IF(B29="使用電線-4",N29*H29*J29/D55)))))</f>
        <v/>
      </c>
      <c r="G55" s="299" t="s">
        <v>17</v>
      </c>
      <c r="H55" s="300"/>
      <c r="I55" s="301"/>
      <c r="J55" s="249" t="str">
        <f>IF(G46="","",IF(B27="使用電線-5",CA151*H27*J27,IF(B28="使用電線-5",CA151*H28*J28,IF(B29="使用電線-5",CA151*H29*J29,""))))</f>
        <v/>
      </c>
      <c r="K55" s="250" t="str">
        <f>IF(J55="","",CA150)</f>
        <v/>
      </c>
      <c r="L55" s="251" t="str">
        <f>IF(J55="","",IF(B27="使用電線-5",N27*H27*J27/J55,IF(B28="使用電線-5",N28*H28*J28/J55,IF(B29="使用電線-5",N29*H29*J29/J55))))</f>
        <v/>
      </c>
      <c r="M55" s="299" t="s">
        <v>17</v>
      </c>
      <c r="N55" s="301"/>
      <c r="O55" s="249" t="str">
        <f>IF(D34="","",SUM(J65:N65))</f>
        <v/>
      </c>
      <c r="P55" s="253" t="str">
        <f>IF(D41="","",MAX(E41,K41,P41,E55,K55))</f>
        <v/>
      </c>
      <c r="Q55" s="252" t="str">
        <f>IF(D41="","",MIN(F41,L41,Q41,F55,L55))</f>
        <v/>
      </c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3"/>
      <c r="AG55" s="3"/>
      <c r="AH55" s="3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</row>
    <row r="56" spans="1:79" ht="15" customHeight="1" x14ac:dyDescent="0.15">
      <c r="A56" s="339"/>
      <c r="B56" s="388" t="s">
        <v>18</v>
      </c>
      <c r="C56" s="298"/>
      <c r="D56" s="198" t="str">
        <f>IF(B46="","",IF(B26="使用電線-4",BR171*H26*J26,IF(B27="使用電線-4",BR171*H27*J27,IF(B28="使用電線-4",BR171*H28*J28,IF(B29="使用電線-4",BR171*H29*J29,"")))))</f>
        <v/>
      </c>
      <c r="E56" s="199" t="str">
        <f>IF(D56="","",BR170)</f>
        <v/>
      </c>
      <c r="F56" s="200" t="str">
        <f>IF(D56="","",IF(B26="使用電線-4",N26*H26*J26/D56,IF(B27="使用電線-4",N27*H27*J27/D56,IF(B28="使用電線-4",N28*H28*J28/D56,IF(B29="使用電線-4",N29*H29*J29/D56)))))</f>
        <v/>
      </c>
      <c r="G56" s="296" t="s">
        <v>18</v>
      </c>
      <c r="H56" s="297"/>
      <c r="I56" s="298"/>
      <c r="J56" s="198" t="str">
        <f>IF(G46="","",IF(B27="使用電線-5",CA171*H27*J27,IF(B28="使用電線-5",CA171*H28*J28,IF(B29="使用電線-5",CA171*H29*J29,""))))</f>
        <v/>
      </c>
      <c r="K56" s="199" t="str">
        <f>IF(J56="","",CA170)</f>
        <v/>
      </c>
      <c r="L56" s="200" t="str">
        <f>IF(J56="","",IF(B27="使用電線-5",N27*H27*J27/J56,IF(B28="使用電線-5",N28*H28*J28/J56,IF(B29="使用電線-5",N29*H29*J29/J56))))</f>
        <v/>
      </c>
      <c r="M56" s="296" t="s">
        <v>18</v>
      </c>
      <c r="N56" s="298"/>
      <c r="O56" s="198" t="str">
        <f>IF(D34="","",SUM(J66:N66))</f>
        <v/>
      </c>
      <c r="P56" s="189" t="str">
        <f>IF(D42="","",MAX(E42,K42,P42,E56,K56))</f>
        <v/>
      </c>
      <c r="Q56" s="203" t="str">
        <f>IF(D42="","",MIN(F42,L42,Q42,F56,L56))</f>
        <v/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265">
        <f>IF(AF57="入力完了",1,0)</f>
        <v>0</v>
      </c>
      <c r="AG56" s="3"/>
      <c r="AH56" s="3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</row>
    <row r="57" spans="1:79" ht="15" customHeight="1" x14ac:dyDescent="0.15">
      <c r="A57" s="339"/>
      <c r="B57" s="388" t="s">
        <v>19</v>
      </c>
      <c r="C57" s="298"/>
      <c r="D57" s="198" t="str">
        <f>IF(B46="","",IF(B26="使用電線-4",BR191*H26*J26,IF(B27="使用電線-4",BR191*H27*J27,IF(B28="使用電線-4",BR191*H28*J28,IF(B29="使用電線-4",BR191*H29*J29,"")))))</f>
        <v/>
      </c>
      <c r="E57" s="199" t="str">
        <f>IF(D57="","",BR190)</f>
        <v/>
      </c>
      <c r="F57" s="200" t="str">
        <f>IF(D57="","",IF(B26="使用電線-4",N26*H26*J26/D57,IF(B27="使用電線-4",N27*H27*J27/D57,IF(B28="使用電線-4",N28*H28*J28/D57,IF(B29="使用電線-4",N29*H29*J29/D57)))))</f>
        <v/>
      </c>
      <c r="G57" s="296" t="s">
        <v>19</v>
      </c>
      <c r="H57" s="297"/>
      <c r="I57" s="298"/>
      <c r="J57" s="198" t="str">
        <f>IF(G46="","",IF(B27="使用電線-5",CA191*H27*J27,IF(B28="使用電線-5",CA191*H28*J28,IF(B29="使用電線-5",CA191*H29*J29,""))))</f>
        <v/>
      </c>
      <c r="K57" s="199" t="str">
        <f>IF(J57="","",CA190)</f>
        <v/>
      </c>
      <c r="L57" s="200" t="str">
        <f>IF(J57="","",IF(B27="使用電線-5",N27*H27*J27/J57,IF(B28="使用電線-5",N28*H28*J28/J57,IF(B29="使用電線-5",N29*H29*J29/J57))))</f>
        <v/>
      </c>
      <c r="M57" s="296" t="s">
        <v>19</v>
      </c>
      <c r="N57" s="298"/>
      <c r="O57" s="198" t="str">
        <f>IF(D34="","",SUM(J67:N67))</f>
        <v/>
      </c>
      <c r="P57" s="189" t="str">
        <f>IF(D43="","",MAX(E43,K43,P43,E57,K57))</f>
        <v/>
      </c>
      <c r="Q57" s="203" t="str">
        <f>IF(D43="","",MIN(F43,L43,Q43,F57,L57))</f>
        <v/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396" t="str">
        <f>IF(OR(C2="",C4="",P4="",B23=""),"入力未完","入力完了")</f>
        <v>入力未完</v>
      </c>
      <c r="AG57" s="3"/>
      <c r="AH57" s="3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</row>
    <row r="58" spans="1:79" ht="15" customHeight="1" x14ac:dyDescent="0.15">
      <c r="A58" s="339"/>
      <c r="B58" s="385" t="s">
        <v>20</v>
      </c>
      <c r="C58" s="309"/>
      <c r="D58" s="201" t="str">
        <f>IF(B46="","",IF(BR211=0,"",IF(B26="使用電線-4",BR211*H26*J26,IF(B27="使用電線-4",BR211*H27*J27,IF(B28="使用電線-4",BR211*H28*J28,IF(B29="使用電線-4",BR211*H29*J29,""))))))</f>
        <v/>
      </c>
      <c r="E58" s="205" t="str">
        <f>IF(D58="","",BR210)</f>
        <v/>
      </c>
      <c r="F58" s="202" t="str">
        <f>IF(D58="","",IF(B26="使用電線-4",N26*H26*J26/D58,IF(B27="使用電線-4",N27*H27*J27/D58,IF(B28="使用電線-4",N28*H28*J28/D58,IF(B29="使用電線-4",N29*H29*J29/D58)))))</f>
        <v/>
      </c>
      <c r="G58" s="308" t="s">
        <v>20</v>
      </c>
      <c r="H58" s="332"/>
      <c r="I58" s="309"/>
      <c r="J58" s="201" t="str">
        <f>IF(G46="","",IF(CA211=0,"",IF(B27="使用電線-5",CA211*H27*J27,IF(B28="使用電線-5",CA211*H28*J28,IF(B29="使用電線-5",CA211*H29*J29,"")))))</f>
        <v/>
      </c>
      <c r="K58" s="205" t="str">
        <f>IF(J58="","",CA210)</f>
        <v/>
      </c>
      <c r="L58" s="202" t="str">
        <f>IF(J58="","",IF(B27="使用電線-5",N27*H27*J27/J58,IF(B28="使用電線-5",N28*H28*J28/J58,IF(B29="使用電線-5",N29*H29*J29/J58))))</f>
        <v/>
      </c>
      <c r="M58" s="308" t="s">
        <v>20</v>
      </c>
      <c r="N58" s="309"/>
      <c r="O58" s="201" t="str">
        <f>IF(SUM(J68:N68)=0,"",SUM(J68:N68))</f>
        <v/>
      </c>
      <c r="P58" s="211" t="str">
        <f>IF(O58="","",IF(MAX(E44,K44,P44,E58,K58)=0,"",MAX(E44,K44,P44,E58,K58)))</f>
        <v/>
      </c>
      <c r="Q58" s="204" t="str">
        <f>IF(O58="","",IF(MIN(F44,L44,Q44,F58,L58)=0,"",MIN(F44,L44,Q44,F58,L58)))</f>
        <v/>
      </c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397"/>
      <c r="AG58" s="3"/>
      <c r="AH58" s="3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</row>
    <row r="59" spans="1:79" ht="3.75" customHeight="1" thickBot="1" x14ac:dyDescent="0.2">
      <c r="A59" s="339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79" ht="18" hidden="1" customHeight="1" thickBot="1" x14ac:dyDescent="0.2">
      <c r="B60" s="36"/>
      <c r="C60" s="36"/>
      <c r="D60" s="102"/>
      <c r="E60" s="102"/>
      <c r="F60" s="59"/>
      <c r="G60" s="59"/>
      <c r="S60" s="103" t="s">
        <v>138</v>
      </c>
      <c r="T60" s="36"/>
      <c r="U60" s="102"/>
      <c r="V60" s="102"/>
      <c r="W60" s="59"/>
      <c r="X60" s="59"/>
    </row>
    <row r="61" spans="1:79" ht="18" hidden="1" customHeight="1" x14ac:dyDescent="0.15">
      <c r="J61" s="53">
        <f>IF(D34="",0,D34)</f>
        <v>0</v>
      </c>
      <c r="K61" s="53">
        <f>IF(J34="",0,J34)</f>
        <v>0</v>
      </c>
      <c r="L61" s="53">
        <f>IF(O34="",0,O34)</f>
        <v>0</v>
      </c>
      <c r="M61" s="53">
        <f>IF(D48="",0,D48)</f>
        <v>0</v>
      </c>
      <c r="N61" s="53">
        <f>IF(J48="",0,J48)</f>
        <v>0</v>
      </c>
      <c r="S61" s="99">
        <f>IF(D29="",0,SQRT(((((K23*H23+K24*H24+K25*H25+K26*H26+K27*H27+K28*H28+K29*H29)*0.001/SUM(H23:H29))*((SUM(H23:H29))^0.55)+S23*0.001)*50)^2+(M23*H23+M24*H24+M25*H25+M26*H26+M27*H27+M28*H28+M29*H29+U23)^2))</f>
        <v>0</v>
      </c>
      <c r="T61" s="103" t="s">
        <v>268</v>
      </c>
      <c r="U61" s="102"/>
      <c r="V61" s="102"/>
      <c r="W61" s="59"/>
      <c r="X61" s="59"/>
      <c r="AJ61" s="2" t="s">
        <v>269</v>
      </c>
      <c r="AK61" s="111" t="s">
        <v>270</v>
      </c>
      <c r="AL61" s="12" t="s">
        <v>271</v>
      </c>
      <c r="AM61" s="12" t="s">
        <v>272</v>
      </c>
      <c r="AN61" s="12" t="s">
        <v>273</v>
      </c>
      <c r="AO61" s="12" t="s">
        <v>274</v>
      </c>
      <c r="AP61" s="12" t="s">
        <v>275</v>
      </c>
      <c r="AQ61" s="13" t="s">
        <v>276</v>
      </c>
      <c r="AS61" s="2" t="s">
        <v>269</v>
      </c>
      <c r="AT61" s="111" t="s">
        <v>270</v>
      </c>
      <c r="AU61" s="12" t="s">
        <v>271</v>
      </c>
      <c r="AV61" s="12" t="s">
        <v>272</v>
      </c>
      <c r="AW61" s="12" t="s">
        <v>273</v>
      </c>
      <c r="AX61" s="12" t="s">
        <v>274</v>
      </c>
      <c r="AY61" s="12" t="s">
        <v>275</v>
      </c>
      <c r="AZ61" s="13" t="s">
        <v>276</v>
      </c>
      <c r="BB61" s="2" t="s">
        <v>269</v>
      </c>
      <c r="BC61" s="111" t="s">
        <v>270</v>
      </c>
      <c r="BD61" s="12" t="s">
        <v>271</v>
      </c>
      <c r="BE61" s="12" t="s">
        <v>272</v>
      </c>
      <c r="BF61" s="12" t="s">
        <v>273</v>
      </c>
      <c r="BG61" s="12" t="s">
        <v>274</v>
      </c>
      <c r="BH61" s="12" t="s">
        <v>275</v>
      </c>
      <c r="BI61" s="13" t="s">
        <v>276</v>
      </c>
      <c r="BK61" s="2" t="s">
        <v>269</v>
      </c>
      <c r="BL61" s="111" t="s">
        <v>270</v>
      </c>
      <c r="BM61" s="12" t="s">
        <v>271</v>
      </c>
      <c r="BN61" s="12" t="s">
        <v>272</v>
      </c>
      <c r="BO61" s="12" t="s">
        <v>273</v>
      </c>
      <c r="BP61" s="12" t="s">
        <v>274</v>
      </c>
      <c r="BQ61" s="12" t="s">
        <v>275</v>
      </c>
      <c r="BR61" s="13" t="s">
        <v>276</v>
      </c>
      <c r="BT61" s="2" t="s">
        <v>269</v>
      </c>
      <c r="BU61" s="111" t="s">
        <v>270</v>
      </c>
      <c r="BV61" s="12" t="s">
        <v>271</v>
      </c>
      <c r="BW61" s="12" t="s">
        <v>272</v>
      </c>
      <c r="BX61" s="12" t="s">
        <v>273</v>
      </c>
      <c r="BY61" s="12" t="s">
        <v>274</v>
      </c>
      <c r="BZ61" s="12" t="s">
        <v>275</v>
      </c>
      <c r="CA61" s="13" t="s">
        <v>276</v>
      </c>
    </row>
    <row r="62" spans="1:79" ht="18" hidden="1" customHeight="1" x14ac:dyDescent="0.15">
      <c r="J62" s="53">
        <f>IF(D36="",0,D36)</f>
        <v>0</v>
      </c>
      <c r="K62" s="53">
        <f>IF(J36="",0,J36)</f>
        <v>0</v>
      </c>
      <c r="L62" s="53">
        <f>IF(O36="",0,O36)</f>
        <v>0</v>
      </c>
      <c r="M62" s="53">
        <f>IF(D50="",0,D50)</f>
        <v>0</v>
      </c>
      <c r="N62" s="53">
        <f>IF(J50="",0,J50)</f>
        <v>0</v>
      </c>
      <c r="S62" s="99">
        <f>IF(D28="",0,SQRT(((((K23*H23+K24*H24+K25*H25+K26*H26+K27*H27+K28*H28)*0.001/SUM(H23:H28))*((SUM(H23:H28))^0.55)+S23*0.001)*50)^2+(M23*H23+M24*H24+M25*H25+M26*H26+M27*H27+M28*H28+U23)^2))</f>
        <v>0</v>
      </c>
      <c r="T62" s="99">
        <f>IF(D29="",0,SQRT(((((K24*H24+K25*H25+K26*H26+K27*H27+K28*H28+K29*H29)*0.001/SUM(H24:H29))*((SUM(H24:H29))^0.55)+S24*0.001)*50)^2+(M24*H24+M25*H25+M26*H26+M27*H27+M28*H28+M29*H29+U24)^2))</f>
        <v>0</v>
      </c>
      <c r="U62" s="103" t="s">
        <v>277</v>
      </c>
      <c r="V62" s="102"/>
      <c r="W62" s="59"/>
      <c r="X62" s="59"/>
      <c r="AJ62" s="16" t="e">
        <f>-AJ65+AJ68</f>
        <v>#VALUE!</v>
      </c>
      <c r="AK62" s="17" t="e">
        <f>-AJ71</f>
        <v>#VALUE!</v>
      </c>
      <c r="AL62" s="18" t="e">
        <f>IF(AND(AP65&lt;0,AQ65&lt;0),AQ62*1.2,IF(AND(AP65&gt;0,AQ65&gt;0),AP62*0.8,10))</f>
        <v>#VALUE!</v>
      </c>
      <c r="AM62" s="18" t="e">
        <f>AL62^3+AJ62*AL62+AK62</f>
        <v>#VALUE!</v>
      </c>
      <c r="AN62" s="18" t="e">
        <f>3*AL62^2+AJ62</f>
        <v>#VALUE!</v>
      </c>
      <c r="AO62" s="18" t="e">
        <f t="shared" ref="AO62:AO76" si="8">AL62-AM62/AN62</f>
        <v>#VALUE!</v>
      </c>
      <c r="AP62" s="18" t="e">
        <f>-SQRT(ABS(-4*3*AJ62))/6</f>
        <v>#VALUE!</v>
      </c>
      <c r="AQ62" s="19" t="e">
        <f>SQRT(ABS(-4*3*AJ62))/6</f>
        <v>#VALUE!</v>
      </c>
      <c r="AS62" s="16" t="e">
        <f>-AS65+AS68</f>
        <v>#VALUE!</v>
      </c>
      <c r="AT62" s="17" t="e">
        <f>-AS71</f>
        <v>#VALUE!</v>
      </c>
      <c r="AU62" s="18" t="e">
        <f>IF(AND(AY65&lt;0,AZ65&lt;0),AZ62*1.2,IF(AND(AY65&gt;0,AZ65&gt;0),AY62*0.8,10))</f>
        <v>#VALUE!</v>
      </c>
      <c r="AV62" s="18" t="e">
        <f>AU62^3+AS62*AU62+AT62</f>
        <v>#VALUE!</v>
      </c>
      <c r="AW62" s="18" t="e">
        <f>3*AU62^2+AS62</f>
        <v>#VALUE!</v>
      </c>
      <c r="AX62" s="18" t="e">
        <f t="shared" ref="AX62:AX76" si="9">AU62-AV62/AW62</f>
        <v>#VALUE!</v>
      </c>
      <c r="AY62" s="18" t="e">
        <f>-SQRT(ABS(-4*3*AS62))/6</f>
        <v>#VALUE!</v>
      </c>
      <c r="AZ62" s="19" t="e">
        <f>SQRT(ABS(-4*3*AS62))/6</f>
        <v>#VALUE!</v>
      </c>
      <c r="BB62" s="16" t="e">
        <f>-BB65+BB68</f>
        <v>#VALUE!</v>
      </c>
      <c r="BC62" s="17" t="e">
        <f>-BB71</f>
        <v>#VALUE!</v>
      </c>
      <c r="BD62" s="18" t="e">
        <f>IF(AND(BH65&lt;0,BI65&lt;0),BI62*1.2,IF(AND(BH65&gt;0,BI65&gt;0),BH62*0.8,10))</f>
        <v>#VALUE!</v>
      </c>
      <c r="BE62" s="18" t="e">
        <f>BD62^3+BB62*BD62+BC62</f>
        <v>#VALUE!</v>
      </c>
      <c r="BF62" s="18" t="e">
        <f>3*BD62^2+BB62</f>
        <v>#VALUE!</v>
      </c>
      <c r="BG62" s="18" t="e">
        <f t="shared" ref="BG62:BG76" si="10">BD62-BE62/BF62</f>
        <v>#VALUE!</v>
      </c>
      <c r="BH62" s="18" t="e">
        <f>-SQRT(ABS(-4*3*BB62))/6</f>
        <v>#VALUE!</v>
      </c>
      <c r="BI62" s="19" t="e">
        <f>SQRT(ABS(-4*3*BB62))/6</f>
        <v>#VALUE!</v>
      </c>
      <c r="BK62" s="16" t="e">
        <f>-BK65+BK68</f>
        <v>#VALUE!</v>
      </c>
      <c r="BL62" s="17" t="e">
        <f>-BK71</f>
        <v>#VALUE!</v>
      </c>
      <c r="BM62" s="18" t="e">
        <f>IF(AND(BQ65&lt;0,BR65&lt;0),BR62*1.2,IF(AND(BQ65&gt;0,BR65&gt;0),BQ62*0.8,10))</f>
        <v>#VALUE!</v>
      </c>
      <c r="BN62" s="18" t="e">
        <f>BM62^3+BK62*BM62+BL62</f>
        <v>#VALUE!</v>
      </c>
      <c r="BO62" s="18" t="e">
        <f>3*BM62^2+BK62</f>
        <v>#VALUE!</v>
      </c>
      <c r="BP62" s="18" t="e">
        <f t="shared" ref="BP62:BP76" si="11">BM62-BN62/BO62</f>
        <v>#VALUE!</v>
      </c>
      <c r="BQ62" s="18" t="e">
        <f>-SQRT(ABS(-4*3*BK62))/6</f>
        <v>#VALUE!</v>
      </c>
      <c r="BR62" s="19" t="e">
        <f>SQRT(ABS(-4*3*BK62))/6</f>
        <v>#VALUE!</v>
      </c>
      <c r="BT62" s="16" t="e">
        <f>-BT65+BT68</f>
        <v>#VALUE!</v>
      </c>
      <c r="BU62" s="17" t="e">
        <f>-BT71</f>
        <v>#VALUE!</v>
      </c>
      <c r="BV62" s="18" t="e">
        <f>IF(AND(BZ65&lt;0,CA65&lt;0),CA62*1.2,IF(AND(BZ65&gt;0,CA65&gt;0),BZ62*0.8,10))</f>
        <v>#VALUE!</v>
      </c>
      <c r="BW62" s="18" t="e">
        <f>BV62^3+BT62*BV62+BU62</f>
        <v>#VALUE!</v>
      </c>
      <c r="BX62" s="18" t="e">
        <f>3*BV62^2+BT62</f>
        <v>#VALUE!</v>
      </c>
      <c r="BY62" s="18" t="e">
        <f t="shared" ref="BY62:BY76" si="12">BV62-BW62/BX62</f>
        <v>#VALUE!</v>
      </c>
      <c r="BZ62" s="18" t="e">
        <f>-SQRT(ABS(-4*3*BT62))/6</f>
        <v>#VALUE!</v>
      </c>
      <c r="CA62" s="19" t="e">
        <f>SQRT(ABS(-4*3*BT62))/6</f>
        <v>#VALUE!</v>
      </c>
    </row>
    <row r="63" spans="1:79" ht="18" hidden="1" customHeight="1" x14ac:dyDescent="0.15">
      <c r="J63" s="53">
        <f>IF(D38="",0,D38)</f>
        <v>0</v>
      </c>
      <c r="K63" s="53">
        <f>IF(J38="",0,J38)</f>
        <v>0</v>
      </c>
      <c r="L63" s="53">
        <f>IF(O38="",0,O38)</f>
        <v>0</v>
      </c>
      <c r="M63" s="53">
        <f>IF(D52="",0,D52)</f>
        <v>0</v>
      </c>
      <c r="N63" s="53">
        <f>IF(J52="",0,J52)</f>
        <v>0</v>
      </c>
      <c r="S63" s="99">
        <f>IF(D27="",0,SQRT(((((K23*H23+K24*H24+K25*H25+K26*H26+K27*H27)*0.001/SUM(H23:H27))*((SUM(H23:H27))^0.55)+S23*0.001)*50)^2+(M23*H23+M24*H24+M25*H25+M26*H26+M27*H27+U23)^2))</f>
        <v>0</v>
      </c>
      <c r="T63" s="99">
        <f>IF(D28="",0,SQRT(((((K24*H24+K25*H25+K26*H26+K27*H27+K28*H28)*0.001/SUM(H24:H28))*((SUM(H24:H28))^0.55)+S24*0.001)*50)^2+(M24*H24+M25*H25+M26*H26+M27*H27+M28*H28+U24)^2))</f>
        <v>0</v>
      </c>
      <c r="U63" s="99">
        <f>IF(D29="",0,SQRT(((((K25*H25+K26*H26+K27*H27+K28*H28+K29*H29)*0.001/SUM(H25:H29))*((SUM(H25:H29))^0.55)+S25*0.001)*50)^2+(M25*H25+M26*H26+M27*H27+M28*H28+M29*H29+U25)^2))</f>
        <v>0</v>
      </c>
      <c r="V63" s="103" t="s">
        <v>278</v>
      </c>
      <c r="W63" s="59"/>
      <c r="X63" s="59"/>
      <c r="AJ63" s="267"/>
      <c r="AK63" s="268"/>
      <c r="AL63" s="18" t="e">
        <f t="shared" ref="AL63:AL76" si="13">AO62</f>
        <v>#VALUE!</v>
      </c>
      <c r="AM63" s="18" t="e">
        <f>AL63^3+AJ62*AL63+AK62</f>
        <v>#VALUE!</v>
      </c>
      <c r="AN63" s="18" t="e">
        <f>3*AL63^2+AJ62</f>
        <v>#VALUE!</v>
      </c>
      <c r="AO63" s="18" t="e">
        <f t="shared" si="8"/>
        <v>#VALUE!</v>
      </c>
      <c r="AP63" s="6"/>
      <c r="AQ63" s="7"/>
      <c r="AS63" s="267"/>
      <c r="AT63" s="268"/>
      <c r="AU63" s="18" t="e">
        <f t="shared" ref="AU63:AU76" si="14">AX62</f>
        <v>#VALUE!</v>
      </c>
      <c r="AV63" s="18" t="e">
        <f>AU63^3+AS62*AU63+AT62</f>
        <v>#VALUE!</v>
      </c>
      <c r="AW63" s="18" t="e">
        <f>3*AU63^2+AS62</f>
        <v>#VALUE!</v>
      </c>
      <c r="AX63" s="18" t="e">
        <f t="shared" si="9"/>
        <v>#VALUE!</v>
      </c>
      <c r="AY63" s="6"/>
      <c r="AZ63" s="7"/>
      <c r="BB63" s="267"/>
      <c r="BC63" s="268"/>
      <c r="BD63" s="18" t="e">
        <f t="shared" ref="BD63:BD76" si="15">BG62</f>
        <v>#VALUE!</v>
      </c>
      <c r="BE63" s="18" t="e">
        <f>BD63^3+BB62*BD63+BC62</f>
        <v>#VALUE!</v>
      </c>
      <c r="BF63" s="18" t="e">
        <f>3*BD63^2+BB62</f>
        <v>#VALUE!</v>
      </c>
      <c r="BG63" s="18" t="e">
        <f t="shared" si="10"/>
        <v>#VALUE!</v>
      </c>
      <c r="BH63" s="6"/>
      <c r="BI63" s="7"/>
      <c r="BK63" s="267"/>
      <c r="BL63" s="268"/>
      <c r="BM63" s="18" t="e">
        <f t="shared" ref="BM63:BM76" si="16">BP62</f>
        <v>#VALUE!</v>
      </c>
      <c r="BN63" s="18" t="e">
        <f>BM63^3+BK62*BM63+BL62</f>
        <v>#VALUE!</v>
      </c>
      <c r="BO63" s="18" t="e">
        <f>3*BM63^2+BK62</f>
        <v>#VALUE!</v>
      </c>
      <c r="BP63" s="18" t="e">
        <f t="shared" si="11"/>
        <v>#VALUE!</v>
      </c>
      <c r="BQ63" s="6"/>
      <c r="BR63" s="7"/>
      <c r="BT63" s="267"/>
      <c r="BU63" s="268"/>
      <c r="BV63" s="18" t="e">
        <f t="shared" ref="BV63:BV76" si="17">BY62</f>
        <v>#VALUE!</v>
      </c>
      <c r="BW63" s="18" t="e">
        <f>BV63^3+BT62*BV63+BU62</f>
        <v>#VALUE!</v>
      </c>
      <c r="BX63" s="18" t="e">
        <f>3*BV63^2+BT62</f>
        <v>#VALUE!</v>
      </c>
      <c r="BY63" s="18" t="e">
        <f t="shared" si="12"/>
        <v>#VALUE!</v>
      </c>
      <c r="BZ63" s="6"/>
      <c r="CA63" s="7"/>
    </row>
    <row r="64" spans="1:79" ht="18" hidden="1" customHeight="1" x14ac:dyDescent="0.15">
      <c r="J64" s="53">
        <f>IF(D40="",0,D40)</f>
        <v>0</v>
      </c>
      <c r="K64" s="53">
        <f>IF(J40="",0,J40)</f>
        <v>0</v>
      </c>
      <c r="L64" s="53">
        <f>IF(O40="",0,O40)</f>
        <v>0</v>
      </c>
      <c r="M64" s="53">
        <f>IF(D54="",0,D54)</f>
        <v>0</v>
      </c>
      <c r="N64" s="53">
        <f>IF(J54="",0,J54)</f>
        <v>0</v>
      </c>
      <c r="S64" s="99">
        <f>IF(D26="",0,SQRT(((((K23*H23+K24*H24+K25*H25+K26*H26)*0.001/SUM(H23:H26))*((SUM(H23:H26))^0.55)+S23*0.001)*50)^2+(M23*H23+M24*H24+M25*H25+M26*H26+U23)^2))</f>
        <v>0</v>
      </c>
      <c r="T64" s="99">
        <f>IF(D27="",0,SQRT(((((K24*H24+K25*H25+K26*H26+K27*H27)*0.001/SUM(H24:H27))*((SUM(H24:H27))^0.55)+S24*0.001)*50)^2+(M24*H24+M25*H25+M26*H26+M27*H27+U24)^2))</f>
        <v>0</v>
      </c>
      <c r="U64" s="99">
        <f>IF(D28="",0,SQRT(((((K25*H25+K26*H26+K27*H27+K28*H28)*0.001/SUM(H25:H28))*((SUM(H25:H28))^0.55)+S25*0.001)*50)^2+(M25*H25+M26*H26+M27*H27+M28*H28+U25)^2))</f>
        <v>0</v>
      </c>
      <c r="V64" s="99">
        <f>IF(D29="",0,SQRT(((((K26*H26+K27*H27+K28*H28+K29*H29)*0.001/SUM(H26:H29))*((SUM(H26:H29))^0.55)+S26*0.001)*50)^2+(M26*H26+M27*H27+M28*H28+M29*H29+U26)^2))</f>
        <v>0</v>
      </c>
      <c r="W64" s="103" t="s">
        <v>279</v>
      </c>
      <c r="X64" s="59"/>
      <c r="AJ64" s="269" t="s">
        <v>280</v>
      </c>
      <c r="AK64" s="270"/>
      <c r="AL64" s="18" t="e">
        <f t="shared" si="13"/>
        <v>#VALUE!</v>
      </c>
      <c r="AM64" s="18" t="e">
        <f>AL64^3+AJ62*AL64+AK62</f>
        <v>#VALUE!</v>
      </c>
      <c r="AN64" s="18" t="e">
        <f>3*AL64^2+AJ62</f>
        <v>#VALUE!</v>
      </c>
      <c r="AO64" s="18" t="e">
        <f t="shared" si="8"/>
        <v>#VALUE!</v>
      </c>
      <c r="AP64" s="14" t="s">
        <v>281</v>
      </c>
      <c r="AQ64" s="15" t="s">
        <v>282</v>
      </c>
      <c r="AS64" s="269" t="s">
        <v>280</v>
      </c>
      <c r="AT64" s="270"/>
      <c r="AU64" s="18" t="e">
        <f t="shared" si="14"/>
        <v>#VALUE!</v>
      </c>
      <c r="AV64" s="18" t="e">
        <f>AU64^3+AS62*AU64+AT62</f>
        <v>#VALUE!</v>
      </c>
      <c r="AW64" s="18" t="e">
        <f>3*AU64^2+AS62</f>
        <v>#VALUE!</v>
      </c>
      <c r="AX64" s="18" t="e">
        <f t="shared" si="9"/>
        <v>#VALUE!</v>
      </c>
      <c r="AY64" s="14" t="s">
        <v>281</v>
      </c>
      <c r="AZ64" s="15" t="s">
        <v>282</v>
      </c>
      <c r="BB64" s="269" t="s">
        <v>280</v>
      </c>
      <c r="BC64" s="270"/>
      <c r="BD64" s="18" t="e">
        <f t="shared" si="15"/>
        <v>#VALUE!</v>
      </c>
      <c r="BE64" s="18" t="e">
        <f>BD64^3+BB62*BD64+BC62</f>
        <v>#VALUE!</v>
      </c>
      <c r="BF64" s="18" t="e">
        <f>3*BD64^2+BB62</f>
        <v>#VALUE!</v>
      </c>
      <c r="BG64" s="18" t="e">
        <f t="shared" si="10"/>
        <v>#VALUE!</v>
      </c>
      <c r="BH64" s="14" t="s">
        <v>281</v>
      </c>
      <c r="BI64" s="15" t="s">
        <v>282</v>
      </c>
      <c r="BK64" s="269" t="s">
        <v>280</v>
      </c>
      <c r="BL64" s="270"/>
      <c r="BM64" s="18" t="e">
        <f t="shared" si="16"/>
        <v>#VALUE!</v>
      </c>
      <c r="BN64" s="18" t="e">
        <f>BM64^3+BK62*BM64+BL62</f>
        <v>#VALUE!</v>
      </c>
      <c r="BO64" s="18" t="e">
        <f>3*BM64^2+BK62</f>
        <v>#VALUE!</v>
      </c>
      <c r="BP64" s="18" t="e">
        <f t="shared" si="11"/>
        <v>#VALUE!</v>
      </c>
      <c r="BQ64" s="14" t="s">
        <v>281</v>
      </c>
      <c r="BR64" s="15" t="s">
        <v>282</v>
      </c>
      <c r="BT64" s="269" t="s">
        <v>280</v>
      </c>
      <c r="BU64" s="270"/>
      <c r="BV64" s="18" t="e">
        <f t="shared" si="17"/>
        <v>#VALUE!</v>
      </c>
      <c r="BW64" s="18" t="e">
        <f>BV64^3+BT62*BV64+BU62</f>
        <v>#VALUE!</v>
      </c>
      <c r="BX64" s="18" t="e">
        <f>3*BV64^2+BT62</f>
        <v>#VALUE!</v>
      </c>
      <c r="BY64" s="18" t="e">
        <f t="shared" si="12"/>
        <v>#VALUE!</v>
      </c>
      <c r="BZ64" s="14" t="s">
        <v>281</v>
      </c>
      <c r="CA64" s="15" t="s">
        <v>282</v>
      </c>
    </row>
    <row r="65" spans="10:79" ht="18" hidden="1" customHeight="1" x14ac:dyDescent="0.15">
      <c r="J65" s="53">
        <f>IF(D41="",0,D41)</f>
        <v>0</v>
      </c>
      <c r="K65" s="53">
        <f>IF(J41="",0,J41)</f>
        <v>0</v>
      </c>
      <c r="L65" s="53">
        <f>IF(O41="",0,O41)</f>
        <v>0</v>
      </c>
      <c r="M65" s="53">
        <f>IF(D55="",0,D55)</f>
        <v>0</v>
      </c>
      <c r="N65" s="53">
        <f>IF(J55="",0,J55)</f>
        <v>0</v>
      </c>
      <c r="S65" s="99">
        <f>IF(D25="",0,SQRT(((((K23*H23+K24*H24+K25*H25)*0.001/SUM(H23:H25))*((SUM(H23:H25))^0.55)+S23*0.001)*50)^2+(M23*H23+M24*H24+M25*H25+U23)^2))</f>
        <v>0</v>
      </c>
      <c r="T65" s="99">
        <f>IF(D26="",0,SQRT(((((K24*H24+K25*H25+K26*H26)*0.001/SUM(H24:H26))*((SUM(H24:H26))^0.55)+S24*0.001)*50)^2+(M24*H24+M25*H25+M26*H26+U24)^2))</f>
        <v>0</v>
      </c>
      <c r="U65" s="99">
        <f>IF(D27="",0,SQRT(((((K25*H25+K26*H26+K27*H27)*0.001/SUM(H25:H27))*((SUM(H25:H27))^0.55)+S25*0.001)*50)^2+(M25*H25+M26*H26+M27*H27+U25)^2))</f>
        <v>0</v>
      </c>
      <c r="V65" s="99">
        <f>IF(D28="",0,SQRT(((((K26*H26+K27*H27+K28*H28)*0.001/SUM(H26:H28))*((SUM(H26:H28))^0.55)+S26*0.001)*50)^2+(M26*H26+M27*H27+M28*H28+U26)^2))</f>
        <v>0</v>
      </c>
      <c r="W65" s="99">
        <f>IF(D29="",0,SQRT(((((K27*H27+K28*H28+K29*H29)*0.001/SUM(H27:H29))*((SUM(H27:H29))^0.55)+S27*0.001)*50)^2+(M27*H27+M28*H28+M29*H29+U27)^2))</f>
        <v>0</v>
      </c>
      <c r="X65" s="103" t="s">
        <v>283</v>
      </c>
      <c r="AJ65" s="269">
        <f>(AL78^2)+3*(AM78^2)*AQ78*(AQ73-15)/(8*10^7)</f>
        <v>0</v>
      </c>
      <c r="AK65" s="270"/>
      <c r="AL65" s="18" t="e">
        <f t="shared" si="13"/>
        <v>#VALUE!</v>
      </c>
      <c r="AM65" s="18" t="e">
        <f>AL65^3+AJ62*AL65+AK62</f>
        <v>#VALUE!</v>
      </c>
      <c r="AN65" s="18" t="e">
        <f>3*AL65^2+AJ62</f>
        <v>#VALUE!</v>
      </c>
      <c r="AO65" s="18" t="e">
        <f t="shared" si="8"/>
        <v>#VALUE!</v>
      </c>
      <c r="AP65" s="18" t="e">
        <f>AP62^3+AJ62*AP62+AK62</f>
        <v>#VALUE!</v>
      </c>
      <c r="AQ65" s="19" t="e">
        <f>AQ62^3+AJ62*AQ62+AK62</f>
        <v>#VALUE!</v>
      </c>
      <c r="AS65" s="269" t="e">
        <f>(AU78^2)+3*(AV78^2)*AZ78*(AZ73-15)/(8*10^7)</f>
        <v>#VALUE!</v>
      </c>
      <c r="AT65" s="270"/>
      <c r="AU65" s="18" t="e">
        <f t="shared" si="14"/>
        <v>#VALUE!</v>
      </c>
      <c r="AV65" s="18" t="e">
        <f>AU65^3+AS62*AU65+AT62</f>
        <v>#VALUE!</v>
      </c>
      <c r="AW65" s="18" t="e">
        <f>3*AU65^2+AS62</f>
        <v>#VALUE!</v>
      </c>
      <c r="AX65" s="18" t="e">
        <f t="shared" si="9"/>
        <v>#VALUE!</v>
      </c>
      <c r="AY65" s="18" t="e">
        <f>AY62^3+AS62*AY62+AT62</f>
        <v>#VALUE!</v>
      </c>
      <c r="AZ65" s="19" t="e">
        <f>AZ62^3+AS62*AZ62+AT62</f>
        <v>#VALUE!</v>
      </c>
      <c r="BB65" s="269" t="e">
        <f>(BD78^2)+3*(BE78^2)*BI78*(BI73-15)/(8*10^7)</f>
        <v>#VALUE!</v>
      </c>
      <c r="BC65" s="270"/>
      <c r="BD65" s="18" t="e">
        <f t="shared" si="15"/>
        <v>#VALUE!</v>
      </c>
      <c r="BE65" s="18" t="e">
        <f>BD65^3+BB62*BD65+BC62</f>
        <v>#VALUE!</v>
      </c>
      <c r="BF65" s="18" t="e">
        <f>3*BD65^2+BB62</f>
        <v>#VALUE!</v>
      </c>
      <c r="BG65" s="18" t="e">
        <f t="shared" si="10"/>
        <v>#VALUE!</v>
      </c>
      <c r="BH65" s="18" t="e">
        <f>BH62^3+BB62*BH62+BC62</f>
        <v>#VALUE!</v>
      </c>
      <c r="BI65" s="19" t="e">
        <f>BI62^3+BB62*BI62+BC62</f>
        <v>#VALUE!</v>
      </c>
      <c r="BK65" s="269" t="e">
        <f>(BM78^2)+3*(BN78^2)*BR78*(BR73-15)/(8*10^7)</f>
        <v>#VALUE!</v>
      </c>
      <c r="BL65" s="270"/>
      <c r="BM65" s="18" t="e">
        <f t="shared" si="16"/>
        <v>#VALUE!</v>
      </c>
      <c r="BN65" s="18" t="e">
        <f>BM65^3+BK62*BM65+BL62</f>
        <v>#VALUE!</v>
      </c>
      <c r="BO65" s="18" t="e">
        <f>3*BM65^2+BK62</f>
        <v>#VALUE!</v>
      </c>
      <c r="BP65" s="18" t="e">
        <f t="shared" si="11"/>
        <v>#VALUE!</v>
      </c>
      <c r="BQ65" s="18" t="e">
        <f>BQ62^3+BK62*BQ62+BL62</f>
        <v>#VALUE!</v>
      </c>
      <c r="BR65" s="19" t="e">
        <f>BR62^3+BK62*BR62+BL62</f>
        <v>#VALUE!</v>
      </c>
      <c r="BT65" s="269" t="e">
        <f>(BV78^2)+3*(BW78^2)*CA78*(CA73-15)/(8*10^7)</f>
        <v>#VALUE!</v>
      </c>
      <c r="BU65" s="270"/>
      <c r="BV65" s="18" t="e">
        <f t="shared" si="17"/>
        <v>#VALUE!</v>
      </c>
      <c r="BW65" s="18" t="e">
        <f>BV65^3+BT62*BV65+BU62</f>
        <v>#VALUE!</v>
      </c>
      <c r="BX65" s="18" t="e">
        <f>3*BV65^2+BT62</f>
        <v>#VALUE!</v>
      </c>
      <c r="BY65" s="18" t="e">
        <f t="shared" si="12"/>
        <v>#VALUE!</v>
      </c>
      <c r="BZ65" s="18" t="e">
        <f>BZ62^3+BT62*BZ62+BU62</f>
        <v>#VALUE!</v>
      </c>
      <c r="CA65" s="19" t="e">
        <f>CA62^3+BT62*CA62+BU62</f>
        <v>#VALUE!</v>
      </c>
    </row>
    <row r="66" spans="10:79" ht="18" hidden="1" customHeight="1" x14ac:dyDescent="0.15">
      <c r="J66" s="53">
        <f>IF(D42="",0,D42)</f>
        <v>0</v>
      </c>
      <c r="K66" s="53">
        <f>IF(J42="",0,J42)</f>
        <v>0</v>
      </c>
      <c r="L66" s="53">
        <f>IF(O42="",0,O42)</f>
        <v>0</v>
      </c>
      <c r="M66" s="53">
        <f>IF(D56="",0,D56)</f>
        <v>0</v>
      </c>
      <c r="N66" s="53">
        <f>IF(J56="",0,J56)</f>
        <v>0</v>
      </c>
      <c r="S66" s="99">
        <f>IF(D24="",0,SQRT(((((K23*H23+K24*H24)*0.001/SUM(H23:H24))*((SUM(H23:H24))^0.55)+S23*0.001)*50)^2+(M23*H23+M24*H24+U23)^2))</f>
        <v>0</v>
      </c>
      <c r="T66" s="99">
        <f>IF(D25="",0,SQRT(((((K24*H24+K25*H25)*0.001/SUM(H24:H25))*((SUM(H24:H25))^0.55)+S24*0.001)*50)^2+(M24*H24+M25*H25+U24)^2))</f>
        <v>0</v>
      </c>
      <c r="U66" s="99">
        <f>IF(D26="",0,SQRT(((((K25*H25+K26*H26)*0.001/SUM(H25:H26))*((SUM(H25:H26))^0.55)+S25*0.001)*50)^2+(M25*H25+M26*H26+U25)^2))</f>
        <v>0</v>
      </c>
      <c r="V66" s="99">
        <f>IF(D27="",0,SQRT(((((K26*H26+K27*H27)*0.001/SUM(H26:H27))*((SUM(H26:H27))^0.55)+S26*0.001)*50)^2+(M26*H26+M27*H27+U26)^2))</f>
        <v>0</v>
      </c>
      <c r="W66" s="99">
        <f>IF(D28="",0,SQRT(((((K27*H27+K28*H28)*0.001/SUM(H27:H28))*((SUM(H27:H28))^0.55)+S27*0.001)*50)^2+(M27*H27+M28*H28+U27)^2))</f>
        <v>0</v>
      </c>
      <c r="X66" s="99">
        <f>IF(D29="",0,SQRT(((((K28*H28+K29*H29)*0.001/SUM(H28:H29))*((SUM(H28:H29))^0.55)+S28*0.001)*50)^2+(M28*H28+M29*H29+U28)^2))</f>
        <v>0</v>
      </c>
      <c r="AJ66" s="267"/>
      <c r="AK66" s="268"/>
      <c r="AL66" s="18" t="e">
        <f t="shared" si="13"/>
        <v>#VALUE!</v>
      </c>
      <c r="AM66" s="18" t="e">
        <f>AL66^3+AJ62*AL66+AK62</f>
        <v>#VALUE!</v>
      </c>
      <c r="AN66" s="18" t="e">
        <f>3*AL66^2+AJ62</f>
        <v>#VALUE!</v>
      </c>
      <c r="AO66" s="18" t="e">
        <f t="shared" si="8"/>
        <v>#VALUE!</v>
      </c>
      <c r="AP66" s="31"/>
      <c r="AQ66" s="32"/>
      <c r="AS66" s="267"/>
      <c r="AT66" s="268"/>
      <c r="AU66" s="18" t="e">
        <f t="shared" si="14"/>
        <v>#VALUE!</v>
      </c>
      <c r="AV66" s="18" t="e">
        <f>AU66^3+AS62*AU66+AT62</f>
        <v>#VALUE!</v>
      </c>
      <c r="AW66" s="18" t="e">
        <f>3*AU66^2+AS62</f>
        <v>#VALUE!</v>
      </c>
      <c r="AX66" s="18" t="e">
        <f t="shared" si="9"/>
        <v>#VALUE!</v>
      </c>
      <c r="AY66" s="31"/>
      <c r="AZ66" s="32"/>
      <c r="BB66" s="267"/>
      <c r="BC66" s="268"/>
      <c r="BD66" s="18" t="e">
        <f t="shared" si="15"/>
        <v>#VALUE!</v>
      </c>
      <c r="BE66" s="18" t="e">
        <f>BD66^3+BB62*BD66+BC62</f>
        <v>#VALUE!</v>
      </c>
      <c r="BF66" s="18" t="e">
        <f>3*BD66^2+BB62</f>
        <v>#VALUE!</v>
      </c>
      <c r="BG66" s="18" t="e">
        <f t="shared" si="10"/>
        <v>#VALUE!</v>
      </c>
      <c r="BH66" s="31"/>
      <c r="BI66" s="32"/>
      <c r="BK66" s="267"/>
      <c r="BL66" s="268"/>
      <c r="BM66" s="18" t="e">
        <f t="shared" si="16"/>
        <v>#VALUE!</v>
      </c>
      <c r="BN66" s="18" t="e">
        <f>BM66^3+BK62*BM66+BL62</f>
        <v>#VALUE!</v>
      </c>
      <c r="BO66" s="18" t="e">
        <f>3*BM66^2+BK62</f>
        <v>#VALUE!</v>
      </c>
      <c r="BP66" s="18" t="e">
        <f t="shared" si="11"/>
        <v>#VALUE!</v>
      </c>
      <c r="BQ66" s="31"/>
      <c r="BR66" s="32"/>
      <c r="BT66" s="267"/>
      <c r="BU66" s="268"/>
      <c r="BV66" s="18" t="e">
        <f t="shared" si="17"/>
        <v>#VALUE!</v>
      </c>
      <c r="BW66" s="18" t="e">
        <f>BV66^3+BT62*BV66+BU62</f>
        <v>#VALUE!</v>
      </c>
      <c r="BX66" s="18" t="e">
        <f>3*BV66^2+BT62</f>
        <v>#VALUE!</v>
      </c>
      <c r="BY66" s="18" t="e">
        <f t="shared" si="12"/>
        <v>#VALUE!</v>
      </c>
      <c r="BZ66" s="31"/>
      <c r="CA66" s="32"/>
    </row>
    <row r="67" spans="10:79" ht="18" hidden="1" customHeight="1" x14ac:dyDescent="0.15">
      <c r="J67" s="53">
        <f>IF(D43="",0,D43)</f>
        <v>0</v>
      </c>
      <c r="K67" s="53">
        <f>IF(J43="",0,J43)</f>
        <v>0</v>
      </c>
      <c r="L67" s="53">
        <f>IF(O43="",0,O43)</f>
        <v>0</v>
      </c>
      <c r="M67" s="53">
        <f>IF(D57="",0,D57)</f>
        <v>0</v>
      </c>
      <c r="N67" s="53">
        <f>IF(J57="",0,J57)</f>
        <v>0</v>
      </c>
      <c r="AJ67" s="269" t="s">
        <v>284</v>
      </c>
      <c r="AK67" s="270"/>
      <c r="AL67" s="18" t="e">
        <f t="shared" si="13"/>
        <v>#VALUE!</v>
      </c>
      <c r="AM67" s="18" t="e">
        <f>AL67^3+AJ62*AL67+AK62</f>
        <v>#VALUE!</v>
      </c>
      <c r="AN67" s="18" t="e">
        <f>3*AL67^2+AJ62</f>
        <v>#VALUE!</v>
      </c>
      <c r="AO67" s="18" t="e">
        <f t="shared" si="8"/>
        <v>#VALUE!</v>
      </c>
      <c r="AP67" s="31"/>
      <c r="AQ67" s="32"/>
      <c r="AS67" s="269" t="s">
        <v>284</v>
      </c>
      <c r="AT67" s="270"/>
      <c r="AU67" s="18" t="e">
        <f t="shared" si="14"/>
        <v>#VALUE!</v>
      </c>
      <c r="AV67" s="18" t="e">
        <f>AU67^3+AS62*AU67+AT62</f>
        <v>#VALUE!</v>
      </c>
      <c r="AW67" s="18" t="e">
        <f>3*AU67^2+AS62</f>
        <v>#VALUE!</v>
      </c>
      <c r="AX67" s="18" t="e">
        <f t="shared" si="9"/>
        <v>#VALUE!</v>
      </c>
      <c r="AY67" s="31"/>
      <c r="AZ67" s="32"/>
      <c r="BB67" s="269" t="s">
        <v>284</v>
      </c>
      <c r="BC67" s="270"/>
      <c r="BD67" s="18" t="e">
        <f t="shared" si="15"/>
        <v>#VALUE!</v>
      </c>
      <c r="BE67" s="18" t="e">
        <f>BD67^3+BB62*BD67+BC62</f>
        <v>#VALUE!</v>
      </c>
      <c r="BF67" s="18" t="e">
        <f>3*BD67^2+BB62</f>
        <v>#VALUE!</v>
      </c>
      <c r="BG67" s="18" t="e">
        <f t="shared" si="10"/>
        <v>#VALUE!</v>
      </c>
      <c r="BH67" s="31"/>
      <c r="BI67" s="32"/>
      <c r="BK67" s="269" t="s">
        <v>284</v>
      </c>
      <c r="BL67" s="270"/>
      <c r="BM67" s="18" t="e">
        <f t="shared" si="16"/>
        <v>#VALUE!</v>
      </c>
      <c r="BN67" s="18" t="e">
        <f>BM67^3+BK62*BM67+BL62</f>
        <v>#VALUE!</v>
      </c>
      <c r="BO67" s="18" t="e">
        <f>3*BM67^2+BK62</f>
        <v>#VALUE!</v>
      </c>
      <c r="BP67" s="18" t="e">
        <f t="shared" si="11"/>
        <v>#VALUE!</v>
      </c>
      <c r="BQ67" s="31"/>
      <c r="BR67" s="32"/>
      <c r="BT67" s="269" t="s">
        <v>284</v>
      </c>
      <c r="BU67" s="270"/>
      <c r="BV67" s="18" t="e">
        <f t="shared" si="17"/>
        <v>#VALUE!</v>
      </c>
      <c r="BW67" s="18" t="e">
        <f>BV67^3+BT62*BV67+BU62</f>
        <v>#VALUE!</v>
      </c>
      <c r="BX67" s="18" t="e">
        <f>3*BV67^2+BT62</f>
        <v>#VALUE!</v>
      </c>
      <c r="BY67" s="18" t="e">
        <f t="shared" si="12"/>
        <v>#VALUE!</v>
      </c>
      <c r="BZ67" s="31"/>
      <c r="CA67" s="32"/>
    </row>
    <row r="68" spans="10:79" ht="18" hidden="1" customHeight="1" x14ac:dyDescent="0.15">
      <c r="J68" s="53">
        <f>IF(D44="",0,D44)</f>
        <v>0</v>
      </c>
      <c r="K68" s="53">
        <f>IF(J44="",0,J44)</f>
        <v>0</v>
      </c>
      <c r="L68" s="53">
        <f>IF(O44="",0,O44)</f>
        <v>0</v>
      </c>
      <c r="M68" s="53">
        <f>IF(D58="",0,D58)</f>
        <v>0</v>
      </c>
      <c r="N68" s="53">
        <f>IF(J58="",0,J58)</f>
        <v>0</v>
      </c>
      <c r="AJ68" s="277" t="e">
        <f>3*(AM78^2)*AN78/(8*AO78*AP78)</f>
        <v>#VALUE!</v>
      </c>
      <c r="AK68" s="278"/>
      <c r="AL68" s="118" t="e">
        <f t="shared" si="13"/>
        <v>#VALUE!</v>
      </c>
      <c r="AM68" s="118" t="e">
        <f>AL68^3+AJ62*AL68+AK62</f>
        <v>#VALUE!</v>
      </c>
      <c r="AN68" s="118" t="e">
        <f>3*AL68^2+AJ62</f>
        <v>#VALUE!</v>
      </c>
      <c r="AO68" s="118" t="e">
        <f t="shared" si="8"/>
        <v>#VALUE!</v>
      </c>
      <c r="AP68" s="116"/>
      <c r="AQ68" s="117"/>
      <c r="AS68" s="277" t="e">
        <f>3*(AV78^2)*AW78/(8*AX78*AY78)</f>
        <v>#VALUE!</v>
      </c>
      <c r="AT68" s="278"/>
      <c r="AU68" s="118" t="e">
        <f t="shared" si="14"/>
        <v>#VALUE!</v>
      </c>
      <c r="AV68" s="118" t="e">
        <f>AU68^3+AS62*AU68+AT62</f>
        <v>#VALUE!</v>
      </c>
      <c r="AW68" s="118" t="e">
        <f>3*AU68^2+AS62</f>
        <v>#VALUE!</v>
      </c>
      <c r="AX68" s="118" t="e">
        <f t="shared" si="9"/>
        <v>#VALUE!</v>
      </c>
      <c r="AY68" s="116"/>
      <c r="AZ68" s="117"/>
      <c r="BB68" s="277" t="e">
        <f>3*(BE78^2)*BF78/(8*BG78*BH78)</f>
        <v>#VALUE!</v>
      </c>
      <c r="BC68" s="278"/>
      <c r="BD68" s="118" t="e">
        <f t="shared" si="15"/>
        <v>#VALUE!</v>
      </c>
      <c r="BE68" s="118" t="e">
        <f>BD68^3+BB62*BD68+BC62</f>
        <v>#VALUE!</v>
      </c>
      <c r="BF68" s="118" t="e">
        <f>3*BD68^2+BB62</f>
        <v>#VALUE!</v>
      </c>
      <c r="BG68" s="118" t="e">
        <f t="shared" si="10"/>
        <v>#VALUE!</v>
      </c>
      <c r="BH68" s="116"/>
      <c r="BI68" s="117"/>
      <c r="BK68" s="277" t="e">
        <f>3*(BN78^2)*BO78/(8*BP78*BQ78)</f>
        <v>#VALUE!</v>
      </c>
      <c r="BL68" s="278"/>
      <c r="BM68" s="118" t="e">
        <f t="shared" si="16"/>
        <v>#VALUE!</v>
      </c>
      <c r="BN68" s="118" t="e">
        <f>BM68^3+BK62*BM68+BL62</f>
        <v>#VALUE!</v>
      </c>
      <c r="BO68" s="118" t="e">
        <f>3*BM68^2+BK62</f>
        <v>#VALUE!</v>
      </c>
      <c r="BP68" s="118" t="e">
        <f t="shared" si="11"/>
        <v>#VALUE!</v>
      </c>
      <c r="BQ68" s="116"/>
      <c r="BR68" s="117"/>
      <c r="BT68" s="277" t="e">
        <f>3*(BW78^2)*BX78/(8*BY78*BZ78)</f>
        <v>#VALUE!</v>
      </c>
      <c r="BU68" s="278"/>
      <c r="BV68" s="118" t="e">
        <f t="shared" si="17"/>
        <v>#VALUE!</v>
      </c>
      <c r="BW68" s="118" t="e">
        <f>BV68^3+BT62*BV68+BU62</f>
        <v>#VALUE!</v>
      </c>
      <c r="BX68" s="118" t="e">
        <f>3*BV68^2+BT62</f>
        <v>#VALUE!</v>
      </c>
      <c r="BY68" s="118" t="e">
        <f t="shared" si="12"/>
        <v>#VALUE!</v>
      </c>
      <c r="BZ68" s="116"/>
      <c r="CA68" s="117"/>
    </row>
    <row r="69" spans="10:79" ht="18" hidden="1" customHeight="1" x14ac:dyDescent="0.15">
      <c r="AJ69" s="121"/>
      <c r="AK69" s="122"/>
      <c r="AL69" s="118" t="e">
        <f t="shared" si="13"/>
        <v>#VALUE!</v>
      </c>
      <c r="AM69" s="118" t="e">
        <f>AL69^3+AJ62*AL69+AK62</f>
        <v>#VALUE!</v>
      </c>
      <c r="AN69" s="118" t="e">
        <f>3*AL69^2+AJ62</f>
        <v>#VALUE!</v>
      </c>
      <c r="AO69" s="118" t="e">
        <f t="shared" si="8"/>
        <v>#VALUE!</v>
      </c>
      <c r="AP69" s="119"/>
      <c r="AQ69" s="120"/>
      <c r="AS69" s="121"/>
      <c r="AT69" s="122"/>
      <c r="AU69" s="118" t="e">
        <f t="shared" si="14"/>
        <v>#VALUE!</v>
      </c>
      <c r="AV69" s="118" t="e">
        <f>AU69^3+AS62*AU69+AT62</f>
        <v>#VALUE!</v>
      </c>
      <c r="AW69" s="118" t="e">
        <f>3*AU69^2+AS62</f>
        <v>#VALUE!</v>
      </c>
      <c r="AX69" s="118" t="e">
        <f t="shared" si="9"/>
        <v>#VALUE!</v>
      </c>
      <c r="AY69" s="119"/>
      <c r="AZ69" s="120"/>
      <c r="BB69" s="121"/>
      <c r="BC69" s="122"/>
      <c r="BD69" s="118" t="e">
        <f t="shared" si="15"/>
        <v>#VALUE!</v>
      </c>
      <c r="BE69" s="118" t="e">
        <f>BD69^3+BB62*BD69+BC62</f>
        <v>#VALUE!</v>
      </c>
      <c r="BF69" s="118" t="e">
        <f>3*BD69^2+BB62</f>
        <v>#VALUE!</v>
      </c>
      <c r="BG69" s="118" t="e">
        <f t="shared" si="10"/>
        <v>#VALUE!</v>
      </c>
      <c r="BH69" s="119"/>
      <c r="BI69" s="120"/>
      <c r="BK69" s="121"/>
      <c r="BL69" s="122"/>
      <c r="BM69" s="118" t="e">
        <f t="shared" si="16"/>
        <v>#VALUE!</v>
      </c>
      <c r="BN69" s="118" t="e">
        <f>BM69^3+BK62*BM69+BL62</f>
        <v>#VALUE!</v>
      </c>
      <c r="BO69" s="118" t="e">
        <f>3*BM69^2+BK62</f>
        <v>#VALUE!</v>
      </c>
      <c r="BP69" s="118" t="e">
        <f t="shared" si="11"/>
        <v>#VALUE!</v>
      </c>
      <c r="BQ69" s="119"/>
      <c r="BR69" s="120"/>
      <c r="BT69" s="121"/>
      <c r="BU69" s="122"/>
      <c r="BV69" s="118" t="e">
        <f t="shared" si="17"/>
        <v>#VALUE!</v>
      </c>
      <c r="BW69" s="118" t="e">
        <f>BV69^3+BT62*BV69+BU62</f>
        <v>#VALUE!</v>
      </c>
      <c r="BX69" s="118" t="e">
        <f>3*BV69^2+BT62</f>
        <v>#VALUE!</v>
      </c>
      <c r="BY69" s="118" t="e">
        <f t="shared" si="12"/>
        <v>#VALUE!</v>
      </c>
      <c r="BZ69" s="119"/>
      <c r="CA69" s="120"/>
    </row>
    <row r="70" spans="10:79" ht="18" hidden="1" customHeight="1" x14ac:dyDescent="0.15">
      <c r="AJ70" s="269" t="s">
        <v>285</v>
      </c>
      <c r="AK70" s="270"/>
      <c r="AL70" s="118" t="e">
        <f t="shared" si="13"/>
        <v>#VALUE!</v>
      </c>
      <c r="AM70" s="118" t="e">
        <f>AL70^3+AJ62*AL70+AK62</f>
        <v>#VALUE!</v>
      </c>
      <c r="AN70" s="118" t="e">
        <f>3*AL70^2+AJ62</f>
        <v>#VALUE!</v>
      </c>
      <c r="AO70" s="118" t="e">
        <f t="shared" si="8"/>
        <v>#VALUE!</v>
      </c>
      <c r="AP70" s="14" t="s">
        <v>286</v>
      </c>
      <c r="AQ70" s="123" t="e">
        <f>AO76</f>
        <v>#VALUE!</v>
      </c>
      <c r="AS70" s="269" t="s">
        <v>285</v>
      </c>
      <c r="AT70" s="270"/>
      <c r="AU70" s="118" t="e">
        <f t="shared" si="14"/>
        <v>#VALUE!</v>
      </c>
      <c r="AV70" s="118" t="e">
        <f>AU70^3+AS62*AU70+AT62</f>
        <v>#VALUE!</v>
      </c>
      <c r="AW70" s="118" t="e">
        <f>3*AU70^2+AS62</f>
        <v>#VALUE!</v>
      </c>
      <c r="AX70" s="118" t="e">
        <f t="shared" si="9"/>
        <v>#VALUE!</v>
      </c>
      <c r="AY70" s="14" t="s">
        <v>286</v>
      </c>
      <c r="AZ70" s="123" t="e">
        <f>AX76</f>
        <v>#VALUE!</v>
      </c>
      <c r="BB70" s="269" t="s">
        <v>285</v>
      </c>
      <c r="BC70" s="270"/>
      <c r="BD70" s="118" t="e">
        <f t="shared" si="15"/>
        <v>#VALUE!</v>
      </c>
      <c r="BE70" s="118" t="e">
        <f>BD70^3+BB62*BD70+BC62</f>
        <v>#VALUE!</v>
      </c>
      <c r="BF70" s="118" t="e">
        <f>3*BD70^2+BB62</f>
        <v>#VALUE!</v>
      </c>
      <c r="BG70" s="118" t="e">
        <f t="shared" si="10"/>
        <v>#VALUE!</v>
      </c>
      <c r="BH70" s="14" t="s">
        <v>286</v>
      </c>
      <c r="BI70" s="123" t="e">
        <f>BG76</f>
        <v>#VALUE!</v>
      </c>
      <c r="BK70" s="269" t="s">
        <v>285</v>
      </c>
      <c r="BL70" s="270"/>
      <c r="BM70" s="118" t="e">
        <f t="shared" si="16"/>
        <v>#VALUE!</v>
      </c>
      <c r="BN70" s="118" t="e">
        <f>BM70^3+BK62*BM70+BL62</f>
        <v>#VALUE!</v>
      </c>
      <c r="BO70" s="118" t="e">
        <f>3*BM70^2+BK62</f>
        <v>#VALUE!</v>
      </c>
      <c r="BP70" s="118" t="e">
        <f t="shared" si="11"/>
        <v>#VALUE!</v>
      </c>
      <c r="BQ70" s="14" t="s">
        <v>286</v>
      </c>
      <c r="BR70" s="123" t="e">
        <f>BP76</f>
        <v>#VALUE!</v>
      </c>
      <c r="BT70" s="269" t="s">
        <v>285</v>
      </c>
      <c r="BU70" s="270"/>
      <c r="BV70" s="118" t="e">
        <f t="shared" si="17"/>
        <v>#VALUE!</v>
      </c>
      <c r="BW70" s="118" t="e">
        <f>BV70^3+BT62*BV70+BU62</f>
        <v>#VALUE!</v>
      </c>
      <c r="BX70" s="118" t="e">
        <f>3*BV70^2+BT62</f>
        <v>#VALUE!</v>
      </c>
      <c r="BY70" s="118" t="e">
        <f t="shared" si="12"/>
        <v>#VALUE!</v>
      </c>
      <c r="BZ70" s="14" t="s">
        <v>286</v>
      </c>
      <c r="CA70" s="123" t="e">
        <f>BY76</f>
        <v>#VALUE!</v>
      </c>
    </row>
    <row r="71" spans="10:79" ht="18" hidden="1" customHeight="1" x14ac:dyDescent="0.15">
      <c r="AJ71" s="271" t="e">
        <f>AJ68*AL78*AJ78/AK78</f>
        <v>#VALUE!</v>
      </c>
      <c r="AK71" s="272"/>
      <c r="AL71" s="118" t="e">
        <f t="shared" si="13"/>
        <v>#VALUE!</v>
      </c>
      <c r="AM71" s="118" t="e">
        <f>AL71^3+AJ62*AL71+AK62</f>
        <v>#VALUE!</v>
      </c>
      <c r="AN71" s="118" t="e">
        <f>3*AL71^2+AJ62</f>
        <v>#VALUE!</v>
      </c>
      <c r="AO71" s="118" t="e">
        <f t="shared" si="8"/>
        <v>#VALUE!</v>
      </c>
      <c r="AP71" s="14" t="s">
        <v>287</v>
      </c>
      <c r="AQ71" s="124" t="e">
        <f>AJ78*AM78^2/(8*AO76)</f>
        <v>#VALUE!</v>
      </c>
      <c r="AS71" s="271" t="e">
        <f>AS68*AU78*AS78/AT78</f>
        <v>#VALUE!</v>
      </c>
      <c r="AT71" s="272"/>
      <c r="AU71" s="118" t="e">
        <f t="shared" si="14"/>
        <v>#VALUE!</v>
      </c>
      <c r="AV71" s="118" t="e">
        <f>AU71^3+AS62*AU71+AT62</f>
        <v>#VALUE!</v>
      </c>
      <c r="AW71" s="118" t="e">
        <f>3*AU71^2+AS62</f>
        <v>#VALUE!</v>
      </c>
      <c r="AX71" s="118" t="e">
        <f t="shared" si="9"/>
        <v>#VALUE!</v>
      </c>
      <c r="AY71" s="14" t="s">
        <v>287</v>
      </c>
      <c r="AZ71" s="124" t="e">
        <f>AS78*AV78^2/(8*AX76)</f>
        <v>#VALUE!</v>
      </c>
      <c r="BB71" s="271" t="e">
        <f>BB68*BD78*BB78/BC78</f>
        <v>#VALUE!</v>
      </c>
      <c r="BC71" s="272"/>
      <c r="BD71" s="118" t="e">
        <f t="shared" si="15"/>
        <v>#VALUE!</v>
      </c>
      <c r="BE71" s="118" t="e">
        <f>BD71^3+BB62*BD71+BC62</f>
        <v>#VALUE!</v>
      </c>
      <c r="BF71" s="118" t="e">
        <f>3*BD71^2+BB62</f>
        <v>#VALUE!</v>
      </c>
      <c r="BG71" s="118" t="e">
        <f t="shared" si="10"/>
        <v>#VALUE!</v>
      </c>
      <c r="BH71" s="14" t="s">
        <v>287</v>
      </c>
      <c r="BI71" s="124" t="e">
        <f>BB78*BE78^2/(8*BG76)</f>
        <v>#VALUE!</v>
      </c>
      <c r="BK71" s="271" t="e">
        <f>BK68*BM78*BK78/BL78</f>
        <v>#VALUE!</v>
      </c>
      <c r="BL71" s="272"/>
      <c r="BM71" s="118" t="e">
        <f t="shared" si="16"/>
        <v>#VALUE!</v>
      </c>
      <c r="BN71" s="118" t="e">
        <f>BM71^3+BK62*BM71+BL62</f>
        <v>#VALUE!</v>
      </c>
      <c r="BO71" s="118" t="e">
        <f>3*BM71^2+BK62</f>
        <v>#VALUE!</v>
      </c>
      <c r="BP71" s="118" t="e">
        <f t="shared" si="11"/>
        <v>#VALUE!</v>
      </c>
      <c r="BQ71" s="14" t="s">
        <v>287</v>
      </c>
      <c r="BR71" s="124" t="e">
        <f>BK78*BN78^2/(8*BP76)</f>
        <v>#VALUE!</v>
      </c>
      <c r="BT71" s="271" t="e">
        <f>BT68*BV78*BT78/BU78</f>
        <v>#VALUE!</v>
      </c>
      <c r="BU71" s="272"/>
      <c r="BV71" s="118" t="e">
        <f t="shared" si="17"/>
        <v>#VALUE!</v>
      </c>
      <c r="BW71" s="118" t="e">
        <f>BV71^3+BT62*BV71+BU62</f>
        <v>#VALUE!</v>
      </c>
      <c r="BX71" s="118" t="e">
        <f>3*BV71^2+BT62</f>
        <v>#VALUE!</v>
      </c>
      <c r="BY71" s="118" t="e">
        <f t="shared" si="12"/>
        <v>#VALUE!</v>
      </c>
      <c r="BZ71" s="14" t="s">
        <v>287</v>
      </c>
      <c r="CA71" s="124" t="e">
        <f>BT78*BW78^2/(8*BY76)</f>
        <v>#VALUE!</v>
      </c>
    </row>
    <row r="72" spans="10:79" ht="18" hidden="1" customHeight="1" x14ac:dyDescent="0.15">
      <c r="AJ72" s="125"/>
      <c r="AK72" s="126"/>
      <c r="AL72" s="118" t="e">
        <f t="shared" si="13"/>
        <v>#VALUE!</v>
      </c>
      <c r="AM72" s="118" t="e">
        <f>AL72^3+AJ62*AL72+AK62</f>
        <v>#VALUE!</v>
      </c>
      <c r="AN72" s="118" t="e">
        <f>3*AL72^2+AJ62</f>
        <v>#VALUE!</v>
      </c>
      <c r="AO72" s="118" t="e">
        <f t="shared" si="8"/>
        <v>#VALUE!</v>
      </c>
      <c r="AP72" s="116"/>
      <c r="AQ72" s="117"/>
      <c r="AS72" s="125"/>
      <c r="AT72" s="126"/>
      <c r="AU72" s="118" t="e">
        <f t="shared" si="14"/>
        <v>#VALUE!</v>
      </c>
      <c r="AV72" s="118" t="e">
        <f>AU72^3+AS62*AU72+AT62</f>
        <v>#VALUE!</v>
      </c>
      <c r="AW72" s="118" t="e">
        <f>3*AU72^2+AS62</f>
        <v>#VALUE!</v>
      </c>
      <c r="AX72" s="118" t="e">
        <f t="shared" si="9"/>
        <v>#VALUE!</v>
      </c>
      <c r="AY72" s="116"/>
      <c r="AZ72" s="117"/>
      <c r="BB72" s="125"/>
      <c r="BC72" s="126"/>
      <c r="BD72" s="118" t="e">
        <f t="shared" si="15"/>
        <v>#VALUE!</v>
      </c>
      <c r="BE72" s="118" t="e">
        <f>BD72^3+BB62*BD72+BC62</f>
        <v>#VALUE!</v>
      </c>
      <c r="BF72" s="118" t="e">
        <f>3*BD72^2+BB62</f>
        <v>#VALUE!</v>
      </c>
      <c r="BG72" s="118" t="e">
        <f t="shared" si="10"/>
        <v>#VALUE!</v>
      </c>
      <c r="BH72" s="116"/>
      <c r="BI72" s="117"/>
      <c r="BK72" s="125"/>
      <c r="BL72" s="126"/>
      <c r="BM72" s="118" t="e">
        <f t="shared" si="16"/>
        <v>#VALUE!</v>
      </c>
      <c r="BN72" s="118" t="e">
        <f>BM72^3+BK62*BM72+BL62</f>
        <v>#VALUE!</v>
      </c>
      <c r="BO72" s="118" t="e">
        <f>3*BM72^2+BK62</f>
        <v>#VALUE!</v>
      </c>
      <c r="BP72" s="118" t="e">
        <f t="shared" si="11"/>
        <v>#VALUE!</v>
      </c>
      <c r="BQ72" s="116"/>
      <c r="BR72" s="117"/>
      <c r="BT72" s="125"/>
      <c r="BU72" s="126"/>
      <c r="BV72" s="118" t="e">
        <f t="shared" si="17"/>
        <v>#VALUE!</v>
      </c>
      <c r="BW72" s="118" t="e">
        <f>BV72^3+BT62*BV72+BU62</f>
        <v>#VALUE!</v>
      </c>
      <c r="BX72" s="118" t="e">
        <f>3*BV72^2+BT62</f>
        <v>#VALUE!</v>
      </c>
      <c r="BY72" s="118" t="e">
        <f t="shared" si="12"/>
        <v>#VALUE!</v>
      </c>
      <c r="BZ72" s="116"/>
      <c r="CA72" s="117"/>
    </row>
    <row r="73" spans="10:79" ht="18" hidden="1" customHeight="1" x14ac:dyDescent="0.15">
      <c r="AJ73" s="125"/>
      <c r="AK73" s="126"/>
      <c r="AL73" s="118" t="e">
        <f t="shared" si="13"/>
        <v>#VALUE!</v>
      </c>
      <c r="AM73" s="118" t="e">
        <f>AL73^3+AJ62*AL73+AK62</f>
        <v>#VALUE!</v>
      </c>
      <c r="AN73" s="118" t="e">
        <f>3*AL73^2+AJ62</f>
        <v>#VALUE!</v>
      </c>
      <c r="AO73" s="118" t="e">
        <f t="shared" si="8"/>
        <v>#VALUE!</v>
      </c>
      <c r="AP73" s="112" t="s">
        <v>147</v>
      </c>
      <c r="AQ73" s="113">
        <v>15</v>
      </c>
      <c r="AS73" s="125"/>
      <c r="AT73" s="126"/>
      <c r="AU73" s="118" t="e">
        <f t="shared" si="14"/>
        <v>#VALUE!</v>
      </c>
      <c r="AV73" s="118" t="e">
        <f>AU73^3+AS62*AU73+AT62</f>
        <v>#VALUE!</v>
      </c>
      <c r="AW73" s="118" t="e">
        <f>3*AU73^2+AS62</f>
        <v>#VALUE!</v>
      </c>
      <c r="AX73" s="118" t="e">
        <f t="shared" si="9"/>
        <v>#VALUE!</v>
      </c>
      <c r="AY73" s="112" t="s">
        <v>147</v>
      </c>
      <c r="AZ73" s="113">
        <v>15</v>
      </c>
      <c r="BB73" s="125"/>
      <c r="BC73" s="126"/>
      <c r="BD73" s="118" t="e">
        <f t="shared" si="15"/>
        <v>#VALUE!</v>
      </c>
      <c r="BE73" s="118" t="e">
        <f>BD73^3+BB62*BD73+BC62</f>
        <v>#VALUE!</v>
      </c>
      <c r="BF73" s="118" t="e">
        <f>3*BD73^2+BB62</f>
        <v>#VALUE!</v>
      </c>
      <c r="BG73" s="118" t="e">
        <f t="shared" si="10"/>
        <v>#VALUE!</v>
      </c>
      <c r="BH73" s="112" t="s">
        <v>147</v>
      </c>
      <c r="BI73" s="113">
        <v>15</v>
      </c>
      <c r="BK73" s="125"/>
      <c r="BL73" s="126"/>
      <c r="BM73" s="118" t="e">
        <f t="shared" si="16"/>
        <v>#VALUE!</v>
      </c>
      <c r="BN73" s="118" t="e">
        <f>BM73^3+BK62*BM73+BL62</f>
        <v>#VALUE!</v>
      </c>
      <c r="BO73" s="118" t="e">
        <f>3*BM73^2+BK62</f>
        <v>#VALUE!</v>
      </c>
      <c r="BP73" s="118" t="e">
        <f t="shared" si="11"/>
        <v>#VALUE!</v>
      </c>
      <c r="BQ73" s="112" t="s">
        <v>147</v>
      </c>
      <c r="BR73" s="113">
        <v>15</v>
      </c>
      <c r="BT73" s="125"/>
      <c r="BU73" s="126"/>
      <c r="BV73" s="118" t="e">
        <f t="shared" si="17"/>
        <v>#VALUE!</v>
      </c>
      <c r="BW73" s="118" t="e">
        <f>BV73^3+BT62*BV73+BU62</f>
        <v>#VALUE!</v>
      </c>
      <c r="BX73" s="118" t="e">
        <f>3*BV73^2+BT62</f>
        <v>#VALUE!</v>
      </c>
      <c r="BY73" s="118" t="e">
        <f t="shared" si="12"/>
        <v>#VALUE!</v>
      </c>
      <c r="BZ73" s="112" t="s">
        <v>147</v>
      </c>
      <c r="CA73" s="113">
        <v>15</v>
      </c>
    </row>
    <row r="74" spans="10:79" ht="18" hidden="1" customHeight="1" x14ac:dyDescent="0.15">
      <c r="AJ74" s="125"/>
      <c r="AK74" s="126"/>
      <c r="AL74" s="118" t="e">
        <f t="shared" si="13"/>
        <v>#VALUE!</v>
      </c>
      <c r="AM74" s="118" t="e">
        <f>AL74^3+AJ62*AL74+AK62</f>
        <v>#VALUE!</v>
      </c>
      <c r="AN74" s="118" t="e">
        <f>3*AL74^2+AJ62</f>
        <v>#VALUE!</v>
      </c>
      <c r="AO74" s="118" t="e">
        <f t="shared" si="8"/>
        <v>#VALUE!</v>
      </c>
      <c r="AP74" s="128" t="s">
        <v>218</v>
      </c>
      <c r="AQ74" s="32"/>
      <c r="AS74" s="125"/>
      <c r="AT74" s="126"/>
      <c r="AU74" s="118" t="e">
        <f t="shared" si="14"/>
        <v>#VALUE!</v>
      </c>
      <c r="AV74" s="118" t="e">
        <f>AU74^3+AS62*AU74+AT62</f>
        <v>#VALUE!</v>
      </c>
      <c r="AW74" s="118" t="e">
        <f>3*AU74^2+AS62</f>
        <v>#VALUE!</v>
      </c>
      <c r="AX74" s="118" t="e">
        <f t="shared" si="9"/>
        <v>#VALUE!</v>
      </c>
      <c r="AY74" s="128" t="s">
        <v>219</v>
      </c>
      <c r="AZ74" s="32"/>
      <c r="BB74" s="125"/>
      <c r="BC74" s="126"/>
      <c r="BD74" s="118" t="e">
        <f t="shared" si="15"/>
        <v>#VALUE!</v>
      </c>
      <c r="BE74" s="118" t="e">
        <f>BD74^3+BB62*BD74+BC62</f>
        <v>#VALUE!</v>
      </c>
      <c r="BF74" s="118" t="e">
        <f>3*BD74^2+BB62</f>
        <v>#VALUE!</v>
      </c>
      <c r="BG74" s="118" t="e">
        <f t="shared" si="10"/>
        <v>#VALUE!</v>
      </c>
      <c r="BH74" s="128" t="s">
        <v>220</v>
      </c>
      <c r="BI74" s="32"/>
      <c r="BK74" s="125"/>
      <c r="BL74" s="126"/>
      <c r="BM74" s="118" t="e">
        <f t="shared" si="16"/>
        <v>#VALUE!</v>
      </c>
      <c r="BN74" s="118" t="e">
        <f>BM74^3+BK62*BM74+BL62</f>
        <v>#VALUE!</v>
      </c>
      <c r="BO74" s="118" t="e">
        <f>3*BM74^2+BK62</f>
        <v>#VALUE!</v>
      </c>
      <c r="BP74" s="118" t="e">
        <f t="shared" si="11"/>
        <v>#VALUE!</v>
      </c>
      <c r="BQ74" s="128" t="s">
        <v>221</v>
      </c>
      <c r="BR74" s="32"/>
      <c r="BT74" s="125"/>
      <c r="BU74" s="126"/>
      <c r="BV74" s="118" t="e">
        <f t="shared" si="17"/>
        <v>#VALUE!</v>
      </c>
      <c r="BW74" s="118" t="e">
        <f>BV74^3+BT62*BV74+BU62</f>
        <v>#VALUE!</v>
      </c>
      <c r="BX74" s="118" t="e">
        <f>3*BV74^2+BT62</f>
        <v>#VALUE!</v>
      </c>
      <c r="BY74" s="118" t="e">
        <f t="shared" si="12"/>
        <v>#VALUE!</v>
      </c>
      <c r="BZ74" s="128" t="s">
        <v>222</v>
      </c>
      <c r="CA74" s="32"/>
    </row>
    <row r="75" spans="10:79" ht="18" hidden="1" customHeight="1" x14ac:dyDescent="0.15">
      <c r="AJ75" s="125"/>
      <c r="AK75" s="126"/>
      <c r="AL75" s="18" t="e">
        <f t="shared" si="13"/>
        <v>#VALUE!</v>
      </c>
      <c r="AM75" s="18" t="e">
        <f>AL75^3+AJ62*AL75+AK62</f>
        <v>#VALUE!</v>
      </c>
      <c r="AN75" s="18" t="e">
        <f>3*AL75^2+AJ62</f>
        <v>#VALUE!</v>
      </c>
      <c r="AO75" s="18" t="e">
        <f t="shared" si="8"/>
        <v>#VALUE!</v>
      </c>
      <c r="AP75" s="283" t="str">
        <f>M48</f>
        <v>高温季最悪条件時
15[℃],100[Kg/ｍ2]</v>
      </c>
      <c r="AQ75" s="284"/>
      <c r="AS75" s="125"/>
      <c r="AT75" s="126"/>
      <c r="AU75" s="18" t="e">
        <f t="shared" si="14"/>
        <v>#VALUE!</v>
      </c>
      <c r="AV75" s="18" t="e">
        <f>AU75^3+AS62*AU75+AT62</f>
        <v>#VALUE!</v>
      </c>
      <c r="AW75" s="18" t="e">
        <f>3*AU75^2+AS62</f>
        <v>#VALUE!</v>
      </c>
      <c r="AX75" s="18" t="e">
        <f t="shared" si="9"/>
        <v>#VALUE!</v>
      </c>
      <c r="AY75" s="283" t="str">
        <f>M48</f>
        <v>高温季最悪条件時
15[℃],100[Kg/ｍ2]</v>
      </c>
      <c r="AZ75" s="284"/>
      <c r="BB75" s="125"/>
      <c r="BC75" s="126"/>
      <c r="BD75" s="18" t="e">
        <f t="shared" si="15"/>
        <v>#VALUE!</v>
      </c>
      <c r="BE75" s="18" t="e">
        <f>BD75^3+BB62*BD75+BC62</f>
        <v>#VALUE!</v>
      </c>
      <c r="BF75" s="18" t="e">
        <f>3*BD75^2+BB62</f>
        <v>#VALUE!</v>
      </c>
      <c r="BG75" s="18" t="e">
        <f t="shared" si="10"/>
        <v>#VALUE!</v>
      </c>
      <c r="BH75" s="283" t="str">
        <f>M48</f>
        <v>高温季最悪条件時
15[℃],100[Kg/ｍ2]</v>
      </c>
      <c r="BI75" s="284"/>
      <c r="BK75" s="125"/>
      <c r="BL75" s="126"/>
      <c r="BM75" s="18" t="e">
        <f t="shared" si="16"/>
        <v>#VALUE!</v>
      </c>
      <c r="BN75" s="18" t="e">
        <f>BM75^3+BK62*BM75+BL62</f>
        <v>#VALUE!</v>
      </c>
      <c r="BO75" s="18" t="e">
        <f>3*BM75^2+BK62</f>
        <v>#VALUE!</v>
      </c>
      <c r="BP75" s="18" t="e">
        <f t="shared" si="11"/>
        <v>#VALUE!</v>
      </c>
      <c r="BQ75" s="283" t="str">
        <f>M48</f>
        <v>高温季最悪条件時
15[℃],100[Kg/ｍ2]</v>
      </c>
      <c r="BR75" s="284"/>
      <c r="BT75" s="125"/>
      <c r="BU75" s="126"/>
      <c r="BV75" s="18" t="e">
        <f t="shared" si="17"/>
        <v>#VALUE!</v>
      </c>
      <c r="BW75" s="18" t="e">
        <f>BV75^3+BT62*BV75+BU62</f>
        <v>#VALUE!</v>
      </c>
      <c r="BX75" s="18" t="e">
        <f>3*BV75^2+BT62</f>
        <v>#VALUE!</v>
      </c>
      <c r="BY75" s="18" t="e">
        <f t="shared" si="12"/>
        <v>#VALUE!</v>
      </c>
      <c r="BZ75" s="283" t="str">
        <f>M48</f>
        <v>高温季最悪条件時
15[℃],100[Kg/ｍ2]</v>
      </c>
      <c r="CA75" s="284"/>
    </row>
    <row r="76" spans="10:79" ht="18" hidden="1" customHeight="1" thickBot="1" x14ac:dyDescent="0.2">
      <c r="AJ76" s="125"/>
      <c r="AK76" s="126"/>
      <c r="AL76" s="114" t="e">
        <f t="shared" si="13"/>
        <v>#VALUE!</v>
      </c>
      <c r="AM76" s="115" t="e">
        <f>AL76^3+AJ62*AL76+AK62</f>
        <v>#VALUE!</v>
      </c>
      <c r="AN76" s="115" t="e">
        <f>3*AL76^2+AJ62</f>
        <v>#VALUE!</v>
      </c>
      <c r="AO76" s="115" t="e">
        <f t="shared" si="8"/>
        <v>#VALUE!</v>
      </c>
      <c r="AP76" s="285"/>
      <c r="AQ76" s="286"/>
      <c r="AS76" s="125"/>
      <c r="AT76" s="126"/>
      <c r="AU76" s="114" t="e">
        <f t="shared" si="14"/>
        <v>#VALUE!</v>
      </c>
      <c r="AV76" s="115" t="e">
        <f>AU76^3+AS62*AU76+AT62</f>
        <v>#VALUE!</v>
      </c>
      <c r="AW76" s="115" t="e">
        <f>3*AU76^2+AS62</f>
        <v>#VALUE!</v>
      </c>
      <c r="AX76" s="115" t="e">
        <f t="shared" si="9"/>
        <v>#VALUE!</v>
      </c>
      <c r="AY76" s="285"/>
      <c r="AZ76" s="286"/>
      <c r="BB76" s="125"/>
      <c r="BC76" s="126"/>
      <c r="BD76" s="114" t="e">
        <f t="shared" si="15"/>
        <v>#VALUE!</v>
      </c>
      <c r="BE76" s="115" t="e">
        <f>BD76^3+BB62*BD76+BC62</f>
        <v>#VALUE!</v>
      </c>
      <c r="BF76" s="115" t="e">
        <f>3*BD76^2+BB62</f>
        <v>#VALUE!</v>
      </c>
      <c r="BG76" s="115" t="e">
        <f t="shared" si="10"/>
        <v>#VALUE!</v>
      </c>
      <c r="BH76" s="285"/>
      <c r="BI76" s="286"/>
      <c r="BK76" s="125"/>
      <c r="BL76" s="126"/>
      <c r="BM76" s="114" t="e">
        <f t="shared" si="16"/>
        <v>#VALUE!</v>
      </c>
      <c r="BN76" s="115" t="e">
        <f>BM76^3+BK62*BM76+BL62</f>
        <v>#VALUE!</v>
      </c>
      <c r="BO76" s="115" t="e">
        <f>3*BM76^2+BK62</f>
        <v>#VALUE!</v>
      </c>
      <c r="BP76" s="115" t="e">
        <f t="shared" si="11"/>
        <v>#VALUE!</v>
      </c>
      <c r="BQ76" s="285"/>
      <c r="BR76" s="286"/>
      <c r="BT76" s="125"/>
      <c r="BU76" s="126"/>
      <c r="BV76" s="114" t="e">
        <f t="shared" si="17"/>
        <v>#VALUE!</v>
      </c>
      <c r="BW76" s="115" t="e">
        <f>BV76^3+BT62*BV76+BU62</f>
        <v>#VALUE!</v>
      </c>
      <c r="BX76" s="115" t="e">
        <f>3*BV76^2+BT62</f>
        <v>#VALUE!</v>
      </c>
      <c r="BY76" s="115" t="e">
        <f t="shared" si="12"/>
        <v>#VALUE!</v>
      </c>
      <c r="BZ76" s="285"/>
      <c r="CA76" s="286"/>
    </row>
    <row r="77" spans="10:79" ht="18" hidden="1" customHeight="1" x14ac:dyDescent="0.15">
      <c r="AJ77" s="62" t="s">
        <v>223</v>
      </c>
      <c r="AK77" s="12" t="s">
        <v>224</v>
      </c>
      <c r="AL77" s="12" t="s">
        <v>225</v>
      </c>
      <c r="AM77" s="12" t="s">
        <v>226</v>
      </c>
      <c r="AN77" s="12" t="s">
        <v>227</v>
      </c>
      <c r="AO77" s="63" t="s">
        <v>228</v>
      </c>
      <c r="AP77" s="12" t="s">
        <v>229</v>
      </c>
      <c r="AQ77" s="13" t="s">
        <v>230</v>
      </c>
      <c r="AS77" s="62" t="s">
        <v>223</v>
      </c>
      <c r="AT77" s="12" t="s">
        <v>224</v>
      </c>
      <c r="AU77" s="12" t="s">
        <v>225</v>
      </c>
      <c r="AV77" s="12" t="s">
        <v>226</v>
      </c>
      <c r="AW77" s="12" t="s">
        <v>227</v>
      </c>
      <c r="AX77" s="63" t="s">
        <v>228</v>
      </c>
      <c r="AY77" s="12" t="s">
        <v>229</v>
      </c>
      <c r="AZ77" s="13" t="s">
        <v>230</v>
      </c>
      <c r="BB77" s="62" t="s">
        <v>223</v>
      </c>
      <c r="BC77" s="12" t="s">
        <v>224</v>
      </c>
      <c r="BD77" s="12" t="s">
        <v>225</v>
      </c>
      <c r="BE77" s="12" t="s">
        <v>226</v>
      </c>
      <c r="BF77" s="12" t="s">
        <v>227</v>
      </c>
      <c r="BG77" s="63" t="s">
        <v>228</v>
      </c>
      <c r="BH77" s="12" t="s">
        <v>229</v>
      </c>
      <c r="BI77" s="13" t="s">
        <v>230</v>
      </c>
      <c r="BK77" s="62" t="s">
        <v>223</v>
      </c>
      <c r="BL77" s="12" t="s">
        <v>224</v>
      </c>
      <c r="BM77" s="12" t="s">
        <v>225</v>
      </c>
      <c r="BN77" s="12" t="s">
        <v>226</v>
      </c>
      <c r="BO77" s="12" t="s">
        <v>227</v>
      </c>
      <c r="BP77" s="63" t="s">
        <v>228</v>
      </c>
      <c r="BQ77" s="12" t="s">
        <v>229</v>
      </c>
      <c r="BR77" s="13" t="s">
        <v>230</v>
      </c>
      <c r="BT77" s="62" t="s">
        <v>223</v>
      </c>
      <c r="BU77" s="12" t="s">
        <v>224</v>
      </c>
      <c r="BV77" s="12" t="s">
        <v>225</v>
      </c>
      <c r="BW77" s="12" t="s">
        <v>226</v>
      </c>
      <c r="BX77" s="12" t="s">
        <v>227</v>
      </c>
      <c r="BY77" s="63" t="s">
        <v>228</v>
      </c>
      <c r="BZ77" s="12" t="s">
        <v>229</v>
      </c>
      <c r="CA77" s="13" t="s">
        <v>230</v>
      </c>
    </row>
    <row r="78" spans="10:79" ht="18" hidden="1" customHeight="1" thickBot="1" x14ac:dyDescent="0.2">
      <c r="AJ78" s="107" t="str">
        <f>O23</f>
        <v/>
      </c>
      <c r="AK78" s="108" t="e">
        <f>M23+U23</f>
        <v>#VALUE!</v>
      </c>
      <c r="AL78" s="108">
        <f>IF(C33="",L19*(F19/40)^2,C33)</f>
        <v>0</v>
      </c>
      <c r="AM78" s="108">
        <f>F19</f>
        <v>0</v>
      </c>
      <c r="AN78" s="108" t="e">
        <f>AK78*1600/(8*L19)</f>
        <v>#VALUE!</v>
      </c>
      <c r="AO78" s="109">
        <f>V23</f>
        <v>0</v>
      </c>
      <c r="AP78" s="108" t="str">
        <f>IF(I23="",L23,T23)</f>
        <v/>
      </c>
      <c r="AQ78" s="110">
        <f>W23</f>
        <v>0</v>
      </c>
      <c r="AS78" s="107" t="str">
        <f>IF(B24="使用電線-2",O24,IF(B25="使用電線-2",O25,IF(B26="使用電線-2",O26,IF(B27="使用電線-2",O27,IF(B28="使用電線-2",O28,IF(B29="使用電線-2",O29,""))))))</f>
        <v/>
      </c>
      <c r="AT78" s="108" t="str">
        <f>IF(B24="使用電線-2",M24+U24,IF(B25="使用電線-2",M25+U25,IF(B26="使用電線-2",M26+U26,IF(B27="使用電線-2",M27+U27,IF(B28="使用電線-2",M28+U28,IF(B29="使用電線-2",M29+U29,""))))))</f>
        <v/>
      </c>
      <c r="AU78" s="108">
        <f>IF(I33="",L19*(F19/40)^2,I33)</f>
        <v>0</v>
      </c>
      <c r="AV78" s="108">
        <f>F19</f>
        <v>0</v>
      </c>
      <c r="AW78" s="108" t="e">
        <f>AT78*1600/(8*L19)</f>
        <v>#VALUE!</v>
      </c>
      <c r="AX78" s="109" t="str">
        <f>IF(B24="使用電線-2",V24,IF(B25="使用電線-2",V25,IF(B26="使用電線-2",V26,IF(B27="使用電線-2",V27,IF(B28="使用電線-2",V28,IF(B29="使用電線-2",V29,""))))))</f>
        <v/>
      </c>
      <c r="AY78" s="108" t="str">
        <f>IF(B24="使用電線-2",L24,IF(B25="使用電線-2",L25,IF(B26="使用電線-2",L26,IF(B27="使用電線-2",L27,IF(B28="使用電線-2",L28,IF(B29="使用電線-2",L29,""))))))</f>
        <v/>
      </c>
      <c r="AZ78" s="110" t="str">
        <f>IF(B24="使用電線-2",W24,IF(B25="使用電線-2",W25,IF(B26="使用電線-2",W26,IF(B27="使用電線-2",W27,IF(B28="使用電線-2",W28,IF(B29="使用電線-2",W29,""))))))</f>
        <v/>
      </c>
      <c r="BB78" s="107" t="str">
        <f>IF(B25="使用電線-3",O25,IF(B26="使用電線-3",O26,IF(B27="使用電線-3",O27,IF(B28="使用電線-3",O28,IF(B29="使用電線-3",O29,"")))))</f>
        <v/>
      </c>
      <c r="BC78" s="108" t="str">
        <f>IF(B25="使用電線-3",M25+U25,IF(B26="使用電線-3",M26+U26,IF(B27="使用電線-3",M27+U27,IF(B28="使用電線-3",M28+U28,IF(B29="使用電線-3",M29+U29,"")))))</f>
        <v/>
      </c>
      <c r="BD78" s="108">
        <f>IF(N33="",L19*(F19/40)^2,N33)</f>
        <v>0</v>
      </c>
      <c r="BE78" s="108">
        <f>F19</f>
        <v>0</v>
      </c>
      <c r="BF78" s="108" t="e">
        <f>BC78*1600/(8*L19)</f>
        <v>#VALUE!</v>
      </c>
      <c r="BG78" s="109" t="str">
        <f>IF(B25="使用電線-3",V25,IF(B26="使用電線-3",V26,IF(B27="使用電線-3",V27,IF(B28="使用電線-3",V28,IF(B29="使用電線-3",V29,"")))))</f>
        <v/>
      </c>
      <c r="BH78" s="108" t="str">
        <f>IF(B25="使用電線-3",L25,IF(B26="使用電線-3",L26,IF(B27="使用電線-3",L27,IF(B28="使用電線-3",L28,IF(B29="使用電線-3",L29,"")))))</f>
        <v/>
      </c>
      <c r="BI78" s="110" t="str">
        <f>IF(B25="使用電線-3",W25,IF(B26="使用電線-3",W26,IF(B27="使用電線-3",W27,IF(B28="使用電線-3",W28,IF(B29="使用電線-3",W29,"")))))</f>
        <v/>
      </c>
      <c r="BK78" s="107" t="str">
        <f>IF(B26="使用電線-4",O26,IF(B27="使用電線-4",O27,IF(B28="使用電線-4",O28,IF(B29="使用電線-4",O29,""))))</f>
        <v/>
      </c>
      <c r="BL78" s="108" t="str">
        <f>IF(B26="使用電線-4",M26+U26,IF(B27="使用電線-4",M27+U27,IF(B28="使用電線-4",M28+U28,IF(B29="使用電線-4",M29+U29,""))))</f>
        <v/>
      </c>
      <c r="BM78" s="108">
        <f>IF(C47="",L19*(F19/40)^2,C47)</f>
        <v>0</v>
      </c>
      <c r="BN78" s="108">
        <f>F19</f>
        <v>0</v>
      </c>
      <c r="BO78" s="127" t="e">
        <f>BL78*1600/(8*L19)</f>
        <v>#VALUE!</v>
      </c>
      <c r="BP78" s="109" t="str">
        <f>IF(B26="使用電線-4",V26,IF(B27="使用電線-4",V27,IF(B28="使用電線-4",V28,IF(B29="使用電線-4",V29,""))))</f>
        <v/>
      </c>
      <c r="BQ78" s="108" t="str">
        <f>IF(B26="使用電線-4",L26,IF(B27="使用電線-4",L27,IF(B28="使用電線-4",L28,IF(B29="使用電線-4",L29,""))))</f>
        <v/>
      </c>
      <c r="BR78" s="110" t="str">
        <f>IF(B26="使用電線-4",W26,IF(B27="使用電線-4",W27,IF(B28="使用電線-4",W28,IF(B29="使用電線-4",W29,""))))</f>
        <v/>
      </c>
      <c r="BT78" s="107" t="str">
        <f>IF(B27="使用電線-5",O27,IF(B28="使用電線-5",O28,IF(B29="使用電線-5",O29,"")))</f>
        <v/>
      </c>
      <c r="BU78" s="108" t="str">
        <f>IF(B27="使用電線-5",M27+U27,IF(B28="使用電線-5",M28+U28,IF(B29="使用電線-5",M29+U29,"")))</f>
        <v/>
      </c>
      <c r="BV78" s="108">
        <f>IF(I47="",L19*(F19/40)^2,I47)</f>
        <v>0</v>
      </c>
      <c r="BW78" s="108">
        <f>F19</f>
        <v>0</v>
      </c>
      <c r="BX78" s="127" t="e">
        <f>BU78*1600/(8*L19)</f>
        <v>#VALUE!</v>
      </c>
      <c r="BY78" s="109" t="str">
        <f>IF(B27="使用電線-5",V27,IF(B28="使用電線-5",V28,IF(B29="使用電線-5",V29,"")))</f>
        <v/>
      </c>
      <c r="BZ78" s="108" t="str">
        <f>IF(B27="使用電線-5",L27,IF(B28="使用電線-5",L28,IF(B29="使用電線-5",L29,"")))</f>
        <v/>
      </c>
      <c r="CA78" s="110" t="str">
        <f>IF(B27="使用電線-5",W27,IF(B28="使用電線-5",W28,IF(B29="使用電線-5",W29,"")))</f>
        <v/>
      </c>
    </row>
    <row r="79" spans="10:79" ht="18" hidden="1" customHeight="1" x14ac:dyDescent="0.15">
      <c r="AH79" s="1" t="s">
        <v>231</v>
      </c>
    </row>
    <row r="80" spans="10:79" ht="18" hidden="1" customHeight="1" thickBot="1" x14ac:dyDescent="0.2"/>
    <row r="81" spans="36:79" ht="18" hidden="1" customHeight="1" x14ac:dyDescent="0.15">
      <c r="AJ81" s="2" t="s">
        <v>232</v>
      </c>
      <c r="AK81" s="111" t="s">
        <v>233</v>
      </c>
      <c r="AL81" s="12" t="s">
        <v>234</v>
      </c>
      <c r="AM81" s="12" t="s">
        <v>235</v>
      </c>
      <c r="AN81" s="12" t="s">
        <v>236</v>
      </c>
      <c r="AO81" s="12" t="s">
        <v>237</v>
      </c>
      <c r="AP81" s="12" t="s">
        <v>238</v>
      </c>
      <c r="AQ81" s="13" t="s">
        <v>239</v>
      </c>
      <c r="AS81" s="2" t="s">
        <v>232</v>
      </c>
      <c r="AT81" s="111" t="s">
        <v>233</v>
      </c>
      <c r="AU81" s="12" t="s">
        <v>234</v>
      </c>
      <c r="AV81" s="12" t="s">
        <v>235</v>
      </c>
      <c r="AW81" s="12" t="s">
        <v>236</v>
      </c>
      <c r="AX81" s="12" t="s">
        <v>237</v>
      </c>
      <c r="AY81" s="12" t="s">
        <v>238</v>
      </c>
      <c r="AZ81" s="13" t="s">
        <v>239</v>
      </c>
      <c r="BB81" s="2" t="s">
        <v>232</v>
      </c>
      <c r="BC81" s="111" t="s">
        <v>233</v>
      </c>
      <c r="BD81" s="12" t="s">
        <v>234</v>
      </c>
      <c r="BE81" s="12" t="s">
        <v>235</v>
      </c>
      <c r="BF81" s="12" t="s">
        <v>236</v>
      </c>
      <c r="BG81" s="12" t="s">
        <v>237</v>
      </c>
      <c r="BH81" s="12" t="s">
        <v>238</v>
      </c>
      <c r="BI81" s="13" t="s">
        <v>239</v>
      </c>
      <c r="BK81" s="2" t="s">
        <v>232</v>
      </c>
      <c r="BL81" s="111" t="s">
        <v>233</v>
      </c>
      <c r="BM81" s="12" t="s">
        <v>234</v>
      </c>
      <c r="BN81" s="12" t="s">
        <v>235</v>
      </c>
      <c r="BO81" s="12" t="s">
        <v>236</v>
      </c>
      <c r="BP81" s="12" t="s">
        <v>237</v>
      </c>
      <c r="BQ81" s="12" t="s">
        <v>238</v>
      </c>
      <c r="BR81" s="13" t="s">
        <v>239</v>
      </c>
      <c r="BT81" s="2" t="s">
        <v>232</v>
      </c>
      <c r="BU81" s="111" t="s">
        <v>233</v>
      </c>
      <c r="BV81" s="12" t="s">
        <v>234</v>
      </c>
      <c r="BW81" s="12" t="s">
        <v>235</v>
      </c>
      <c r="BX81" s="12" t="s">
        <v>236</v>
      </c>
      <c r="BY81" s="12" t="s">
        <v>237</v>
      </c>
      <c r="BZ81" s="12" t="s">
        <v>238</v>
      </c>
      <c r="CA81" s="13" t="s">
        <v>239</v>
      </c>
    </row>
    <row r="82" spans="36:79" ht="18" hidden="1" customHeight="1" x14ac:dyDescent="0.15">
      <c r="AJ82" s="16" t="e">
        <f>-AJ85+AJ88</f>
        <v>#VALUE!</v>
      </c>
      <c r="AK82" s="17" t="e">
        <f>-AJ91</f>
        <v>#VALUE!</v>
      </c>
      <c r="AL82" s="18" t="e">
        <f>IF(AND(AP85&lt;0,AQ85&lt;0),AQ82*1.2,IF(AND(AP85&gt;0,AQ85&gt;0),AP82*0.8,10))</f>
        <v>#VALUE!</v>
      </c>
      <c r="AM82" s="18" t="e">
        <f>AL82^3+AJ82*AL82+AK82</f>
        <v>#VALUE!</v>
      </c>
      <c r="AN82" s="18" t="e">
        <f>3*AL82^2+AJ82</f>
        <v>#VALUE!</v>
      </c>
      <c r="AO82" s="18" t="e">
        <f t="shared" ref="AO82:AO96" si="18">AL82-AM82/AN82</f>
        <v>#VALUE!</v>
      </c>
      <c r="AP82" s="18" t="e">
        <f>-SQRT(ABS(-4*3*AJ82))/6</f>
        <v>#VALUE!</v>
      </c>
      <c r="AQ82" s="19" t="e">
        <f>SQRT(ABS(-4*3*AJ82))/6</f>
        <v>#VALUE!</v>
      </c>
      <c r="AS82" s="16" t="e">
        <f>-AS85+AS88</f>
        <v>#VALUE!</v>
      </c>
      <c r="AT82" s="17" t="e">
        <f>-AS91</f>
        <v>#VALUE!</v>
      </c>
      <c r="AU82" s="18" t="e">
        <f>IF(AND(AY85&lt;0,AZ85&lt;0),AZ82*1.2,IF(AND(AY85&gt;0,AZ85&gt;0),AY82*0.8,10))</f>
        <v>#VALUE!</v>
      </c>
      <c r="AV82" s="18" t="e">
        <f>AU82^3+AS82*AU82+AT82</f>
        <v>#VALUE!</v>
      </c>
      <c r="AW82" s="18" t="e">
        <f>3*AU82^2+AS82</f>
        <v>#VALUE!</v>
      </c>
      <c r="AX82" s="18" t="e">
        <f t="shared" ref="AX82:AX96" si="19">AU82-AV82/AW82</f>
        <v>#VALUE!</v>
      </c>
      <c r="AY82" s="18" t="e">
        <f>-SQRT(ABS(-4*3*AS82))/6</f>
        <v>#VALUE!</v>
      </c>
      <c r="AZ82" s="19" t="e">
        <f>SQRT(ABS(-4*3*AS82))/6</f>
        <v>#VALUE!</v>
      </c>
      <c r="BB82" s="16" t="e">
        <f>-BB85+BB88</f>
        <v>#VALUE!</v>
      </c>
      <c r="BC82" s="17" t="e">
        <f>-BB91</f>
        <v>#VALUE!</v>
      </c>
      <c r="BD82" s="18" t="e">
        <f>IF(AND(BH85&lt;0,BI85&lt;0),BI82*1.2,IF(AND(BH85&gt;0,BI85&gt;0),BH82*0.8,10))</f>
        <v>#VALUE!</v>
      </c>
      <c r="BE82" s="18" t="e">
        <f>BD82^3+BB82*BD82+BC82</f>
        <v>#VALUE!</v>
      </c>
      <c r="BF82" s="18" t="e">
        <f>3*BD82^2+BB82</f>
        <v>#VALUE!</v>
      </c>
      <c r="BG82" s="18" t="e">
        <f t="shared" ref="BG82:BG96" si="20">BD82-BE82/BF82</f>
        <v>#VALUE!</v>
      </c>
      <c r="BH82" s="18" t="e">
        <f>-SQRT(ABS(-4*3*BB82))/6</f>
        <v>#VALUE!</v>
      </c>
      <c r="BI82" s="19" t="e">
        <f>SQRT(ABS(-4*3*BB82))/6</f>
        <v>#VALUE!</v>
      </c>
      <c r="BK82" s="16" t="e">
        <f>-BK85+BK88</f>
        <v>#VALUE!</v>
      </c>
      <c r="BL82" s="17" t="e">
        <f>-BK91</f>
        <v>#VALUE!</v>
      </c>
      <c r="BM82" s="18" t="e">
        <f>IF(AND(BQ85&lt;0,BR85&lt;0),BR82*1.2,IF(AND(BQ85&gt;0,BR85&gt;0),BQ82*0.8,10))</f>
        <v>#VALUE!</v>
      </c>
      <c r="BN82" s="18" t="e">
        <f>BM82^3+BK82*BM82+BL82</f>
        <v>#VALUE!</v>
      </c>
      <c r="BO82" s="18" t="e">
        <f>3*BM82^2+BK82</f>
        <v>#VALUE!</v>
      </c>
      <c r="BP82" s="18" t="e">
        <f t="shared" ref="BP82:BP96" si="21">BM82-BN82/BO82</f>
        <v>#VALUE!</v>
      </c>
      <c r="BQ82" s="18" t="e">
        <f>-SQRT(ABS(-4*3*BK82))/6</f>
        <v>#VALUE!</v>
      </c>
      <c r="BR82" s="19" t="e">
        <f>SQRT(ABS(-4*3*BK82))/6</f>
        <v>#VALUE!</v>
      </c>
      <c r="BT82" s="16" t="e">
        <f>-BT85+BT88</f>
        <v>#VALUE!</v>
      </c>
      <c r="BU82" s="17" t="e">
        <f>-BT91</f>
        <v>#VALUE!</v>
      </c>
      <c r="BV82" s="18" t="e">
        <f>IF(AND(BZ85&lt;0,CA85&lt;0),CA82*1.2,IF(AND(BZ85&gt;0,CA85&gt;0),BZ82*0.8,10))</f>
        <v>#VALUE!</v>
      </c>
      <c r="BW82" s="18" t="e">
        <f>BV82^3+BT82*BV82+BU82</f>
        <v>#VALUE!</v>
      </c>
      <c r="BX82" s="18" t="e">
        <f>3*BV82^2+BT82</f>
        <v>#VALUE!</v>
      </c>
      <c r="BY82" s="18" t="e">
        <f t="shared" ref="BY82:BY96" si="22">BV82-BW82/BX82</f>
        <v>#VALUE!</v>
      </c>
      <c r="BZ82" s="18" t="e">
        <f>-SQRT(ABS(-4*3*BT82))/6</f>
        <v>#VALUE!</v>
      </c>
      <c r="CA82" s="19" t="e">
        <f>SQRT(ABS(-4*3*BT82))/6</f>
        <v>#VALUE!</v>
      </c>
    </row>
    <row r="83" spans="36:79" ht="18" hidden="1" customHeight="1" x14ac:dyDescent="0.15">
      <c r="AJ83" s="267"/>
      <c r="AK83" s="268"/>
      <c r="AL83" s="18" t="e">
        <f t="shared" ref="AL83:AL96" si="23">AO82</f>
        <v>#VALUE!</v>
      </c>
      <c r="AM83" s="18" t="e">
        <f>AL83^3+AJ82*AL83+AK82</f>
        <v>#VALUE!</v>
      </c>
      <c r="AN83" s="18" t="e">
        <f>3*AL83^2+AJ82</f>
        <v>#VALUE!</v>
      </c>
      <c r="AO83" s="18" t="e">
        <f t="shared" si="18"/>
        <v>#VALUE!</v>
      </c>
      <c r="AP83" s="6"/>
      <c r="AQ83" s="7"/>
      <c r="AS83" s="267"/>
      <c r="AT83" s="268"/>
      <c r="AU83" s="18" t="e">
        <f t="shared" ref="AU83:AU96" si="24">AX82</f>
        <v>#VALUE!</v>
      </c>
      <c r="AV83" s="18" t="e">
        <f>AU83^3+AS82*AU83+AT82</f>
        <v>#VALUE!</v>
      </c>
      <c r="AW83" s="18" t="e">
        <f>3*AU83^2+AS82</f>
        <v>#VALUE!</v>
      </c>
      <c r="AX83" s="18" t="e">
        <f t="shared" si="19"/>
        <v>#VALUE!</v>
      </c>
      <c r="AY83" s="6"/>
      <c r="AZ83" s="7"/>
      <c r="BB83" s="267"/>
      <c r="BC83" s="268"/>
      <c r="BD83" s="18" t="e">
        <f t="shared" ref="BD83:BD96" si="25">BG82</f>
        <v>#VALUE!</v>
      </c>
      <c r="BE83" s="18" t="e">
        <f>BD83^3+BB82*BD83+BC82</f>
        <v>#VALUE!</v>
      </c>
      <c r="BF83" s="18" t="e">
        <f>3*BD83^2+BB82</f>
        <v>#VALUE!</v>
      </c>
      <c r="BG83" s="18" t="e">
        <f t="shared" si="20"/>
        <v>#VALUE!</v>
      </c>
      <c r="BH83" s="6"/>
      <c r="BI83" s="7"/>
      <c r="BK83" s="267"/>
      <c r="BL83" s="268"/>
      <c r="BM83" s="18" t="e">
        <f t="shared" ref="BM83:BM96" si="26">BP82</f>
        <v>#VALUE!</v>
      </c>
      <c r="BN83" s="18" t="e">
        <f>BM83^3+BK82*BM83+BL82</f>
        <v>#VALUE!</v>
      </c>
      <c r="BO83" s="18" t="e">
        <f>3*BM83^2+BK82</f>
        <v>#VALUE!</v>
      </c>
      <c r="BP83" s="18" t="e">
        <f t="shared" si="21"/>
        <v>#VALUE!</v>
      </c>
      <c r="BQ83" s="6"/>
      <c r="BR83" s="7"/>
      <c r="BT83" s="267"/>
      <c r="BU83" s="268"/>
      <c r="BV83" s="18" t="e">
        <f t="shared" ref="BV83:BV96" si="27">BY82</f>
        <v>#VALUE!</v>
      </c>
      <c r="BW83" s="18" t="e">
        <f>BV83^3+BT82*BV83+BU82</f>
        <v>#VALUE!</v>
      </c>
      <c r="BX83" s="18" t="e">
        <f>3*BV83^2+BT82</f>
        <v>#VALUE!</v>
      </c>
      <c r="BY83" s="18" t="e">
        <f t="shared" si="22"/>
        <v>#VALUE!</v>
      </c>
      <c r="BZ83" s="6"/>
      <c r="CA83" s="7"/>
    </row>
    <row r="84" spans="36:79" ht="18" hidden="1" customHeight="1" x14ac:dyDescent="0.15">
      <c r="AJ84" s="269" t="s">
        <v>240</v>
      </c>
      <c r="AK84" s="270"/>
      <c r="AL84" s="18" t="e">
        <f t="shared" si="23"/>
        <v>#VALUE!</v>
      </c>
      <c r="AM84" s="18" t="e">
        <f>AL84^3+AJ82*AL84+AK82</f>
        <v>#VALUE!</v>
      </c>
      <c r="AN84" s="18" t="e">
        <f>3*AL84^2+AJ82</f>
        <v>#VALUE!</v>
      </c>
      <c r="AO84" s="18" t="e">
        <f t="shared" si="18"/>
        <v>#VALUE!</v>
      </c>
      <c r="AP84" s="14" t="s">
        <v>241</v>
      </c>
      <c r="AQ84" s="15" t="s">
        <v>242</v>
      </c>
      <c r="AS84" s="269" t="s">
        <v>240</v>
      </c>
      <c r="AT84" s="270"/>
      <c r="AU84" s="18" t="e">
        <f t="shared" si="24"/>
        <v>#VALUE!</v>
      </c>
      <c r="AV84" s="18" t="e">
        <f>AU84^3+AS82*AU84+AT82</f>
        <v>#VALUE!</v>
      </c>
      <c r="AW84" s="18" t="e">
        <f>3*AU84^2+AS82</f>
        <v>#VALUE!</v>
      </c>
      <c r="AX84" s="18" t="e">
        <f t="shared" si="19"/>
        <v>#VALUE!</v>
      </c>
      <c r="AY84" s="14" t="s">
        <v>241</v>
      </c>
      <c r="AZ84" s="15" t="s">
        <v>242</v>
      </c>
      <c r="BB84" s="269" t="s">
        <v>240</v>
      </c>
      <c r="BC84" s="270"/>
      <c r="BD84" s="18" t="e">
        <f t="shared" si="25"/>
        <v>#VALUE!</v>
      </c>
      <c r="BE84" s="18" t="e">
        <f>BD84^3+BB82*BD84+BC82</f>
        <v>#VALUE!</v>
      </c>
      <c r="BF84" s="18" t="e">
        <f>3*BD84^2+BB82</f>
        <v>#VALUE!</v>
      </c>
      <c r="BG84" s="18" t="e">
        <f t="shared" si="20"/>
        <v>#VALUE!</v>
      </c>
      <c r="BH84" s="14" t="s">
        <v>241</v>
      </c>
      <c r="BI84" s="15" t="s">
        <v>242</v>
      </c>
      <c r="BK84" s="269" t="s">
        <v>240</v>
      </c>
      <c r="BL84" s="270"/>
      <c r="BM84" s="18" t="e">
        <f t="shared" si="26"/>
        <v>#VALUE!</v>
      </c>
      <c r="BN84" s="18" t="e">
        <f>BM84^3+BK82*BM84+BL82</f>
        <v>#VALUE!</v>
      </c>
      <c r="BO84" s="18" t="e">
        <f>3*BM84^2+BK82</f>
        <v>#VALUE!</v>
      </c>
      <c r="BP84" s="18" t="e">
        <f t="shared" si="21"/>
        <v>#VALUE!</v>
      </c>
      <c r="BQ84" s="14" t="s">
        <v>241</v>
      </c>
      <c r="BR84" s="15" t="s">
        <v>242</v>
      </c>
      <c r="BT84" s="269" t="s">
        <v>240</v>
      </c>
      <c r="BU84" s="270"/>
      <c r="BV84" s="18" t="e">
        <f t="shared" si="27"/>
        <v>#VALUE!</v>
      </c>
      <c r="BW84" s="18" t="e">
        <f>BV84^3+BT82*BV84+BU82</f>
        <v>#VALUE!</v>
      </c>
      <c r="BX84" s="18" t="e">
        <f>3*BV84^2+BT82</f>
        <v>#VALUE!</v>
      </c>
      <c r="BY84" s="18" t="e">
        <f t="shared" si="22"/>
        <v>#VALUE!</v>
      </c>
      <c r="BZ84" s="14" t="s">
        <v>241</v>
      </c>
      <c r="CA84" s="15" t="s">
        <v>242</v>
      </c>
    </row>
    <row r="85" spans="36:79" ht="18" hidden="1" customHeight="1" x14ac:dyDescent="0.15">
      <c r="AJ85" s="269">
        <f>(AL98^2)+3*(AM98^2)*AQ98*(AQ93-15)/(8*10^7)</f>
        <v>0</v>
      </c>
      <c r="AK85" s="270"/>
      <c r="AL85" s="18" t="e">
        <f t="shared" si="23"/>
        <v>#VALUE!</v>
      </c>
      <c r="AM85" s="18" t="e">
        <f>AL85^3+AJ82*AL85+AK82</f>
        <v>#VALUE!</v>
      </c>
      <c r="AN85" s="18" t="e">
        <f>3*AL85^2+AJ82</f>
        <v>#VALUE!</v>
      </c>
      <c r="AO85" s="18" t="e">
        <f t="shared" si="18"/>
        <v>#VALUE!</v>
      </c>
      <c r="AP85" s="18" t="e">
        <f>AP82^3+AJ82*AP82+AK82</f>
        <v>#VALUE!</v>
      </c>
      <c r="AQ85" s="19" t="e">
        <f>AQ82^3+AJ82*AQ82+AK82</f>
        <v>#VALUE!</v>
      </c>
      <c r="AS85" s="269" t="e">
        <f>(AU98^2)+3*(AV98^2)*AZ98*(AZ93-15)/(8*10^7)</f>
        <v>#VALUE!</v>
      </c>
      <c r="AT85" s="270"/>
      <c r="AU85" s="18" t="e">
        <f t="shared" si="24"/>
        <v>#VALUE!</v>
      </c>
      <c r="AV85" s="18" t="e">
        <f>AU85^3+AS82*AU85+AT82</f>
        <v>#VALUE!</v>
      </c>
      <c r="AW85" s="18" t="e">
        <f>3*AU85^2+AS82</f>
        <v>#VALUE!</v>
      </c>
      <c r="AX85" s="18" t="e">
        <f t="shared" si="19"/>
        <v>#VALUE!</v>
      </c>
      <c r="AY85" s="18" t="e">
        <f>AY82^3+AS82*AY82+AT82</f>
        <v>#VALUE!</v>
      </c>
      <c r="AZ85" s="19" t="e">
        <f>AZ82^3+AS82*AZ82+AT82</f>
        <v>#VALUE!</v>
      </c>
      <c r="BB85" s="269" t="e">
        <f>(BD98^2)+3*(BE98^2)*BI98*(BI93-15)/(8*10^7)</f>
        <v>#VALUE!</v>
      </c>
      <c r="BC85" s="270"/>
      <c r="BD85" s="18" t="e">
        <f t="shared" si="25"/>
        <v>#VALUE!</v>
      </c>
      <c r="BE85" s="18" t="e">
        <f>BD85^3+BB82*BD85+BC82</f>
        <v>#VALUE!</v>
      </c>
      <c r="BF85" s="18" t="e">
        <f>3*BD85^2+BB82</f>
        <v>#VALUE!</v>
      </c>
      <c r="BG85" s="18" t="e">
        <f t="shared" si="20"/>
        <v>#VALUE!</v>
      </c>
      <c r="BH85" s="18" t="e">
        <f>BH82^3+BB82*BH82+BC82</f>
        <v>#VALUE!</v>
      </c>
      <c r="BI85" s="19" t="e">
        <f>BI82^3+BB82*BI82+BC82</f>
        <v>#VALUE!</v>
      </c>
      <c r="BK85" s="269" t="e">
        <f>(BM98^2)+3*(BN98^2)*BR98*(BR93-15)/(8*10^7)</f>
        <v>#VALUE!</v>
      </c>
      <c r="BL85" s="270"/>
      <c r="BM85" s="18" t="e">
        <f t="shared" si="26"/>
        <v>#VALUE!</v>
      </c>
      <c r="BN85" s="18" t="e">
        <f>BM85^3+BK82*BM85+BL82</f>
        <v>#VALUE!</v>
      </c>
      <c r="BO85" s="18" t="e">
        <f>3*BM85^2+BK82</f>
        <v>#VALUE!</v>
      </c>
      <c r="BP85" s="18" t="e">
        <f t="shared" si="21"/>
        <v>#VALUE!</v>
      </c>
      <c r="BQ85" s="18" t="e">
        <f>BQ82^3+BK82*BQ82+BL82</f>
        <v>#VALUE!</v>
      </c>
      <c r="BR85" s="19" t="e">
        <f>BR82^3+BK82*BR82+BL82</f>
        <v>#VALUE!</v>
      </c>
      <c r="BT85" s="269" t="e">
        <f>(BV98^2)+3*(BW98^2)*CA98*(CA93-15)/(8*10^7)</f>
        <v>#VALUE!</v>
      </c>
      <c r="BU85" s="270"/>
      <c r="BV85" s="18" t="e">
        <f t="shared" si="27"/>
        <v>#VALUE!</v>
      </c>
      <c r="BW85" s="18" t="e">
        <f>BV85^3+BT82*BV85+BU82</f>
        <v>#VALUE!</v>
      </c>
      <c r="BX85" s="18" t="e">
        <f>3*BV85^2+BT82</f>
        <v>#VALUE!</v>
      </c>
      <c r="BY85" s="18" t="e">
        <f t="shared" si="22"/>
        <v>#VALUE!</v>
      </c>
      <c r="BZ85" s="18" t="e">
        <f>BZ82^3+BT82*BZ82+BU82</f>
        <v>#VALUE!</v>
      </c>
      <c r="CA85" s="19" t="e">
        <f>CA82^3+BT82*CA82+BU82</f>
        <v>#VALUE!</v>
      </c>
    </row>
    <row r="86" spans="36:79" ht="18" hidden="1" customHeight="1" x14ac:dyDescent="0.15">
      <c r="AJ86" s="267"/>
      <c r="AK86" s="268"/>
      <c r="AL86" s="18" t="e">
        <f t="shared" si="23"/>
        <v>#VALUE!</v>
      </c>
      <c r="AM86" s="18" t="e">
        <f>AL86^3+AJ82*AL86+AK82</f>
        <v>#VALUE!</v>
      </c>
      <c r="AN86" s="18" t="e">
        <f>3*AL86^2+AJ82</f>
        <v>#VALUE!</v>
      </c>
      <c r="AO86" s="18" t="e">
        <f t="shared" si="18"/>
        <v>#VALUE!</v>
      </c>
      <c r="AP86" s="31"/>
      <c r="AQ86" s="32"/>
      <c r="AS86" s="267"/>
      <c r="AT86" s="268"/>
      <c r="AU86" s="18" t="e">
        <f t="shared" si="24"/>
        <v>#VALUE!</v>
      </c>
      <c r="AV86" s="18" t="e">
        <f>AU86^3+AS82*AU86+AT82</f>
        <v>#VALUE!</v>
      </c>
      <c r="AW86" s="18" t="e">
        <f>3*AU86^2+AS82</f>
        <v>#VALUE!</v>
      </c>
      <c r="AX86" s="18" t="e">
        <f t="shared" si="19"/>
        <v>#VALUE!</v>
      </c>
      <c r="AY86" s="31"/>
      <c r="AZ86" s="32"/>
      <c r="BB86" s="267"/>
      <c r="BC86" s="268"/>
      <c r="BD86" s="18" t="e">
        <f t="shared" si="25"/>
        <v>#VALUE!</v>
      </c>
      <c r="BE86" s="18" t="e">
        <f>BD86^3+BB82*BD86+BC82</f>
        <v>#VALUE!</v>
      </c>
      <c r="BF86" s="18" t="e">
        <f>3*BD86^2+BB82</f>
        <v>#VALUE!</v>
      </c>
      <c r="BG86" s="18" t="e">
        <f t="shared" si="20"/>
        <v>#VALUE!</v>
      </c>
      <c r="BH86" s="31"/>
      <c r="BI86" s="32"/>
      <c r="BK86" s="267"/>
      <c r="BL86" s="268"/>
      <c r="BM86" s="18" t="e">
        <f t="shared" si="26"/>
        <v>#VALUE!</v>
      </c>
      <c r="BN86" s="18" t="e">
        <f>BM86^3+BK82*BM86+BL82</f>
        <v>#VALUE!</v>
      </c>
      <c r="BO86" s="18" t="e">
        <f>3*BM86^2+BK82</f>
        <v>#VALUE!</v>
      </c>
      <c r="BP86" s="18" t="e">
        <f t="shared" si="21"/>
        <v>#VALUE!</v>
      </c>
      <c r="BQ86" s="31"/>
      <c r="BR86" s="32"/>
      <c r="BT86" s="267"/>
      <c r="BU86" s="268"/>
      <c r="BV86" s="18" t="e">
        <f t="shared" si="27"/>
        <v>#VALUE!</v>
      </c>
      <c r="BW86" s="18" t="e">
        <f>BV86^3+BT82*BV86+BU82</f>
        <v>#VALUE!</v>
      </c>
      <c r="BX86" s="18" t="e">
        <f>3*BV86^2+BT82</f>
        <v>#VALUE!</v>
      </c>
      <c r="BY86" s="18" t="e">
        <f t="shared" si="22"/>
        <v>#VALUE!</v>
      </c>
      <c r="BZ86" s="31"/>
      <c r="CA86" s="32"/>
    </row>
    <row r="87" spans="36:79" ht="18" hidden="1" customHeight="1" x14ac:dyDescent="0.15">
      <c r="AJ87" s="269" t="s">
        <v>243</v>
      </c>
      <c r="AK87" s="270"/>
      <c r="AL87" s="18" t="e">
        <f t="shared" si="23"/>
        <v>#VALUE!</v>
      </c>
      <c r="AM87" s="18" t="e">
        <f>AL87^3+AJ82*AL87+AK82</f>
        <v>#VALUE!</v>
      </c>
      <c r="AN87" s="18" t="e">
        <f>3*AL87^2+AJ82</f>
        <v>#VALUE!</v>
      </c>
      <c r="AO87" s="18" t="e">
        <f t="shared" si="18"/>
        <v>#VALUE!</v>
      </c>
      <c r="AP87" s="31"/>
      <c r="AQ87" s="32"/>
      <c r="AS87" s="269" t="s">
        <v>243</v>
      </c>
      <c r="AT87" s="270"/>
      <c r="AU87" s="18" t="e">
        <f t="shared" si="24"/>
        <v>#VALUE!</v>
      </c>
      <c r="AV87" s="18" t="e">
        <f>AU87^3+AS82*AU87+AT82</f>
        <v>#VALUE!</v>
      </c>
      <c r="AW87" s="18" t="e">
        <f>3*AU87^2+AS82</f>
        <v>#VALUE!</v>
      </c>
      <c r="AX87" s="18" t="e">
        <f t="shared" si="19"/>
        <v>#VALUE!</v>
      </c>
      <c r="AY87" s="31"/>
      <c r="AZ87" s="32"/>
      <c r="BB87" s="269" t="s">
        <v>243</v>
      </c>
      <c r="BC87" s="270"/>
      <c r="BD87" s="18" t="e">
        <f t="shared" si="25"/>
        <v>#VALUE!</v>
      </c>
      <c r="BE87" s="18" t="e">
        <f>BD87^3+BB82*BD87+BC82</f>
        <v>#VALUE!</v>
      </c>
      <c r="BF87" s="18" t="e">
        <f>3*BD87^2+BB82</f>
        <v>#VALUE!</v>
      </c>
      <c r="BG87" s="18" t="e">
        <f t="shared" si="20"/>
        <v>#VALUE!</v>
      </c>
      <c r="BH87" s="31"/>
      <c r="BI87" s="32"/>
      <c r="BK87" s="269" t="s">
        <v>243</v>
      </c>
      <c r="BL87" s="270"/>
      <c r="BM87" s="18" t="e">
        <f t="shared" si="26"/>
        <v>#VALUE!</v>
      </c>
      <c r="BN87" s="18" t="e">
        <f>BM87^3+BK82*BM87+BL82</f>
        <v>#VALUE!</v>
      </c>
      <c r="BO87" s="18" t="e">
        <f>3*BM87^2+BK82</f>
        <v>#VALUE!</v>
      </c>
      <c r="BP87" s="18" t="e">
        <f t="shared" si="21"/>
        <v>#VALUE!</v>
      </c>
      <c r="BQ87" s="31"/>
      <c r="BR87" s="32"/>
      <c r="BT87" s="269" t="s">
        <v>243</v>
      </c>
      <c r="BU87" s="270"/>
      <c r="BV87" s="18" t="e">
        <f t="shared" si="27"/>
        <v>#VALUE!</v>
      </c>
      <c r="BW87" s="18" t="e">
        <f>BV87^3+BT82*BV87+BU82</f>
        <v>#VALUE!</v>
      </c>
      <c r="BX87" s="18" t="e">
        <f>3*BV87^2+BT82</f>
        <v>#VALUE!</v>
      </c>
      <c r="BY87" s="18" t="e">
        <f t="shared" si="22"/>
        <v>#VALUE!</v>
      </c>
      <c r="BZ87" s="31"/>
      <c r="CA87" s="32"/>
    </row>
    <row r="88" spans="36:79" ht="18" hidden="1" customHeight="1" x14ac:dyDescent="0.15">
      <c r="AJ88" s="277" t="e">
        <f>3*(AM98^2)*AN98/(8*AO98*AP98)</f>
        <v>#VALUE!</v>
      </c>
      <c r="AK88" s="278"/>
      <c r="AL88" s="118" t="e">
        <f t="shared" si="23"/>
        <v>#VALUE!</v>
      </c>
      <c r="AM88" s="118" t="e">
        <f>AL88^3+AJ82*AL88+AK82</f>
        <v>#VALUE!</v>
      </c>
      <c r="AN88" s="118" t="e">
        <f>3*AL88^2+AJ82</f>
        <v>#VALUE!</v>
      </c>
      <c r="AO88" s="118" t="e">
        <f t="shared" si="18"/>
        <v>#VALUE!</v>
      </c>
      <c r="AP88" s="116"/>
      <c r="AQ88" s="117"/>
      <c r="AS88" s="277" t="e">
        <f>3*(AV98^2)*AW98/(8*AX98*AY98)</f>
        <v>#VALUE!</v>
      </c>
      <c r="AT88" s="278"/>
      <c r="AU88" s="118" t="e">
        <f t="shared" si="24"/>
        <v>#VALUE!</v>
      </c>
      <c r="AV88" s="118" t="e">
        <f>AU88^3+AS82*AU88+AT82</f>
        <v>#VALUE!</v>
      </c>
      <c r="AW88" s="118" t="e">
        <f>3*AU88^2+AS82</f>
        <v>#VALUE!</v>
      </c>
      <c r="AX88" s="118" t="e">
        <f t="shared" si="19"/>
        <v>#VALUE!</v>
      </c>
      <c r="AY88" s="116"/>
      <c r="AZ88" s="117"/>
      <c r="BB88" s="277" t="e">
        <f>3*(BE98^2)*BF98/(8*BG98*BH98)</f>
        <v>#VALUE!</v>
      </c>
      <c r="BC88" s="278"/>
      <c r="BD88" s="118" t="e">
        <f t="shared" si="25"/>
        <v>#VALUE!</v>
      </c>
      <c r="BE88" s="118" t="e">
        <f>BD88^3+BB82*BD88+BC82</f>
        <v>#VALUE!</v>
      </c>
      <c r="BF88" s="118" t="e">
        <f>3*BD88^2+BB82</f>
        <v>#VALUE!</v>
      </c>
      <c r="BG88" s="118" t="e">
        <f t="shared" si="20"/>
        <v>#VALUE!</v>
      </c>
      <c r="BH88" s="116"/>
      <c r="BI88" s="117"/>
      <c r="BK88" s="277" t="e">
        <f>3*(BN98^2)*BO98/(8*BP98*BQ98)</f>
        <v>#VALUE!</v>
      </c>
      <c r="BL88" s="278"/>
      <c r="BM88" s="118" t="e">
        <f t="shared" si="26"/>
        <v>#VALUE!</v>
      </c>
      <c r="BN88" s="118" t="e">
        <f>BM88^3+BK82*BM88+BL82</f>
        <v>#VALUE!</v>
      </c>
      <c r="BO88" s="118" t="e">
        <f>3*BM88^2+BK82</f>
        <v>#VALUE!</v>
      </c>
      <c r="BP88" s="118" t="e">
        <f t="shared" si="21"/>
        <v>#VALUE!</v>
      </c>
      <c r="BQ88" s="116"/>
      <c r="BR88" s="117"/>
      <c r="BT88" s="277" t="e">
        <f>3*(BW98^2)*BX98/(8*BY98*BZ98)</f>
        <v>#VALUE!</v>
      </c>
      <c r="BU88" s="278"/>
      <c r="BV88" s="118" t="e">
        <f t="shared" si="27"/>
        <v>#VALUE!</v>
      </c>
      <c r="BW88" s="118" t="e">
        <f>BV88^3+BT82*BV88+BU82</f>
        <v>#VALUE!</v>
      </c>
      <c r="BX88" s="118" t="e">
        <f>3*BV88^2+BT82</f>
        <v>#VALUE!</v>
      </c>
      <c r="BY88" s="118" t="e">
        <f t="shared" si="22"/>
        <v>#VALUE!</v>
      </c>
      <c r="BZ88" s="116"/>
      <c r="CA88" s="117"/>
    </row>
    <row r="89" spans="36:79" ht="18" hidden="1" customHeight="1" x14ac:dyDescent="0.15">
      <c r="AJ89" s="121"/>
      <c r="AK89" s="122"/>
      <c r="AL89" s="118" t="e">
        <f t="shared" si="23"/>
        <v>#VALUE!</v>
      </c>
      <c r="AM89" s="118" t="e">
        <f>AL89^3+AJ82*AL89+AK82</f>
        <v>#VALUE!</v>
      </c>
      <c r="AN89" s="118" t="e">
        <f>3*AL89^2+AJ82</f>
        <v>#VALUE!</v>
      </c>
      <c r="AO89" s="118" t="e">
        <f t="shared" si="18"/>
        <v>#VALUE!</v>
      </c>
      <c r="AP89" s="119"/>
      <c r="AQ89" s="120"/>
      <c r="AS89" s="121"/>
      <c r="AT89" s="122"/>
      <c r="AU89" s="118" t="e">
        <f t="shared" si="24"/>
        <v>#VALUE!</v>
      </c>
      <c r="AV89" s="118" t="e">
        <f>AU89^3+AS82*AU89+AT82</f>
        <v>#VALUE!</v>
      </c>
      <c r="AW89" s="118" t="e">
        <f>3*AU89^2+AS82</f>
        <v>#VALUE!</v>
      </c>
      <c r="AX89" s="118" t="e">
        <f t="shared" si="19"/>
        <v>#VALUE!</v>
      </c>
      <c r="AY89" s="119"/>
      <c r="AZ89" s="120"/>
      <c r="BB89" s="121"/>
      <c r="BC89" s="122"/>
      <c r="BD89" s="118" t="e">
        <f t="shared" si="25"/>
        <v>#VALUE!</v>
      </c>
      <c r="BE89" s="118" t="e">
        <f>BD89^3+BB82*BD89+BC82</f>
        <v>#VALUE!</v>
      </c>
      <c r="BF89" s="118" t="e">
        <f>3*BD89^2+BB82</f>
        <v>#VALUE!</v>
      </c>
      <c r="BG89" s="118" t="e">
        <f t="shared" si="20"/>
        <v>#VALUE!</v>
      </c>
      <c r="BH89" s="119"/>
      <c r="BI89" s="120"/>
      <c r="BK89" s="121"/>
      <c r="BL89" s="122"/>
      <c r="BM89" s="118" t="e">
        <f t="shared" si="26"/>
        <v>#VALUE!</v>
      </c>
      <c r="BN89" s="118" t="e">
        <f>BM89^3+BK82*BM89+BL82</f>
        <v>#VALUE!</v>
      </c>
      <c r="BO89" s="118" t="e">
        <f>3*BM89^2+BK82</f>
        <v>#VALUE!</v>
      </c>
      <c r="BP89" s="118" t="e">
        <f t="shared" si="21"/>
        <v>#VALUE!</v>
      </c>
      <c r="BQ89" s="119"/>
      <c r="BR89" s="120"/>
      <c r="BT89" s="121"/>
      <c r="BU89" s="122"/>
      <c r="BV89" s="118" t="e">
        <f t="shared" si="27"/>
        <v>#VALUE!</v>
      </c>
      <c r="BW89" s="118" t="e">
        <f>BV89^3+BT82*BV89+BU82</f>
        <v>#VALUE!</v>
      </c>
      <c r="BX89" s="118" t="e">
        <f>3*BV89^2+BT82</f>
        <v>#VALUE!</v>
      </c>
      <c r="BY89" s="118" t="e">
        <f t="shared" si="22"/>
        <v>#VALUE!</v>
      </c>
      <c r="BZ89" s="119"/>
      <c r="CA89" s="120"/>
    </row>
    <row r="90" spans="36:79" ht="18" hidden="1" customHeight="1" x14ac:dyDescent="0.15">
      <c r="AJ90" s="269" t="s">
        <v>244</v>
      </c>
      <c r="AK90" s="270"/>
      <c r="AL90" s="118" t="e">
        <f t="shared" si="23"/>
        <v>#VALUE!</v>
      </c>
      <c r="AM90" s="118" t="e">
        <f>AL90^3+AJ82*AL90+AK82</f>
        <v>#VALUE!</v>
      </c>
      <c r="AN90" s="118" t="e">
        <f>3*AL90^2+AJ82</f>
        <v>#VALUE!</v>
      </c>
      <c r="AO90" s="118" t="e">
        <f t="shared" si="18"/>
        <v>#VALUE!</v>
      </c>
      <c r="AP90" s="14" t="s">
        <v>245</v>
      </c>
      <c r="AQ90" s="123" t="e">
        <f>AO96</f>
        <v>#VALUE!</v>
      </c>
      <c r="AS90" s="269" t="s">
        <v>244</v>
      </c>
      <c r="AT90" s="270"/>
      <c r="AU90" s="118" t="e">
        <f t="shared" si="24"/>
        <v>#VALUE!</v>
      </c>
      <c r="AV90" s="118" t="e">
        <f>AU90^3+AS82*AU90+AT82</f>
        <v>#VALUE!</v>
      </c>
      <c r="AW90" s="118" t="e">
        <f>3*AU90^2+AS82</f>
        <v>#VALUE!</v>
      </c>
      <c r="AX90" s="118" t="e">
        <f t="shared" si="19"/>
        <v>#VALUE!</v>
      </c>
      <c r="AY90" s="14" t="s">
        <v>245</v>
      </c>
      <c r="AZ90" s="123" t="e">
        <f>AX96</f>
        <v>#VALUE!</v>
      </c>
      <c r="BB90" s="269" t="s">
        <v>244</v>
      </c>
      <c r="BC90" s="270"/>
      <c r="BD90" s="118" t="e">
        <f t="shared" si="25"/>
        <v>#VALUE!</v>
      </c>
      <c r="BE90" s="118" t="e">
        <f>BD90^3+BB82*BD90+BC82</f>
        <v>#VALUE!</v>
      </c>
      <c r="BF90" s="118" t="e">
        <f>3*BD90^2+BB82</f>
        <v>#VALUE!</v>
      </c>
      <c r="BG90" s="118" t="e">
        <f t="shared" si="20"/>
        <v>#VALUE!</v>
      </c>
      <c r="BH90" s="14" t="s">
        <v>245</v>
      </c>
      <c r="BI90" s="123" t="e">
        <f>BG96</f>
        <v>#VALUE!</v>
      </c>
      <c r="BK90" s="269" t="s">
        <v>244</v>
      </c>
      <c r="BL90" s="270"/>
      <c r="BM90" s="118" t="e">
        <f t="shared" si="26"/>
        <v>#VALUE!</v>
      </c>
      <c r="BN90" s="118" t="e">
        <f>BM90^3+BK82*BM90+BL82</f>
        <v>#VALUE!</v>
      </c>
      <c r="BO90" s="118" t="e">
        <f>3*BM90^2+BK82</f>
        <v>#VALUE!</v>
      </c>
      <c r="BP90" s="118" t="e">
        <f t="shared" si="21"/>
        <v>#VALUE!</v>
      </c>
      <c r="BQ90" s="14" t="s">
        <v>245</v>
      </c>
      <c r="BR90" s="123" t="e">
        <f>BP96</f>
        <v>#VALUE!</v>
      </c>
      <c r="BT90" s="269" t="s">
        <v>244</v>
      </c>
      <c r="BU90" s="270"/>
      <c r="BV90" s="118" t="e">
        <f t="shared" si="27"/>
        <v>#VALUE!</v>
      </c>
      <c r="BW90" s="118" t="e">
        <f>BV90^3+BT82*BV90+BU82</f>
        <v>#VALUE!</v>
      </c>
      <c r="BX90" s="118" t="e">
        <f>3*BV90^2+BT82</f>
        <v>#VALUE!</v>
      </c>
      <c r="BY90" s="118" t="e">
        <f t="shared" si="22"/>
        <v>#VALUE!</v>
      </c>
      <c r="BZ90" s="14" t="s">
        <v>245</v>
      </c>
      <c r="CA90" s="123" t="e">
        <f>BY96</f>
        <v>#VALUE!</v>
      </c>
    </row>
    <row r="91" spans="36:79" ht="18" hidden="1" customHeight="1" x14ac:dyDescent="0.15">
      <c r="AJ91" s="271" t="e">
        <f>AJ88*AL98*AJ98/AK98</f>
        <v>#VALUE!</v>
      </c>
      <c r="AK91" s="272"/>
      <c r="AL91" s="118" t="e">
        <f t="shared" si="23"/>
        <v>#VALUE!</v>
      </c>
      <c r="AM91" s="118" t="e">
        <f>AL91^3+AJ82*AL91+AK82</f>
        <v>#VALUE!</v>
      </c>
      <c r="AN91" s="118" t="e">
        <f>3*AL91^2+AJ82</f>
        <v>#VALUE!</v>
      </c>
      <c r="AO91" s="118" t="e">
        <f t="shared" si="18"/>
        <v>#VALUE!</v>
      </c>
      <c r="AP91" s="14" t="s">
        <v>246</v>
      </c>
      <c r="AQ91" s="124" t="e">
        <f>AJ98*AM98^2/(8*AO96)</f>
        <v>#VALUE!</v>
      </c>
      <c r="AS91" s="271" t="e">
        <f>AS88*AU98*AS98/AT98</f>
        <v>#VALUE!</v>
      </c>
      <c r="AT91" s="272"/>
      <c r="AU91" s="118" t="e">
        <f t="shared" si="24"/>
        <v>#VALUE!</v>
      </c>
      <c r="AV91" s="118" t="e">
        <f>AU91^3+AS82*AU91+AT82</f>
        <v>#VALUE!</v>
      </c>
      <c r="AW91" s="118" t="e">
        <f>3*AU91^2+AS82</f>
        <v>#VALUE!</v>
      </c>
      <c r="AX91" s="118" t="e">
        <f t="shared" si="19"/>
        <v>#VALUE!</v>
      </c>
      <c r="AY91" s="14" t="s">
        <v>246</v>
      </c>
      <c r="AZ91" s="124" t="e">
        <f>AS98*AV98^2/(8*AX96)</f>
        <v>#VALUE!</v>
      </c>
      <c r="BB91" s="271" t="e">
        <f>BB88*BD98*BB98/BC98</f>
        <v>#VALUE!</v>
      </c>
      <c r="BC91" s="272"/>
      <c r="BD91" s="118" t="e">
        <f t="shared" si="25"/>
        <v>#VALUE!</v>
      </c>
      <c r="BE91" s="118" t="e">
        <f>BD91^3+BB82*BD91+BC82</f>
        <v>#VALUE!</v>
      </c>
      <c r="BF91" s="118" t="e">
        <f>3*BD91^2+BB82</f>
        <v>#VALUE!</v>
      </c>
      <c r="BG91" s="118" t="e">
        <f t="shared" si="20"/>
        <v>#VALUE!</v>
      </c>
      <c r="BH91" s="14" t="s">
        <v>246</v>
      </c>
      <c r="BI91" s="124" t="e">
        <f>BB98*BE98^2/(8*BG96)</f>
        <v>#VALUE!</v>
      </c>
      <c r="BK91" s="271" t="e">
        <f>BK88*BM98*BK98/BL98</f>
        <v>#VALUE!</v>
      </c>
      <c r="BL91" s="272"/>
      <c r="BM91" s="118" t="e">
        <f t="shared" si="26"/>
        <v>#VALUE!</v>
      </c>
      <c r="BN91" s="118" t="e">
        <f>BM91^3+BK82*BM91+BL82</f>
        <v>#VALUE!</v>
      </c>
      <c r="BO91" s="118" t="e">
        <f>3*BM91^2+BK82</f>
        <v>#VALUE!</v>
      </c>
      <c r="BP91" s="118" t="e">
        <f t="shared" si="21"/>
        <v>#VALUE!</v>
      </c>
      <c r="BQ91" s="14" t="s">
        <v>246</v>
      </c>
      <c r="BR91" s="124" t="e">
        <f>BK98*BN98^2/(8*BP96)</f>
        <v>#VALUE!</v>
      </c>
      <c r="BT91" s="271" t="e">
        <f>BT88*BV98*BT98/BU98</f>
        <v>#VALUE!</v>
      </c>
      <c r="BU91" s="272"/>
      <c r="BV91" s="118" t="e">
        <f t="shared" si="27"/>
        <v>#VALUE!</v>
      </c>
      <c r="BW91" s="118" t="e">
        <f>BV91^3+BT82*BV91+BU82</f>
        <v>#VALUE!</v>
      </c>
      <c r="BX91" s="118" t="e">
        <f>3*BV91^2+BT82</f>
        <v>#VALUE!</v>
      </c>
      <c r="BY91" s="118" t="e">
        <f t="shared" si="22"/>
        <v>#VALUE!</v>
      </c>
      <c r="BZ91" s="14" t="s">
        <v>246</v>
      </c>
      <c r="CA91" s="124" t="e">
        <f>BT98*BW98^2/(8*BY96)</f>
        <v>#VALUE!</v>
      </c>
    </row>
    <row r="92" spans="36:79" ht="18" hidden="1" customHeight="1" x14ac:dyDescent="0.15">
      <c r="AJ92" s="125"/>
      <c r="AK92" s="126"/>
      <c r="AL92" s="118" t="e">
        <f t="shared" si="23"/>
        <v>#VALUE!</v>
      </c>
      <c r="AM92" s="118" t="e">
        <f>AL92^3+AJ82*AL92+AK82</f>
        <v>#VALUE!</v>
      </c>
      <c r="AN92" s="118" t="e">
        <f>3*AL92^2+AJ82</f>
        <v>#VALUE!</v>
      </c>
      <c r="AO92" s="118" t="e">
        <f t="shared" si="18"/>
        <v>#VALUE!</v>
      </c>
      <c r="AP92" s="116"/>
      <c r="AQ92" s="117"/>
      <c r="AS92" s="125"/>
      <c r="AT92" s="126"/>
      <c r="AU92" s="118" t="e">
        <f t="shared" si="24"/>
        <v>#VALUE!</v>
      </c>
      <c r="AV92" s="118" t="e">
        <f>AU92^3+AS82*AU92+AT82</f>
        <v>#VALUE!</v>
      </c>
      <c r="AW92" s="118" t="e">
        <f>3*AU92^2+AS82</f>
        <v>#VALUE!</v>
      </c>
      <c r="AX92" s="118" t="e">
        <f t="shared" si="19"/>
        <v>#VALUE!</v>
      </c>
      <c r="AY92" s="116"/>
      <c r="AZ92" s="117"/>
      <c r="BB92" s="125"/>
      <c r="BC92" s="126"/>
      <c r="BD92" s="118" t="e">
        <f t="shared" si="25"/>
        <v>#VALUE!</v>
      </c>
      <c r="BE92" s="118" t="e">
        <f>BD92^3+BB82*BD92+BC82</f>
        <v>#VALUE!</v>
      </c>
      <c r="BF92" s="118" t="e">
        <f>3*BD92^2+BB82</f>
        <v>#VALUE!</v>
      </c>
      <c r="BG92" s="118" t="e">
        <f t="shared" si="20"/>
        <v>#VALUE!</v>
      </c>
      <c r="BH92" s="116"/>
      <c r="BI92" s="117"/>
      <c r="BK92" s="125"/>
      <c r="BL92" s="126"/>
      <c r="BM92" s="118" t="e">
        <f t="shared" si="26"/>
        <v>#VALUE!</v>
      </c>
      <c r="BN92" s="118" t="e">
        <f>BM92^3+BK82*BM92+BL82</f>
        <v>#VALUE!</v>
      </c>
      <c r="BO92" s="118" t="e">
        <f>3*BM92^2+BK82</f>
        <v>#VALUE!</v>
      </c>
      <c r="BP92" s="118" t="e">
        <f t="shared" si="21"/>
        <v>#VALUE!</v>
      </c>
      <c r="BQ92" s="116"/>
      <c r="BR92" s="117"/>
      <c r="BT92" s="125"/>
      <c r="BU92" s="126"/>
      <c r="BV92" s="118" t="e">
        <f t="shared" si="27"/>
        <v>#VALUE!</v>
      </c>
      <c r="BW92" s="118" t="e">
        <f>BV92^3+BT82*BV92+BU82</f>
        <v>#VALUE!</v>
      </c>
      <c r="BX92" s="118" t="e">
        <f>3*BV92^2+BT82</f>
        <v>#VALUE!</v>
      </c>
      <c r="BY92" s="118" t="e">
        <f t="shared" si="22"/>
        <v>#VALUE!</v>
      </c>
      <c r="BZ92" s="116"/>
      <c r="CA92" s="117"/>
    </row>
    <row r="93" spans="36:79" ht="18" hidden="1" customHeight="1" x14ac:dyDescent="0.15">
      <c r="AJ93" s="125"/>
      <c r="AK93" s="126"/>
      <c r="AL93" s="118" t="e">
        <f t="shared" si="23"/>
        <v>#VALUE!</v>
      </c>
      <c r="AM93" s="118" t="e">
        <f>AL93^3+AJ82*AL93+AK82</f>
        <v>#VALUE!</v>
      </c>
      <c r="AN93" s="118" t="e">
        <f>3*AL93^2+AJ82</f>
        <v>#VALUE!</v>
      </c>
      <c r="AO93" s="118" t="e">
        <f t="shared" si="18"/>
        <v>#VALUE!</v>
      </c>
      <c r="AP93" s="112" t="s">
        <v>147</v>
      </c>
      <c r="AQ93" s="113">
        <v>-15</v>
      </c>
      <c r="AS93" s="125"/>
      <c r="AT93" s="126"/>
      <c r="AU93" s="118" t="e">
        <f t="shared" si="24"/>
        <v>#VALUE!</v>
      </c>
      <c r="AV93" s="118" t="e">
        <f>AU93^3+AS82*AU93+AT82</f>
        <v>#VALUE!</v>
      </c>
      <c r="AW93" s="118" t="e">
        <f>3*AU93^2+AS82</f>
        <v>#VALUE!</v>
      </c>
      <c r="AX93" s="118" t="e">
        <f t="shared" si="19"/>
        <v>#VALUE!</v>
      </c>
      <c r="AY93" s="112" t="s">
        <v>147</v>
      </c>
      <c r="AZ93" s="113">
        <v>-15</v>
      </c>
      <c r="BB93" s="125"/>
      <c r="BC93" s="126"/>
      <c r="BD93" s="118" t="e">
        <f t="shared" si="25"/>
        <v>#VALUE!</v>
      </c>
      <c r="BE93" s="118" t="e">
        <f>BD93^3+BB82*BD93+BC82</f>
        <v>#VALUE!</v>
      </c>
      <c r="BF93" s="118" t="e">
        <f>3*BD93^2+BB82</f>
        <v>#VALUE!</v>
      </c>
      <c r="BG93" s="118" t="e">
        <f t="shared" si="20"/>
        <v>#VALUE!</v>
      </c>
      <c r="BH93" s="112" t="s">
        <v>147</v>
      </c>
      <c r="BI93" s="113">
        <v>-15</v>
      </c>
      <c r="BK93" s="125"/>
      <c r="BL93" s="126"/>
      <c r="BM93" s="118" t="e">
        <f t="shared" si="26"/>
        <v>#VALUE!</v>
      </c>
      <c r="BN93" s="118" t="e">
        <f>BM93^3+BK82*BM93+BL82</f>
        <v>#VALUE!</v>
      </c>
      <c r="BO93" s="118" t="e">
        <f>3*BM93^2+BK82</f>
        <v>#VALUE!</v>
      </c>
      <c r="BP93" s="118" t="e">
        <f t="shared" si="21"/>
        <v>#VALUE!</v>
      </c>
      <c r="BQ93" s="112" t="s">
        <v>147</v>
      </c>
      <c r="BR93" s="113">
        <v>-15</v>
      </c>
      <c r="BT93" s="125"/>
      <c r="BU93" s="126"/>
      <c r="BV93" s="118" t="e">
        <f t="shared" si="27"/>
        <v>#VALUE!</v>
      </c>
      <c r="BW93" s="118" t="e">
        <f>BV93^3+BT82*BV93+BU82</f>
        <v>#VALUE!</v>
      </c>
      <c r="BX93" s="118" t="e">
        <f>3*BV93^2+BT82</f>
        <v>#VALUE!</v>
      </c>
      <c r="BY93" s="118" t="e">
        <f t="shared" si="22"/>
        <v>#VALUE!</v>
      </c>
      <c r="BZ93" s="112" t="s">
        <v>147</v>
      </c>
      <c r="CA93" s="113">
        <v>-15</v>
      </c>
    </row>
    <row r="94" spans="36:79" ht="18" hidden="1" customHeight="1" x14ac:dyDescent="0.15">
      <c r="AJ94" s="125"/>
      <c r="AK94" s="126"/>
      <c r="AL94" s="118" t="e">
        <f t="shared" si="23"/>
        <v>#VALUE!</v>
      </c>
      <c r="AM94" s="118" t="e">
        <f>AL94^3+AJ82*AL94+AK82</f>
        <v>#VALUE!</v>
      </c>
      <c r="AN94" s="118" t="e">
        <f>3*AL94^2+AJ82</f>
        <v>#VALUE!</v>
      </c>
      <c r="AO94" s="118" t="e">
        <f t="shared" si="18"/>
        <v>#VALUE!</v>
      </c>
      <c r="AP94" s="128" t="s">
        <v>218</v>
      </c>
      <c r="AQ94" s="32"/>
      <c r="AS94" s="125"/>
      <c r="AT94" s="126"/>
      <c r="AU94" s="118" t="e">
        <f t="shared" si="24"/>
        <v>#VALUE!</v>
      </c>
      <c r="AV94" s="118" t="e">
        <f>AU94^3+AS82*AU94+AT82</f>
        <v>#VALUE!</v>
      </c>
      <c r="AW94" s="118" t="e">
        <f>3*AU94^2+AS82</f>
        <v>#VALUE!</v>
      </c>
      <c r="AX94" s="118" t="e">
        <f t="shared" si="19"/>
        <v>#VALUE!</v>
      </c>
      <c r="AY94" s="128" t="s">
        <v>219</v>
      </c>
      <c r="AZ94" s="32"/>
      <c r="BB94" s="125"/>
      <c r="BC94" s="126"/>
      <c r="BD94" s="118" t="e">
        <f t="shared" si="25"/>
        <v>#VALUE!</v>
      </c>
      <c r="BE94" s="118" t="e">
        <f>BD94^3+BB82*BD94+BC82</f>
        <v>#VALUE!</v>
      </c>
      <c r="BF94" s="118" t="e">
        <f>3*BD94^2+BB82</f>
        <v>#VALUE!</v>
      </c>
      <c r="BG94" s="118" t="e">
        <f t="shared" si="20"/>
        <v>#VALUE!</v>
      </c>
      <c r="BH94" s="128" t="s">
        <v>220</v>
      </c>
      <c r="BI94" s="32"/>
      <c r="BK94" s="125"/>
      <c r="BL94" s="126"/>
      <c r="BM94" s="118" t="e">
        <f t="shared" si="26"/>
        <v>#VALUE!</v>
      </c>
      <c r="BN94" s="118" t="e">
        <f>BM94^3+BK82*BM94+BL82</f>
        <v>#VALUE!</v>
      </c>
      <c r="BO94" s="118" t="e">
        <f>3*BM94^2+BK82</f>
        <v>#VALUE!</v>
      </c>
      <c r="BP94" s="118" t="e">
        <f t="shared" si="21"/>
        <v>#VALUE!</v>
      </c>
      <c r="BQ94" s="128" t="s">
        <v>221</v>
      </c>
      <c r="BR94" s="32"/>
      <c r="BT94" s="125"/>
      <c r="BU94" s="126"/>
      <c r="BV94" s="118" t="e">
        <f t="shared" si="27"/>
        <v>#VALUE!</v>
      </c>
      <c r="BW94" s="118" t="e">
        <f>BV94^3+BT82*BV94+BU82</f>
        <v>#VALUE!</v>
      </c>
      <c r="BX94" s="118" t="e">
        <f>3*BV94^2+BT82</f>
        <v>#VALUE!</v>
      </c>
      <c r="BY94" s="118" t="e">
        <f t="shared" si="22"/>
        <v>#VALUE!</v>
      </c>
      <c r="BZ94" s="128" t="s">
        <v>222</v>
      </c>
      <c r="CA94" s="32"/>
    </row>
    <row r="95" spans="36:79" ht="18" hidden="1" customHeight="1" x14ac:dyDescent="0.15">
      <c r="AJ95" s="125"/>
      <c r="AK95" s="126"/>
      <c r="AL95" s="18" t="e">
        <f t="shared" si="23"/>
        <v>#VALUE!</v>
      </c>
      <c r="AM95" s="18" t="e">
        <f>AL95^3+AJ82*AL95+AK82</f>
        <v>#VALUE!</v>
      </c>
      <c r="AN95" s="18" t="e">
        <f>3*AL95^2+AJ82</f>
        <v>#VALUE!</v>
      </c>
      <c r="AO95" s="18" t="e">
        <f t="shared" si="18"/>
        <v>#VALUE!</v>
      </c>
      <c r="AP95" s="283" t="str">
        <f>M50</f>
        <v>無 着 氷 雪 時
-15[℃],50[Kg/ｍ2]</v>
      </c>
      <c r="AQ95" s="284"/>
      <c r="AS95" s="125"/>
      <c r="AT95" s="126"/>
      <c r="AU95" s="18" t="e">
        <f t="shared" si="24"/>
        <v>#VALUE!</v>
      </c>
      <c r="AV95" s="18" t="e">
        <f>AU95^3+AS82*AU95+AT82</f>
        <v>#VALUE!</v>
      </c>
      <c r="AW95" s="18" t="e">
        <f>3*AU95^2+AS82</f>
        <v>#VALUE!</v>
      </c>
      <c r="AX95" s="18" t="e">
        <f t="shared" si="19"/>
        <v>#VALUE!</v>
      </c>
      <c r="AY95" s="283" t="str">
        <f>M50</f>
        <v>無 着 氷 雪 時
-15[℃],50[Kg/ｍ2]</v>
      </c>
      <c r="AZ95" s="284"/>
      <c r="BB95" s="125"/>
      <c r="BC95" s="126"/>
      <c r="BD95" s="18" t="e">
        <f t="shared" si="25"/>
        <v>#VALUE!</v>
      </c>
      <c r="BE95" s="18" t="e">
        <f>BD95^3+BB82*BD95+BC82</f>
        <v>#VALUE!</v>
      </c>
      <c r="BF95" s="18" t="e">
        <f>3*BD95^2+BB82</f>
        <v>#VALUE!</v>
      </c>
      <c r="BG95" s="18" t="e">
        <f t="shared" si="20"/>
        <v>#VALUE!</v>
      </c>
      <c r="BH95" s="283" t="str">
        <f>M50</f>
        <v>無 着 氷 雪 時
-15[℃],50[Kg/ｍ2]</v>
      </c>
      <c r="BI95" s="284"/>
      <c r="BK95" s="125"/>
      <c r="BL95" s="126"/>
      <c r="BM95" s="18" t="e">
        <f t="shared" si="26"/>
        <v>#VALUE!</v>
      </c>
      <c r="BN95" s="18" t="e">
        <f>BM95^3+BK82*BM95+BL82</f>
        <v>#VALUE!</v>
      </c>
      <c r="BO95" s="18" t="e">
        <f>3*BM95^2+BK82</f>
        <v>#VALUE!</v>
      </c>
      <c r="BP95" s="18" t="e">
        <f t="shared" si="21"/>
        <v>#VALUE!</v>
      </c>
      <c r="BQ95" s="283" t="str">
        <f>M50</f>
        <v>無 着 氷 雪 時
-15[℃],50[Kg/ｍ2]</v>
      </c>
      <c r="BR95" s="284"/>
      <c r="BT95" s="125"/>
      <c r="BU95" s="126"/>
      <c r="BV95" s="18" t="e">
        <f t="shared" si="27"/>
        <v>#VALUE!</v>
      </c>
      <c r="BW95" s="18" t="e">
        <f>BV95^3+BT82*BV95+BU82</f>
        <v>#VALUE!</v>
      </c>
      <c r="BX95" s="18" t="e">
        <f>3*BV95^2+BT82</f>
        <v>#VALUE!</v>
      </c>
      <c r="BY95" s="18" t="e">
        <f t="shared" si="22"/>
        <v>#VALUE!</v>
      </c>
      <c r="BZ95" s="283" t="str">
        <f>M50</f>
        <v>無 着 氷 雪 時
-15[℃],50[Kg/ｍ2]</v>
      </c>
      <c r="CA95" s="284"/>
    </row>
    <row r="96" spans="36:79" ht="18" hidden="1" customHeight="1" thickBot="1" x14ac:dyDescent="0.2">
      <c r="AJ96" s="125"/>
      <c r="AK96" s="126"/>
      <c r="AL96" s="114" t="e">
        <f t="shared" si="23"/>
        <v>#VALUE!</v>
      </c>
      <c r="AM96" s="115" t="e">
        <f>AL96^3+AJ82*AL96+AK82</f>
        <v>#VALUE!</v>
      </c>
      <c r="AN96" s="115" t="e">
        <f>3*AL96^2+AJ82</f>
        <v>#VALUE!</v>
      </c>
      <c r="AO96" s="115" t="e">
        <f t="shared" si="18"/>
        <v>#VALUE!</v>
      </c>
      <c r="AP96" s="285"/>
      <c r="AQ96" s="286"/>
      <c r="AS96" s="125"/>
      <c r="AT96" s="126"/>
      <c r="AU96" s="114" t="e">
        <f t="shared" si="24"/>
        <v>#VALUE!</v>
      </c>
      <c r="AV96" s="115" t="e">
        <f>AU96^3+AS82*AU96+AT82</f>
        <v>#VALUE!</v>
      </c>
      <c r="AW96" s="115" t="e">
        <f>3*AU96^2+AS82</f>
        <v>#VALUE!</v>
      </c>
      <c r="AX96" s="115" t="e">
        <f t="shared" si="19"/>
        <v>#VALUE!</v>
      </c>
      <c r="AY96" s="285"/>
      <c r="AZ96" s="286"/>
      <c r="BB96" s="125"/>
      <c r="BC96" s="126"/>
      <c r="BD96" s="114" t="e">
        <f t="shared" si="25"/>
        <v>#VALUE!</v>
      </c>
      <c r="BE96" s="115" t="e">
        <f>BD96^3+BB82*BD96+BC82</f>
        <v>#VALUE!</v>
      </c>
      <c r="BF96" s="115" t="e">
        <f>3*BD96^2+BB82</f>
        <v>#VALUE!</v>
      </c>
      <c r="BG96" s="115" t="e">
        <f t="shared" si="20"/>
        <v>#VALUE!</v>
      </c>
      <c r="BH96" s="285"/>
      <c r="BI96" s="286"/>
      <c r="BK96" s="125"/>
      <c r="BL96" s="126"/>
      <c r="BM96" s="114" t="e">
        <f t="shared" si="26"/>
        <v>#VALUE!</v>
      </c>
      <c r="BN96" s="115" t="e">
        <f>BM96^3+BK82*BM96+BL82</f>
        <v>#VALUE!</v>
      </c>
      <c r="BO96" s="115" t="e">
        <f>3*BM96^2+BK82</f>
        <v>#VALUE!</v>
      </c>
      <c r="BP96" s="115" t="e">
        <f t="shared" si="21"/>
        <v>#VALUE!</v>
      </c>
      <c r="BQ96" s="285"/>
      <c r="BR96" s="286"/>
      <c r="BT96" s="125"/>
      <c r="BU96" s="126"/>
      <c r="BV96" s="114" t="e">
        <f t="shared" si="27"/>
        <v>#VALUE!</v>
      </c>
      <c r="BW96" s="115" t="e">
        <f>BV96^3+BT82*BV96+BU82</f>
        <v>#VALUE!</v>
      </c>
      <c r="BX96" s="115" t="e">
        <f>3*BV96^2+BT82</f>
        <v>#VALUE!</v>
      </c>
      <c r="BY96" s="115" t="e">
        <f t="shared" si="22"/>
        <v>#VALUE!</v>
      </c>
      <c r="BZ96" s="285"/>
      <c r="CA96" s="286"/>
    </row>
    <row r="97" spans="36:79" ht="18" hidden="1" customHeight="1" x14ac:dyDescent="0.15">
      <c r="AJ97" s="62" t="s">
        <v>223</v>
      </c>
      <c r="AK97" s="12" t="s">
        <v>224</v>
      </c>
      <c r="AL97" s="12" t="s">
        <v>225</v>
      </c>
      <c r="AM97" s="12" t="s">
        <v>226</v>
      </c>
      <c r="AN97" s="12" t="s">
        <v>227</v>
      </c>
      <c r="AO97" s="63" t="s">
        <v>228</v>
      </c>
      <c r="AP97" s="12" t="s">
        <v>229</v>
      </c>
      <c r="AQ97" s="13" t="s">
        <v>230</v>
      </c>
      <c r="AS97" s="62" t="s">
        <v>223</v>
      </c>
      <c r="AT97" s="12" t="s">
        <v>224</v>
      </c>
      <c r="AU97" s="12" t="s">
        <v>225</v>
      </c>
      <c r="AV97" s="12" t="s">
        <v>226</v>
      </c>
      <c r="AW97" s="12" t="s">
        <v>227</v>
      </c>
      <c r="AX97" s="63" t="s">
        <v>228</v>
      </c>
      <c r="AY97" s="12" t="s">
        <v>229</v>
      </c>
      <c r="AZ97" s="13" t="s">
        <v>230</v>
      </c>
      <c r="BB97" s="62" t="s">
        <v>223</v>
      </c>
      <c r="BC97" s="12" t="s">
        <v>224</v>
      </c>
      <c r="BD97" s="12" t="s">
        <v>225</v>
      </c>
      <c r="BE97" s="12" t="s">
        <v>226</v>
      </c>
      <c r="BF97" s="12" t="s">
        <v>227</v>
      </c>
      <c r="BG97" s="63" t="s">
        <v>228</v>
      </c>
      <c r="BH97" s="12" t="s">
        <v>229</v>
      </c>
      <c r="BI97" s="13" t="s">
        <v>230</v>
      </c>
      <c r="BK97" s="62" t="s">
        <v>223</v>
      </c>
      <c r="BL97" s="12" t="s">
        <v>224</v>
      </c>
      <c r="BM97" s="12" t="s">
        <v>225</v>
      </c>
      <c r="BN97" s="12" t="s">
        <v>226</v>
      </c>
      <c r="BO97" s="12" t="s">
        <v>227</v>
      </c>
      <c r="BP97" s="63" t="s">
        <v>228</v>
      </c>
      <c r="BQ97" s="12" t="s">
        <v>229</v>
      </c>
      <c r="BR97" s="13" t="s">
        <v>230</v>
      </c>
      <c r="BT97" s="62" t="s">
        <v>223</v>
      </c>
      <c r="BU97" s="12" t="s">
        <v>224</v>
      </c>
      <c r="BV97" s="12" t="s">
        <v>225</v>
      </c>
      <c r="BW97" s="12" t="s">
        <v>226</v>
      </c>
      <c r="BX97" s="12" t="s">
        <v>227</v>
      </c>
      <c r="BY97" s="63" t="s">
        <v>228</v>
      </c>
      <c r="BZ97" s="12" t="s">
        <v>229</v>
      </c>
      <c r="CA97" s="13" t="s">
        <v>230</v>
      </c>
    </row>
    <row r="98" spans="36:79" ht="18" hidden="1" customHeight="1" thickBot="1" x14ac:dyDescent="0.2">
      <c r="AJ98" s="107" t="str">
        <f>Q23</f>
        <v/>
      </c>
      <c r="AK98" s="108" t="e">
        <f>M23+U23</f>
        <v>#VALUE!</v>
      </c>
      <c r="AL98" s="108">
        <f>IF(C33="",L19*(F19/40)^2,C33)</f>
        <v>0</v>
      </c>
      <c r="AM98" s="108">
        <f>F19</f>
        <v>0</v>
      </c>
      <c r="AN98" s="108" t="e">
        <f>AK78*1600/(8*L19)</f>
        <v>#VALUE!</v>
      </c>
      <c r="AO98" s="109">
        <f>V23</f>
        <v>0</v>
      </c>
      <c r="AP98" s="108" t="str">
        <f>L23</f>
        <v/>
      </c>
      <c r="AQ98" s="110">
        <f>W23</f>
        <v>0</v>
      </c>
      <c r="AS98" s="107" t="str">
        <f>IF(B24="使用電線-2",Q24,IF(B25="使用電線-2",Q25,IF(B26="使用電線-2",Q26,IF(B27="使用電線-2",Q27,IF(B28="使用電線-2",Q28,IF(B29="使用電線-2",Q29,""))))))</f>
        <v/>
      </c>
      <c r="AT98" s="108" t="str">
        <f>IF(B24="使用電線-2",M24+U24,IF(B25="使用電線-2",M25+U25,IF(B26="使用電線-2",M26+U26,IF(B27="使用電線-2",M27+U27,IF(B28="使用電線-2",M28+U28,IF(B29="使用電線-2",M29+U29,""))))))</f>
        <v/>
      </c>
      <c r="AU98" s="108">
        <f>IF(I33="",L19*(F19/40)^2,I33)</f>
        <v>0</v>
      </c>
      <c r="AV98" s="108">
        <f>F19</f>
        <v>0</v>
      </c>
      <c r="AW98" s="108" t="e">
        <f>AT98*1600/(8*L19)</f>
        <v>#VALUE!</v>
      </c>
      <c r="AX98" s="109" t="str">
        <f>IF(B24="使用電線-2",V24,IF(B25="使用電線-2",V25,IF(B26="使用電線-2",V26,IF(B27="使用電線-2",V27,IF(B28="使用電線-2",V28,IF(B29="使用電線-2",V29,""))))))</f>
        <v/>
      </c>
      <c r="AY98" s="108" t="str">
        <f>IF(B24="使用電線-2",L24,IF(B25="使用電線-2",L25,IF(B26="使用電線-2",L26,IF(B27="使用電線-2",L27,IF(B28="使用電線-2",L28,IF(B29="使用電線-2",L29,""))))))</f>
        <v/>
      </c>
      <c r="AZ98" s="110" t="str">
        <f>IF(B24="使用電線-2",W24,IF(B25="使用電線-2",W25,IF(B26="使用電線-2",W26,IF(B27="使用電線-2",W27,IF(B28="使用電線-2",W28,IF(B29="使用電線-2",W29,""))))))</f>
        <v/>
      </c>
      <c r="BB98" s="107" t="str">
        <f>IF(B25="使用電線-3",Q25,IF(B26="使用電線-3",Q26,IF(B27="使用電線-3",Q27,IF(B28="使用電線-3",Q28,IF(B29="使用電線-3",Q29,"")))))</f>
        <v/>
      </c>
      <c r="BC98" s="108" t="str">
        <f>IF(B25="使用電線-3",M25+U25,IF(B26="使用電線-3",M26+U26,IF(B27="使用電線-3",M27+U27,IF(B28="使用電線-3",M28+U28,IF(B29="使用電線-3",M29+U29,"")))))</f>
        <v/>
      </c>
      <c r="BD98" s="108">
        <f>IF(N33="",L19*(F19/40)^2,N33)</f>
        <v>0</v>
      </c>
      <c r="BE98" s="108">
        <f>F19</f>
        <v>0</v>
      </c>
      <c r="BF98" s="108" t="e">
        <f>BC98*1600/(8*L19)</f>
        <v>#VALUE!</v>
      </c>
      <c r="BG98" s="109" t="str">
        <f>IF(B25="使用電線-3",V25,IF(B26="使用電線-3",V26,IF(B27="使用電線-3",V27,IF(B28="使用電線-3",V28,IF(B29="使用電線-3",V29,"")))))</f>
        <v/>
      </c>
      <c r="BH98" s="108" t="str">
        <f>IF(B25="使用電線-3",L25,IF(B26="使用電線-3",L26,IF(B27="使用電線-3",L27,IF(B28="使用電線-3",L28,IF(B29="使用電線-3",L29,"")))))</f>
        <v/>
      </c>
      <c r="BI98" s="110" t="str">
        <f>IF(B25="使用電線-3",W25,IF(B26="使用電線-3",W26,IF(B27="使用電線-3",W27,IF(B28="使用電線-3",W28,IF(B29="使用電線-3",W29,"")))))</f>
        <v/>
      </c>
      <c r="BK98" s="107" t="str">
        <f>IF(B26="使用電線-4",Q26,IF(B27="使用電線-4",Q27,IF(B28="使用電線-4",Q28,IF(B29="使用電線-4",Q29,""))))</f>
        <v/>
      </c>
      <c r="BL98" s="108" t="str">
        <f>IF(B26="使用電線-4",M26+U26,IF(B27="使用電線-4",M27+U27,IF(B28="使用電線-4",M28+U28,IF(B29="使用電線-4",M29+U29,""))))</f>
        <v/>
      </c>
      <c r="BM98" s="108">
        <f>IF(C47="",L19*(F19/40)^2,C47)</f>
        <v>0</v>
      </c>
      <c r="BN98" s="108">
        <f>F19</f>
        <v>0</v>
      </c>
      <c r="BO98" s="127" t="e">
        <f>BL98*1600/(8*L19)</f>
        <v>#VALUE!</v>
      </c>
      <c r="BP98" s="109" t="str">
        <f>IF(B26="使用電線-4",V26,IF(B27="使用電線-4",V27,IF(B28="使用電線-4",V28,IF(B29="使用電線-4",V29,""))))</f>
        <v/>
      </c>
      <c r="BQ98" s="108" t="str">
        <f>IF(B26="使用電線-4",L26,IF(B27="使用電線-4",L27,IF(B28="使用電線-4",L28,IF(B29="使用電線-4",L29,""))))</f>
        <v/>
      </c>
      <c r="BR98" s="110" t="str">
        <f>IF(B26="使用電線-4",W26,IF(B27="使用電線-4",W27,IF(B28="使用電線-4",W28,IF(B29="使用電線-4",W29,""))))</f>
        <v/>
      </c>
      <c r="BT98" s="107" t="str">
        <f>IF(B27="使用電線-5",Q27,IF(B28="使用電線-5",Q28,IF(B29="使用電線-5",Q29,"")))</f>
        <v/>
      </c>
      <c r="BU98" s="108" t="str">
        <f>IF(B27="使用電線-5",M27+U27,IF(B28="使用電線-5",M28+U28,IF(B29="使用電線-5",M29+U29,"")))</f>
        <v/>
      </c>
      <c r="BV98" s="108">
        <f>IF(I47="",L19*(F19/40)^2,I47)</f>
        <v>0</v>
      </c>
      <c r="BW98" s="108">
        <f>F19</f>
        <v>0</v>
      </c>
      <c r="BX98" s="127" t="e">
        <f>BU98*1600/(8*L19)</f>
        <v>#VALUE!</v>
      </c>
      <c r="BY98" s="109" t="str">
        <f>IF(B27="使用電線-5",V27,IF(B28="使用電線-5",V28,IF(B29="使用電線-5",V29,"")))</f>
        <v/>
      </c>
      <c r="BZ98" s="108" t="str">
        <f>IF(B27="使用電線-5",L27,IF(B28="使用電線-5",L28,IF(B29="使用電線-5",L29,"")))</f>
        <v/>
      </c>
      <c r="CA98" s="110" t="str">
        <f>IF(B27="使用電線-5",W27,IF(B28="使用電線-5",W28,IF(B29="使用電線-5",W29,"")))</f>
        <v/>
      </c>
    </row>
    <row r="99" spans="36:79" ht="18" hidden="1" customHeight="1" x14ac:dyDescent="0.15"/>
    <row r="100" spans="36:79" ht="18" hidden="1" customHeight="1" thickBot="1" x14ac:dyDescent="0.2"/>
    <row r="101" spans="36:79" ht="18" hidden="1" customHeight="1" x14ac:dyDescent="0.15">
      <c r="AJ101" s="2" t="s">
        <v>232</v>
      </c>
      <c r="AK101" s="111" t="s">
        <v>233</v>
      </c>
      <c r="AL101" s="12" t="s">
        <v>234</v>
      </c>
      <c r="AM101" s="12" t="s">
        <v>235</v>
      </c>
      <c r="AN101" s="12" t="s">
        <v>236</v>
      </c>
      <c r="AO101" s="12" t="s">
        <v>237</v>
      </c>
      <c r="AP101" s="12" t="s">
        <v>238</v>
      </c>
      <c r="AQ101" s="13" t="s">
        <v>239</v>
      </c>
      <c r="AS101" s="2" t="s">
        <v>232</v>
      </c>
      <c r="AT101" s="111" t="s">
        <v>233</v>
      </c>
      <c r="AU101" s="12" t="s">
        <v>234</v>
      </c>
      <c r="AV101" s="12" t="s">
        <v>235</v>
      </c>
      <c r="AW101" s="12" t="s">
        <v>236</v>
      </c>
      <c r="AX101" s="12" t="s">
        <v>237</v>
      </c>
      <c r="AY101" s="12" t="s">
        <v>238</v>
      </c>
      <c r="AZ101" s="13" t="s">
        <v>239</v>
      </c>
      <c r="BB101" s="2" t="s">
        <v>232</v>
      </c>
      <c r="BC101" s="111" t="s">
        <v>233</v>
      </c>
      <c r="BD101" s="12" t="s">
        <v>234</v>
      </c>
      <c r="BE101" s="12" t="s">
        <v>235</v>
      </c>
      <c r="BF101" s="12" t="s">
        <v>236</v>
      </c>
      <c r="BG101" s="12" t="s">
        <v>237</v>
      </c>
      <c r="BH101" s="12" t="s">
        <v>238</v>
      </c>
      <c r="BI101" s="13" t="s">
        <v>239</v>
      </c>
      <c r="BK101" s="2" t="s">
        <v>232</v>
      </c>
      <c r="BL101" s="111" t="s">
        <v>233</v>
      </c>
      <c r="BM101" s="12" t="s">
        <v>234</v>
      </c>
      <c r="BN101" s="12" t="s">
        <v>235</v>
      </c>
      <c r="BO101" s="12" t="s">
        <v>236</v>
      </c>
      <c r="BP101" s="12" t="s">
        <v>237</v>
      </c>
      <c r="BQ101" s="12" t="s">
        <v>238</v>
      </c>
      <c r="BR101" s="13" t="s">
        <v>239</v>
      </c>
      <c r="BT101" s="2" t="s">
        <v>232</v>
      </c>
      <c r="BU101" s="111" t="s">
        <v>233</v>
      </c>
      <c r="BV101" s="12" t="s">
        <v>234</v>
      </c>
      <c r="BW101" s="12" t="s">
        <v>235</v>
      </c>
      <c r="BX101" s="12" t="s">
        <v>236</v>
      </c>
      <c r="BY101" s="12" t="s">
        <v>237</v>
      </c>
      <c r="BZ101" s="12" t="s">
        <v>238</v>
      </c>
      <c r="CA101" s="13" t="s">
        <v>239</v>
      </c>
    </row>
    <row r="102" spans="36:79" ht="18" hidden="1" customHeight="1" x14ac:dyDescent="0.15">
      <c r="AJ102" s="16" t="e">
        <f>-AJ105+AJ108</f>
        <v>#VALUE!</v>
      </c>
      <c r="AK102" s="17" t="e">
        <f>-AJ111</f>
        <v>#VALUE!</v>
      </c>
      <c r="AL102" s="18" t="e">
        <f>IF(AND(AP105&lt;0,AQ105&lt;0),AQ102*1.2,IF(AND(AP105&gt;0,AQ105&gt;0),AP102*0.8,10))</f>
        <v>#VALUE!</v>
      </c>
      <c r="AM102" s="18" t="e">
        <f>AL102^3+AJ102*AL102+AK102</f>
        <v>#VALUE!</v>
      </c>
      <c r="AN102" s="18" t="e">
        <f>3*AL102^2+AJ102</f>
        <v>#VALUE!</v>
      </c>
      <c r="AO102" s="18" t="e">
        <f t="shared" ref="AO102:AO116" si="28">AL102-AM102/AN102</f>
        <v>#VALUE!</v>
      </c>
      <c r="AP102" s="18" t="e">
        <f>-SQRT(ABS(-4*3*AJ102))/6</f>
        <v>#VALUE!</v>
      </c>
      <c r="AQ102" s="19" t="e">
        <f>SQRT(ABS(-4*3*AJ102))/6</f>
        <v>#VALUE!</v>
      </c>
      <c r="AS102" s="16" t="e">
        <f>-AS105+AS108</f>
        <v>#VALUE!</v>
      </c>
      <c r="AT102" s="17" t="e">
        <f>-AS111</f>
        <v>#VALUE!</v>
      </c>
      <c r="AU102" s="18" t="e">
        <f>IF(AND(AY105&lt;0,AZ105&lt;0),AZ102*1.2,IF(AND(AY105&gt;0,AZ105&gt;0),AY102*0.8,10))</f>
        <v>#VALUE!</v>
      </c>
      <c r="AV102" s="18" t="e">
        <f>AU102^3+AS102*AU102+AT102</f>
        <v>#VALUE!</v>
      </c>
      <c r="AW102" s="18" t="e">
        <f>3*AU102^2+AS102</f>
        <v>#VALUE!</v>
      </c>
      <c r="AX102" s="18" t="e">
        <f t="shared" ref="AX102:AX116" si="29">AU102-AV102/AW102</f>
        <v>#VALUE!</v>
      </c>
      <c r="AY102" s="18" t="e">
        <f>-SQRT(ABS(-4*3*AS102))/6</f>
        <v>#VALUE!</v>
      </c>
      <c r="AZ102" s="19" t="e">
        <f>SQRT(ABS(-4*3*AS102))/6</f>
        <v>#VALUE!</v>
      </c>
      <c r="BB102" s="16" t="e">
        <f>-BB105+BB108</f>
        <v>#VALUE!</v>
      </c>
      <c r="BC102" s="17" t="e">
        <f>-BB111</f>
        <v>#VALUE!</v>
      </c>
      <c r="BD102" s="18" t="e">
        <f>IF(AND(BH105&lt;0,BI105&lt;0),BI102*1.2,IF(AND(BH105&gt;0,BI105&gt;0),BH102*0.8,10))</f>
        <v>#VALUE!</v>
      </c>
      <c r="BE102" s="18" t="e">
        <f>BD102^3+BB102*BD102+BC102</f>
        <v>#VALUE!</v>
      </c>
      <c r="BF102" s="18" t="e">
        <f>3*BD102^2+BB102</f>
        <v>#VALUE!</v>
      </c>
      <c r="BG102" s="18" t="e">
        <f t="shared" ref="BG102:BG116" si="30">BD102-BE102/BF102</f>
        <v>#VALUE!</v>
      </c>
      <c r="BH102" s="18" t="e">
        <f>-SQRT(ABS(-4*3*BB102))/6</f>
        <v>#VALUE!</v>
      </c>
      <c r="BI102" s="19" t="e">
        <f>SQRT(ABS(-4*3*BB102))/6</f>
        <v>#VALUE!</v>
      </c>
      <c r="BK102" s="16" t="e">
        <f>-BK105+BK108</f>
        <v>#VALUE!</v>
      </c>
      <c r="BL102" s="17" t="e">
        <f>-BK111</f>
        <v>#VALUE!</v>
      </c>
      <c r="BM102" s="18" t="e">
        <f>IF(AND(BQ105&lt;0,BR105&lt;0),BR102*1.2,IF(AND(BQ105&gt;0,BR105&gt;0),BQ102*0.8,10))</f>
        <v>#VALUE!</v>
      </c>
      <c r="BN102" s="18" t="e">
        <f>BM102^3+BK102*BM102+BL102</f>
        <v>#VALUE!</v>
      </c>
      <c r="BO102" s="18" t="e">
        <f>3*BM102^2+BK102</f>
        <v>#VALUE!</v>
      </c>
      <c r="BP102" s="18" t="e">
        <f t="shared" ref="BP102:BP116" si="31">BM102-BN102/BO102</f>
        <v>#VALUE!</v>
      </c>
      <c r="BQ102" s="18" t="e">
        <f>-SQRT(ABS(-4*3*BK102))/6</f>
        <v>#VALUE!</v>
      </c>
      <c r="BR102" s="19" t="e">
        <f>SQRT(ABS(-4*3*BK102))/6</f>
        <v>#VALUE!</v>
      </c>
      <c r="BT102" s="16" t="e">
        <f>-BT105+BT108</f>
        <v>#VALUE!</v>
      </c>
      <c r="BU102" s="17" t="e">
        <f>-BT111</f>
        <v>#VALUE!</v>
      </c>
      <c r="BV102" s="18" t="e">
        <f>IF(AND(BZ105&lt;0,CA105&lt;0),CA102*1.2,IF(AND(BZ105&gt;0,CA105&gt;0),BZ102*0.8,10))</f>
        <v>#VALUE!</v>
      </c>
      <c r="BW102" s="18" t="e">
        <f>BV102^3+BT102*BV102+BU102</f>
        <v>#VALUE!</v>
      </c>
      <c r="BX102" s="18" t="e">
        <f>3*BV102^2+BT102</f>
        <v>#VALUE!</v>
      </c>
      <c r="BY102" s="18" t="e">
        <f t="shared" ref="BY102:BY116" si="32">BV102-BW102/BX102</f>
        <v>#VALUE!</v>
      </c>
      <c r="BZ102" s="18" t="e">
        <f>-SQRT(ABS(-4*3*BT102))/6</f>
        <v>#VALUE!</v>
      </c>
      <c r="CA102" s="19" t="e">
        <f>SQRT(ABS(-4*3*BT102))/6</f>
        <v>#VALUE!</v>
      </c>
    </row>
    <row r="103" spans="36:79" ht="18" hidden="1" customHeight="1" x14ac:dyDescent="0.15">
      <c r="AJ103" s="267"/>
      <c r="AK103" s="268"/>
      <c r="AL103" s="18" t="e">
        <f t="shared" ref="AL103:AL116" si="33">AO102</f>
        <v>#VALUE!</v>
      </c>
      <c r="AM103" s="18" t="e">
        <f>AL103^3+AJ102*AL103+AK102</f>
        <v>#VALUE!</v>
      </c>
      <c r="AN103" s="18" t="e">
        <f>3*AL103^2+AJ102</f>
        <v>#VALUE!</v>
      </c>
      <c r="AO103" s="18" t="e">
        <f t="shared" si="28"/>
        <v>#VALUE!</v>
      </c>
      <c r="AP103" s="6"/>
      <c r="AQ103" s="7"/>
      <c r="AS103" s="267"/>
      <c r="AT103" s="268"/>
      <c r="AU103" s="18" t="e">
        <f t="shared" ref="AU103:AU116" si="34">AX102</f>
        <v>#VALUE!</v>
      </c>
      <c r="AV103" s="18" t="e">
        <f>AU103^3+AS102*AU103+AT102</f>
        <v>#VALUE!</v>
      </c>
      <c r="AW103" s="18" t="e">
        <f>3*AU103^2+AS102</f>
        <v>#VALUE!</v>
      </c>
      <c r="AX103" s="18" t="e">
        <f t="shared" si="29"/>
        <v>#VALUE!</v>
      </c>
      <c r="AY103" s="6"/>
      <c r="AZ103" s="7"/>
      <c r="BB103" s="267"/>
      <c r="BC103" s="268"/>
      <c r="BD103" s="18" t="e">
        <f t="shared" ref="BD103:BD116" si="35">BG102</f>
        <v>#VALUE!</v>
      </c>
      <c r="BE103" s="18" t="e">
        <f>BD103^3+BB102*BD103+BC102</f>
        <v>#VALUE!</v>
      </c>
      <c r="BF103" s="18" t="e">
        <f>3*BD103^2+BB102</f>
        <v>#VALUE!</v>
      </c>
      <c r="BG103" s="18" t="e">
        <f t="shared" si="30"/>
        <v>#VALUE!</v>
      </c>
      <c r="BH103" s="6"/>
      <c r="BI103" s="7"/>
      <c r="BK103" s="267"/>
      <c r="BL103" s="268"/>
      <c r="BM103" s="18" t="e">
        <f t="shared" ref="BM103:BM116" si="36">BP102</f>
        <v>#VALUE!</v>
      </c>
      <c r="BN103" s="18" t="e">
        <f>BM103^3+BK102*BM103+BL102</f>
        <v>#VALUE!</v>
      </c>
      <c r="BO103" s="18" t="e">
        <f>3*BM103^2+BK102</f>
        <v>#VALUE!</v>
      </c>
      <c r="BP103" s="18" t="e">
        <f t="shared" si="31"/>
        <v>#VALUE!</v>
      </c>
      <c r="BQ103" s="6"/>
      <c r="BR103" s="7"/>
      <c r="BT103" s="267"/>
      <c r="BU103" s="268"/>
      <c r="BV103" s="18" t="e">
        <f t="shared" ref="BV103:BV116" si="37">BY102</f>
        <v>#VALUE!</v>
      </c>
      <c r="BW103" s="18" t="e">
        <f>BV103^3+BT102*BV103+BU102</f>
        <v>#VALUE!</v>
      </c>
      <c r="BX103" s="18" t="e">
        <f>3*BV103^2+BT102</f>
        <v>#VALUE!</v>
      </c>
      <c r="BY103" s="18" t="e">
        <f t="shared" si="32"/>
        <v>#VALUE!</v>
      </c>
      <c r="BZ103" s="6"/>
      <c r="CA103" s="7"/>
    </row>
    <row r="104" spans="36:79" ht="18" hidden="1" customHeight="1" x14ac:dyDescent="0.15">
      <c r="AJ104" s="269" t="s">
        <v>240</v>
      </c>
      <c r="AK104" s="270"/>
      <c r="AL104" s="18" t="e">
        <f t="shared" si="33"/>
        <v>#VALUE!</v>
      </c>
      <c r="AM104" s="18" t="e">
        <f>AL104^3+AJ102*AL104+AK102</f>
        <v>#VALUE!</v>
      </c>
      <c r="AN104" s="18" t="e">
        <f>3*AL104^2+AJ102</f>
        <v>#VALUE!</v>
      </c>
      <c r="AO104" s="18" t="e">
        <f t="shared" si="28"/>
        <v>#VALUE!</v>
      </c>
      <c r="AP104" s="14" t="s">
        <v>241</v>
      </c>
      <c r="AQ104" s="15" t="s">
        <v>242</v>
      </c>
      <c r="AS104" s="269" t="s">
        <v>240</v>
      </c>
      <c r="AT104" s="270"/>
      <c r="AU104" s="18" t="e">
        <f t="shared" si="34"/>
        <v>#VALUE!</v>
      </c>
      <c r="AV104" s="18" t="e">
        <f>AU104^3+AS102*AU104+AT102</f>
        <v>#VALUE!</v>
      </c>
      <c r="AW104" s="18" t="e">
        <f>3*AU104^2+AS102</f>
        <v>#VALUE!</v>
      </c>
      <c r="AX104" s="18" t="e">
        <f t="shared" si="29"/>
        <v>#VALUE!</v>
      </c>
      <c r="AY104" s="14" t="s">
        <v>241</v>
      </c>
      <c r="AZ104" s="15" t="s">
        <v>242</v>
      </c>
      <c r="BB104" s="269" t="s">
        <v>240</v>
      </c>
      <c r="BC104" s="270"/>
      <c r="BD104" s="18" t="e">
        <f t="shared" si="35"/>
        <v>#VALUE!</v>
      </c>
      <c r="BE104" s="18" t="e">
        <f>BD104^3+BB102*BD104+BC102</f>
        <v>#VALUE!</v>
      </c>
      <c r="BF104" s="18" t="e">
        <f>3*BD104^2+BB102</f>
        <v>#VALUE!</v>
      </c>
      <c r="BG104" s="18" t="e">
        <f t="shared" si="30"/>
        <v>#VALUE!</v>
      </c>
      <c r="BH104" s="14" t="s">
        <v>241</v>
      </c>
      <c r="BI104" s="15" t="s">
        <v>242</v>
      </c>
      <c r="BK104" s="269" t="s">
        <v>240</v>
      </c>
      <c r="BL104" s="270"/>
      <c r="BM104" s="18" t="e">
        <f t="shared" si="36"/>
        <v>#VALUE!</v>
      </c>
      <c r="BN104" s="18" t="e">
        <f>BM104^3+BK102*BM104+BL102</f>
        <v>#VALUE!</v>
      </c>
      <c r="BO104" s="18" t="e">
        <f>3*BM104^2+BK102</f>
        <v>#VALUE!</v>
      </c>
      <c r="BP104" s="18" t="e">
        <f t="shared" si="31"/>
        <v>#VALUE!</v>
      </c>
      <c r="BQ104" s="14" t="s">
        <v>241</v>
      </c>
      <c r="BR104" s="15" t="s">
        <v>242</v>
      </c>
      <c r="BT104" s="269" t="s">
        <v>240</v>
      </c>
      <c r="BU104" s="270"/>
      <c r="BV104" s="18" t="e">
        <f t="shared" si="37"/>
        <v>#VALUE!</v>
      </c>
      <c r="BW104" s="18" t="e">
        <f>BV104^3+BT102*BV104+BU102</f>
        <v>#VALUE!</v>
      </c>
      <c r="BX104" s="18" t="e">
        <f>3*BV104^2+BT102</f>
        <v>#VALUE!</v>
      </c>
      <c r="BY104" s="18" t="e">
        <f t="shared" si="32"/>
        <v>#VALUE!</v>
      </c>
      <c r="BZ104" s="14" t="s">
        <v>241</v>
      </c>
      <c r="CA104" s="15" t="s">
        <v>242</v>
      </c>
    </row>
    <row r="105" spans="36:79" ht="18" hidden="1" customHeight="1" x14ac:dyDescent="0.15">
      <c r="AJ105" s="269">
        <f>(AL118^2)+3*(AM118^2)*AQ118*(AQ113-15)/(8*10^7)</f>
        <v>0</v>
      </c>
      <c r="AK105" s="270"/>
      <c r="AL105" s="18" t="e">
        <f t="shared" si="33"/>
        <v>#VALUE!</v>
      </c>
      <c r="AM105" s="18" t="e">
        <f>AL105^3+AJ102*AL105+AK102</f>
        <v>#VALUE!</v>
      </c>
      <c r="AN105" s="18" t="e">
        <f>3*AL105^2+AJ102</f>
        <v>#VALUE!</v>
      </c>
      <c r="AO105" s="18" t="e">
        <f t="shared" si="28"/>
        <v>#VALUE!</v>
      </c>
      <c r="AP105" s="18" t="e">
        <f>AP102^3+AJ102*AP102+AK102</f>
        <v>#VALUE!</v>
      </c>
      <c r="AQ105" s="19" t="e">
        <f>AQ102^3+AJ102*AQ102+AK102</f>
        <v>#VALUE!</v>
      </c>
      <c r="AS105" s="269" t="e">
        <f>(AU118^2)+3*(AV118^2)*AZ118*(AZ113-15)/(8*10^7)</f>
        <v>#VALUE!</v>
      </c>
      <c r="AT105" s="270"/>
      <c r="AU105" s="18" t="e">
        <f t="shared" si="34"/>
        <v>#VALUE!</v>
      </c>
      <c r="AV105" s="18" t="e">
        <f>AU105^3+AS102*AU105+AT102</f>
        <v>#VALUE!</v>
      </c>
      <c r="AW105" s="18" t="e">
        <f>3*AU105^2+AS102</f>
        <v>#VALUE!</v>
      </c>
      <c r="AX105" s="18" t="e">
        <f t="shared" si="29"/>
        <v>#VALUE!</v>
      </c>
      <c r="AY105" s="18" t="e">
        <f>AY102^3+AS102*AY102+AT102</f>
        <v>#VALUE!</v>
      </c>
      <c r="AZ105" s="19" t="e">
        <f>AZ102^3+AS102*AZ102+AT102</f>
        <v>#VALUE!</v>
      </c>
      <c r="BB105" s="269" t="e">
        <f>(BD118^2)+3*(BE118^2)*BI118*(BI113-15)/(8*10^7)</f>
        <v>#VALUE!</v>
      </c>
      <c r="BC105" s="270"/>
      <c r="BD105" s="18" t="e">
        <f t="shared" si="35"/>
        <v>#VALUE!</v>
      </c>
      <c r="BE105" s="18" t="e">
        <f>BD105^3+BB102*BD105+BC102</f>
        <v>#VALUE!</v>
      </c>
      <c r="BF105" s="18" t="e">
        <f>3*BD105^2+BB102</f>
        <v>#VALUE!</v>
      </c>
      <c r="BG105" s="18" t="e">
        <f t="shared" si="30"/>
        <v>#VALUE!</v>
      </c>
      <c r="BH105" s="18" t="e">
        <f>BH102^3+BB102*BH102+BC102</f>
        <v>#VALUE!</v>
      </c>
      <c r="BI105" s="19" t="e">
        <f>BI102^3+BB102*BI102+BC102</f>
        <v>#VALUE!</v>
      </c>
      <c r="BK105" s="269" t="e">
        <f>(BM118^2)+3*(BN118^2)*BR118*(BR113-15)/(8*10^7)</f>
        <v>#VALUE!</v>
      </c>
      <c r="BL105" s="270"/>
      <c r="BM105" s="18" t="e">
        <f t="shared" si="36"/>
        <v>#VALUE!</v>
      </c>
      <c r="BN105" s="18" t="e">
        <f>BM105^3+BK102*BM105+BL102</f>
        <v>#VALUE!</v>
      </c>
      <c r="BO105" s="18" t="e">
        <f>3*BM105^2+BK102</f>
        <v>#VALUE!</v>
      </c>
      <c r="BP105" s="18" t="e">
        <f t="shared" si="31"/>
        <v>#VALUE!</v>
      </c>
      <c r="BQ105" s="18" t="e">
        <f>BQ102^3+BK102*BQ102+BL102</f>
        <v>#VALUE!</v>
      </c>
      <c r="BR105" s="19" t="e">
        <f>BR102^3+BK102*BR102+BL102</f>
        <v>#VALUE!</v>
      </c>
      <c r="BT105" s="269" t="e">
        <f>(BV118^2)+3*(BW118^2)*CA118*(CA113-15)/(8*10^7)</f>
        <v>#VALUE!</v>
      </c>
      <c r="BU105" s="270"/>
      <c r="BV105" s="18" t="e">
        <f t="shared" si="37"/>
        <v>#VALUE!</v>
      </c>
      <c r="BW105" s="18" t="e">
        <f>BV105^3+BT102*BV105+BU102</f>
        <v>#VALUE!</v>
      </c>
      <c r="BX105" s="18" t="e">
        <f>3*BV105^2+BT102</f>
        <v>#VALUE!</v>
      </c>
      <c r="BY105" s="18" t="e">
        <f t="shared" si="32"/>
        <v>#VALUE!</v>
      </c>
      <c r="BZ105" s="18" t="e">
        <f>BZ102^3+BT102*BZ102+BU102</f>
        <v>#VALUE!</v>
      </c>
      <c r="CA105" s="19" t="e">
        <f>CA102^3+BT102*CA102+BU102</f>
        <v>#VALUE!</v>
      </c>
    </row>
    <row r="106" spans="36:79" ht="18" hidden="1" customHeight="1" x14ac:dyDescent="0.15">
      <c r="AJ106" s="267"/>
      <c r="AK106" s="268"/>
      <c r="AL106" s="18" t="e">
        <f t="shared" si="33"/>
        <v>#VALUE!</v>
      </c>
      <c r="AM106" s="18" t="e">
        <f>AL106^3+AJ102*AL106+AK102</f>
        <v>#VALUE!</v>
      </c>
      <c r="AN106" s="18" t="e">
        <f>3*AL106^2+AJ102</f>
        <v>#VALUE!</v>
      </c>
      <c r="AO106" s="18" t="e">
        <f t="shared" si="28"/>
        <v>#VALUE!</v>
      </c>
      <c r="AP106" s="31"/>
      <c r="AQ106" s="32"/>
      <c r="AS106" s="267"/>
      <c r="AT106" s="268"/>
      <c r="AU106" s="18" t="e">
        <f t="shared" si="34"/>
        <v>#VALUE!</v>
      </c>
      <c r="AV106" s="18" t="e">
        <f>AU106^3+AS102*AU106+AT102</f>
        <v>#VALUE!</v>
      </c>
      <c r="AW106" s="18" t="e">
        <f>3*AU106^2+AS102</f>
        <v>#VALUE!</v>
      </c>
      <c r="AX106" s="18" t="e">
        <f t="shared" si="29"/>
        <v>#VALUE!</v>
      </c>
      <c r="AY106" s="31"/>
      <c r="AZ106" s="32"/>
      <c r="BB106" s="267"/>
      <c r="BC106" s="268"/>
      <c r="BD106" s="18" t="e">
        <f t="shared" si="35"/>
        <v>#VALUE!</v>
      </c>
      <c r="BE106" s="18" t="e">
        <f>BD106^3+BB102*BD106+BC102</f>
        <v>#VALUE!</v>
      </c>
      <c r="BF106" s="18" t="e">
        <f>3*BD106^2+BB102</f>
        <v>#VALUE!</v>
      </c>
      <c r="BG106" s="18" t="e">
        <f t="shared" si="30"/>
        <v>#VALUE!</v>
      </c>
      <c r="BH106" s="31"/>
      <c r="BI106" s="32"/>
      <c r="BK106" s="267"/>
      <c r="BL106" s="268"/>
      <c r="BM106" s="18" t="e">
        <f t="shared" si="36"/>
        <v>#VALUE!</v>
      </c>
      <c r="BN106" s="18" t="e">
        <f>BM106^3+BK102*BM106+BL102</f>
        <v>#VALUE!</v>
      </c>
      <c r="BO106" s="18" t="e">
        <f>3*BM106^2+BK102</f>
        <v>#VALUE!</v>
      </c>
      <c r="BP106" s="18" t="e">
        <f t="shared" si="31"/>
        <v>#VALUE!</v>
      </c>
      <c r="BQ106" s="31"/>
      <c r="BR106" s="32"/>
      <c r="BT106" s="267"/>
      <c r="BU106" s="268"/>
      <c r="BV106" s="18" t="e">
        <f t="shared" si="37"/>
        <v>#VALUE!</v>
      </c>
      <c r="BW106" s="18" t="e">
        <f>BV106^3+BT102*BV106+BU102</f>
        <v>#VALUE!</v>
      </c>
      <c r="BX106" s="18" t="e">
        <f>3*BV106^2+BT102</f>
        <v>#VALUE!</v>
      </c>
      <c r="BY106" s="18" t="e">
        <f t="shared" si="32"/>
        <v>#VALUE!</v>
      </c>
      <c r="BZ106" s="31"/>
      <c r="CA106" s="32"/>
    </row>
    <row r="107" spans="36:79" ht="18" hidden="1" customHeight="1" x14ac:dyDescent="0.15">
      <c r="AJ107" s="269" t="s">
        <v>243</v>
      </c>
      <c r="AK107" s="270"/>
      <c r="AL107" s="18" t="e">
        <f t="shared" si="33"/>
        <v>#VALUE!</v>
      </c>
      <c r="AM107" s="18" t="e">
        <f>AL107^3+AJ102*AL107+AK102</f>
        <v>#VALUE!</v>
      </c>
      <c r="AN107" s="18" t="e">
        <f>3*AL107^2+AJ102</f>
        <v>#VALUE!</v>
      </c>
      <c r="AO107" s="18" t="e">
        <f t="shared" si="28"/>
        <v>#VALUE!</v>
      </c>
      <c r="AP107" s="31"/>
      <c r="AQ107" s="32"/>
      <c r="AS107" s="269" t="s">
        <v>243</v>
      </c>
      <c r="AT107" s="270"/>
      <c r="AU107" s="18" t="e">
        <f t="shared" si="34"/>
        <v>#VALUE!</v>
      </c>
      <c r="AV107" s="18" t="e">
        <f>AU107^3+AS102*AU107+AT102</f>
        <v>#VALUE!</v>
      </c>
      <c r="AW107" s="18" t="e">
        <f>3*AU107^2+AS102</f>
        <v>#VALUE!</v>
      </c>
      <c r="AX107" s="18" t="e">
        <f t="shared" si="29"/>
        <v>#VALUE!</v>
      </c>
      <c r="AY107" s="31"/>
      <c r="AZ107" s="32"/>
      <c r="BB107" s="269" t="s">
        <v>243</v>
      </c>
      <c r="BC107" s="270"/>
      <c r="BD107" s="18" t="e">
        <f t="shared" si="35"/>
        <v>#VALUE!</v>
      </c>
      <c r="BE107" s="18" t="e">
        <f>BD107^3+BB102*BD107+BC102</f>
        <v>#VALUE!</v>
      </c>
      <c r="BF107" s="18" t="e">
        <f>3*BD107^2+BB102</f>
        <v>#VALUE!</v>
      </c>
      <c r="BG107" s="18" t="e">
        <f t="shared" si="30"/>
        <v>#VALUE!</v>
      </c>
      <c r="BH107" s="31"/>
      <c r="BI107" s="32"/>
      <c r="BK107" s="269" t="s">
        <v>243</v>
      </c>
      <c r="BL107" s="270"/>
      <c r="BM107" s="18" t="e">
        <f t="shared" si="36"/>
        <v>#VALUE!</v>
      </c>
      <c r="BN107" s="18" t="e">
        <f>BM107^3+BK102*BM107+BL102</f>
        <v>#VALUE!</v>
      </c>
      <c r="BO107" s="18" t="e">
        <f>3*BM107^2+BK102</f>
        <v>#VALUE!</v>
      </c>
      <c r="BP107" s="18" t="e">
        <f t="shared" si="31"/>
        <v>#VALUE!</v>
      </c>
      <c r="BQ107" s="31"/>
      <c r="BR107" s="32"/>
      <c r="BT107" s="269" t="s">
        <v>243</v>
      </c>
      <c r="BU107" s="270"/>
      <c r="BV107" s="18" t="e">
        <f t="shared" si="37"/>
        <v>#VALUE!</v>
      </c>
      <c r="BW107" s="18" t="e">
        <f>BV107^3+BT102*BV107+BU102</f>
        <v>#VALUE!</v>
      </c>
      <c r="BX107" s="18" t="e">
        <f>3*BV107^2+BT102</f>
        <v>#VALUE!</v>
      </c>
      <c r="BY107" s="18" t="e">
        <f t="shared" si="32"/>
        <v>#VALUE!</v>
      </c>
      <c r="BZ107" s="31"/>
      <c r="CA107" s="32"/>
    </row>
    <row r="108" spans="36:79" ht="18" hidden="1" customHeight="1" x14ac:dyDescent="0.15">
      <c r="AJ108" s="277" t="e">
        <f>3*(AM118^2)*AN118/(8*AO118*AP118)</f>
        <v>#VALUE!</v>
      </c>
      <c r="AK108" s="278"/>
      <c r="AL108" s="118" t="e">
        <f t="shared" si="33"/>
        <v>#VALUE!</v>
      </c>
      <c r="AM108" s="118" t="e">
        <f>AL108^3+AJ102*AL108+AK102</f>
        <v>#VALUE!</v>
      </c>
      <c r="AN108" s="118" t="e">
        <f>3*AL108^2+AJ102</f>
        <v>#VALUE!</v>
      </c>
      <c r="AO108" s="118" t="e">
        <f t="shared" si="28"/>
        <v>#VALUE!</v>
      </c>
      <c r="AP108" s="116"/>
      <c r="AQ108" s="117"/>
      <c r="AS108" s="277" t="e">
        <f>3*(AV118^2)*AW118/(8*AX118*AY118)</f>
        <v>#VALUE!</v>
      </c>
      <c r="AT108" s="278"/>
      <c r="AU108" s="118" t="e">
        <f t="shared" si="34"/>
        <v>#VALUE!</v>
      </c>
      <c r="AV108" s="118" t="e">
        <f>AU108^3+AS102*AU108+AT102</f>
        <v>#VALUE!</v>
      </c>
      <c r="AW108" s="118" t="e">
        <f>3*AU108^2+AS102</f>
        <v>#VALUE!</v>
      </c>
      <c r="AX108" s="118" t="e">
        <f t="shared" si="29"/>
        <v>#VALUE!</v>
      </c>
      <c r="AY108" s="116"/>
      <c r="AZ108" s="117"/>
      <c r="BB108" s="277" t="e">
        <f>3*(BE118^2)*BF118/(8*BG118*BH118)</f>
        <v>#VALUE!</v>
      </c>
      <c r="BC108" s="278"/>
      <c r="BD108" s="118" t="e">
        <f t="shared" si="35"/>
        <v>#VALUE!</v>
      </c>
      <c r="BE108" s="118" t="e">
        <f>BD108^3+BB102*BD108+BC102</f>
        <v>#VALUE!</v>
      </c>
      <c r="BF108" s="118" t="e">
        <f>3*BD108^2+BB102</f>
        <v>#VALUE!</v>
      </c>
      <c r="BG108" s="118" t="e">
        <f t="shared" si="30"/>
        <v>#VALUE!</v>
      </c>
      <c r="BH108" s="116"/>
      <c r="BI108" s="117"/>
      <c r="BK108" s="277" t="e">
        <f>3*(BN118^2)*BO118/(8*BP118*BQ118)</f>
        <v>#VALUE!</v>
      </c>
      <c r="BL108" s="278"/>
      <c r="BM108" s="118" t="e">
        <f t="shared" si="36"/>
        <v>#VALUE!</v>
      </c>
      <c r="BN108" s="118" t="e">
        <f>BM108^3+BK102*BM108+BL102</f>
        <v>#VALUE!</v>
      </c>
      <c r="BO108" s="118" t="e">
        <f>3*BM108^2+BK102</f>
        <v>#VALUE!</v>
      </c>
      <c r="BP108" s="118" t="e">
        <f t="shared" si="31"/>
        <v>#VALUE!</v>
      </c>
      <c r="BQ108" s="116"/>
      <c r="BR108" s="117"/>
      <c r="BT108" s="277" t="e">
        <f>3*(BW118^2)*BX118/(8*BY118*BZ118)</f>
        <v>#VALUE!</v>
      </c>
      <c r="BU108" s="278"/>
      <c r="BV108" s="118" t="e">
        <f t="shared" si="37"/>
        <v>#VALUE!</v>
      </c>
      <c r="BW108" s="118" t="e">
        <f>BV108^3+BT102*BV108+BU102</f>
        <v>#VALUE!</v>
      </c>
      <c r="BX108" s="118" t="e">
        <f>3*BV108^2+BT102</f>
        <v>#VALUE!</v>
      </c>
      <c r="BY108" s="118" t="e">
        <f t="shared" si="32"/>
        <v>#VALUE!</v>
      </c>
      <c r="BZ108" s="116"/>
      <c r="CA108" s="117"/>
    </row>
    <row r="109" spans="36:79" ht="18" hidden="1" customHeight="1" x14ac:dyDescent="0.15">
      <c r="AJ109" s="121"/>
      <c r="AK109" s="122"/>
      <c r="AL109" s="118" t="e">
        <f t="shared" si="33"/>
        <v>#VALUE!</v>
      </c>
      <c r="AM109" s="118" t="e">
        <f>AL109^3+AJ102*AL109+AK102</f>
        <v>#VALUE!</v>
      </c>
      <c r="AN109" s="118" t="e">
        <f>3*AL109^2+AJ102</f>
        <v>#VALUE!</v>
      </c>
      <c r="AO109" s="118" t="e">
        <f t="shared" si="28"/>
        <v>#VALUE!</v>
      </c>
      <c r="AP109" s="119"/>
      <c r="AQ109" s="120"/>
      <c r="AS109" s="121"/>
      <c r="AT109" s="122"/>
      <c r="AU109" s="118" t="e">
        <f t="shared" si="34"/>
        <v>#VALUE!</v>
      </c>
      <c r="AV109" s="118" t="e">
        <f>AU109^3+AS102*AU109+AT102</f>
        <v>#VALUE!</v>
      </c>
      <c r="AW109" s="118" t="e">
        <f>3*AU109^2+AS102</f>
        <v>#VALUE!</v>
      </c>
      <c r="AX109" s="118" t="e">
        <f t="shared" si="29"/>
        <v>#VALUE!</v>
      </c>
      <c r="AY109" s="119"/>
      <c r="AZ109" s="120"/>
      <c r="BB109" s="121"/>
      <c r="BC109" s="122"/>
      <c r="BD109" s="118" t="e">
        <f t="shared" si="35"/>
        <v>#VALUE!</v>
      </c>
      <c r="BE109" s="118" t="e">
        <f>BD109^3+BB102*BD109+BC102</f>
        <v>#VALUE!</v>
      </c>
      <c r="BF109" s="118" t="e">
        <f>3*BD109^2+BB102</f>
        <v>#VALUE!</v>
      </c>
      <c r="BG109" s="118" t="e">
        <f t="shared" si="30"/>
        <v>#VALUE!</v>
      </c>
      <c r="BH109" s="119"/>
      <c r="BI109" s="120"/>
      <c r="BK109" s="121"/>
      <c r="BL109" s="122"/>
      <c r="BM109" s="118" t="e">
        <f t="shared" si="36"/>
        <v>#VALUE!</v>
      </c>
      <c r="BN109" s="118" t="e">
        <f>BM109^3+BK102*BM109+BL102</f>
        <v>#VALUE!</v>
      </c>
      <c r="BO109" s="118" t="e">
        <f>3*BM109^2+BK102</f>
        <v>#VALUE!</v>
      </c>
      <c r="BP109" s="118" t="e">
        <f t="shared" si="31"/>
        <v>#VALUE!</v>
      </c>
      <c r="BQ109" s="119"/>
      <c r="BR109" s="120"/>
      <c r="BT109" s="121"/>
      <c r="BU109" s="122"/>
      <c r="BV109" s="118" t="e">
        <f t="shared" si="37"/>
        <v>#VALUE!</v>
      </c>
      <c r="BW109" s="118" t="e">
        <f>BV109^3+BT102*BV109+BU102</f>
        <v>#VALUE!</v>
      </c>
      <c r="BX109" s="118" t="e">
        <f>3*BV109^2+BT102</f>
        <v>#VALUE!</v>
      </c>
      <c r="BY109" s="118" t="e">
        <f t="shared" si="32"/>
        <v>#VALUE!</v>
      </c>
      <c r="BZ109" s="119"/>
      <c r="CA109" s="120"/>
    </row>
    <row r="110" spans="36:79" ht="18" hidden="1" customHeight="1" x14ac:dyDescent="0.15">
      <c r="AJ110" s="269" t="s">
        <v>244</v>
      </c>
      <c r="AK110" s="270"/>
      <c r="AL110" s="118" t="e">
        <f t="shared" si="33"/>
        <v>#VALUE!</v>
      </c>
      <c r="AM110" s="118" t="e">
        <f>AL110^3+AJ102*AL110+AK102</f>
        <v>#VALUE!</v>
      </c>
      <c r="AN110" s="118" t="e">
        <f>3*AL110^2+AJ102</f>
        <v>#VALUE!</v>
      </c>
      <c r="AO110" s="118" t="e">
        <f t="shared" si="28"/>
        <v>#VALUE!</v>
      </c>
      <c r="AP110" s="14" t="s">
        <v>245</v>
      </c>
      <c r="AQ110" s="123" t="e">
        <f>AO116</f>
        <v>#VALUE!</v>
      </c>
      <c r="AS110" s="269" t="s">
        <v>244</v>
      </c>
      <c r="AT110" s="270"/>
      <c r="AU110" s="118" t="e">
        <f t="shared" si="34"/>
        <v>#VALUE!</v>
      </c>
      <c r="AV110" s="118" t="e">
        <f>AU110^3+AS102*AU110+AT102</f>
        <v>#VALUE!</v>
      </c>
      <c r="AW110" s="118" t="e">
        <f>3*AU110^2+AS102</f>
        <v>#VALUE!</v>
      </c>
      <c r="AX110" s="118" t="e">
        <f t="shared" si="29"/>
        <v>#VALUE!</v>
      </c>
      <c r="AY110" s="14" t="s">
        <v>245</v>
      </c>
      <c r="AZ110" s="123" t="e">
        <f>AX116</f>
        <v>#VALUE!</v>
      </c>
      <c r="BB110" s="269" t="s">
        <v>244</v>
      </c>
      <c r="BC110" s="270"/>
      <c r="BD110" s="118" t="e">
        <f t="shared" si="35"/>
        <v>#VALUE!</v>
      </c>
      <c r="BE110" s="118" t="e">
        <f>BD110^3+BB102*BD110+BC102</f>
        <v>#VALUE!</v>
      </c>
      <c r="BF110" s="118" t="e">
        <f>3*BD110^2+BB102</f>
        <v>#VALUE!</v>
      </c>
      <c r="BG110" s="118" t="e">
        <f t="shared" si="30"/>
        <v>#VALUE!</v>
      </c>
      <c r="BH110" s="14" t="s">
        <v>245</v>
      </c>
      <c r="BI110" s="123" t="e">
        <f>BG116</f>
        <v>#VALUE!</v>
      </c>
      <c r="BK110" s="269" t="s">
        <v>244</v>
      </c>
      <c r="BL110" s="270"/>
      <c r="BM110" s="118" t="e">
        <f t="shared" si="36"/>
        <v>#VALUE!</v>
      </c>
      <c r="BN110" s="118" t="e">
        <f>BM110^3+BK102*BM110+BL102</f>
        <v>#VALUE!</v>
      </c>
      <c r="BO110" s="118" t="e">
        <f>3*BM110^2+BK102</f>
        <v>#VALUE!</v>
      </c>
      <c r="BP110" s="118" t="e">
        <f t="shared" si="31"/>
        <v>#VALUE!</v>
      </c>
      <c r="BQ110" s="14" t="s">
        <v>245</v>
      </c>
      <c r="BR110" s="123" t="e">
        <f>BP116</f>
        <v>#VALUE!</v>
      </c>
      <c r="BT110" s="269" t="s">
        <v>244</v>
      </c>
      <c r="BU110" s="270"/>
      <c r="BV110" s="118" t="e">
        <f t="shared" si="37"/>
        <v>#VALUE!</v>
      </c>
      <c r="BW110" s="118" t="e">
        <f>BV110^3+BT102*BV110+BU102</f>
        <v>#VALUE!</v>
      </c>
      <c r="BX110" s="118" t="e">
        <f>3*BV110^2+BT102</f>
        <v>#VALUE!</v>
      </c>
      <c r="BY110" s="118" t="e">
        <f t="shared" si="32"/>
        <v>#VALUE!</v>
      </c>
      <c r="BZ110" s="14" t="s">
        <v>245</v>
      </c>
      <c r="CA110" s="123" t="e">
        <f>BY116</f>
        <v>#VALUE!</v>
      </c>
    </row>
    <row r="111" spans="36:79" ht="18" hidden="1" customHeight="1" x14ac:dyDescent="0.15">
      <c r="AJ111" s="271" t="e">
        <f>AJ108*AL118*AJ118/AK118</f>
        <v>#VALUE!</v>
      </c>
      <c r="AK111" s="272"/>
      <c r="AL111" s="118" t="e">
        <f t="shared" si="33"/>
        <v>#VALUE!</v>
      </c>
      <c r="AM111" s="118" t="e">
        <f>AL111^3+AJ102*AL111+AK102</f>
        <v>#VALUE!</v>
      </c>
      <c r="AN111" s="118" t="e">
        <f>3*AL111^2+AJ102</f>
        <v>#VALUE!</v>
      </c>
      <c r="AO111" s="118" t="e">
        <f t="shared" si="28"/>
        <v>#VALUE!</v>
      </c>
      <c r="AP111" s="14" t="s">
        <v>246</v>
      </c>
      <c r="AQ111" s="124" t="e">
        <f>AJ118*AM118^2/(8*AO116)</f>
        <v>#VALUE!</v>
      </c>
      <c r="AS111" s="271" t="e">
        <f>AS108*AU118*AS118/AT118</f>
        <v>#VALUE!</v>
      </c>
      <c r="AT111" s="272"/>
      <c r="AU111" s="118" t="e">
        <f t="shared" si="34"/>
        <v>#VALUE!</v>
      </c>
      <c r="AV111" s="118" t="e">
        <f>AU111^3+AS102*AU111+AT102</f>
        <v>#VALUE!</v>
      </c>
      <c r="AW111" s="118" t="e">
        <f>3*AU111^2+AS102</f>
        <v>#VALUE!</v>
      </c>
      <c r="AX111" s="118" t="e">
        <f t="shared" si="29"/>
        <v>#VALUE!</v>
      </c>
      <c r="AY111" s="14" t="s">
        <v>246</v>
      </c>
      <c r="AZ111" s="124" t="e">
        <f>AS118*AV118^2/(8*AX116)</f>
        <v>#VALUE!</v>
      </c>
      <c r="BB111" s="271" t="e">
        <f>BB108*BD118*BB118/BC118</f>
        <v>#VALUE!</v>
      </c>
      <c r="BC111" s="272"/>
      <c r="BD111" s="118" t="e">
        <f t="shared" si="35"/>
        <v>#VALUE!</v>
      </c>
      <c r="BE111" s="118" t="e">
        <f>BD111^3+BB102*BD111+BC102</f>
        <v>#VALUE!</v>
      </c>
      <c r="BF111" s="118" t="e">
        <f>3*BD111^2+BB102</f>
        <v>#VALUE!</v>
      </c>
      <c r="BG111" s="118" t="e">
        <f t="shared" si="30"/>
        <v>#VALUE!</v>
      </c>
      <c r="BH111" s="14" t="s">
        <v>246</v>
      </c>
      <c r="BI111" s="124" t="e">
        <f>BB118*BE118^2/(8*BG116)</f>
        <v>#VALUE!</v>
      </c>
      <c r="BK111" s="271" t="e">
        <f>BK108*BM118*BK118/BL118</f>
        <v>#VALUE!</v>
      </c>
      <c r="BL111" s="272"/>
      <c r="BM111" s="118" t="e">
        <f t="shared" si="36"/>
        <v>#VALUE!</v>
      </c>
      <c r="BN111" s="118" t="e">
        <f>BM111^3+BK102*BM111+BL102</f>
        <v>#VALUE!</v>
      </c>
      <c r="BO111" s="118" t="e">
        <f>3*BM111^2+BK102</f>
        <v>#VALUE!</v>
      </c>
      <c r="BP111" s="118" t="e">
        <f t="shared" si="31"/>
        <v>#VALUE!</v>
      </c>
      <c r="BQ111" s="14" t="s">
        <v>246</v>
      </c>
      <c r="BR111" s="124" t="e">
        <f>BK118*BN118^2/(8*BP116)</f>
        <v>#VALUE!</v>
      </c>
      <c r="BT111" s="271" t="e">
        <f>BT108*BV118*BT118/BU118</f>
        <v>#VALUE!</v>
      </c>
      <c r="BU111" s="272"/>
      <c r="BV111" s="118" t="e">
        <f t="shared" si="37"/>
        <v>#VALUE!</v>
      </c>
      <c r="BW111" s="118" t="e">
        <f>BV111^3+BT102*BV111+BU102</f>
        <v>#VALUE!</v>
      </c>
      <c r="BX111" s="118" t="e">
        <f>3*BV111^2+BT102</f>
        <v>#VALUE!</v>
      </c>
      <c r="BY111" s="118" t="e">
        <f t="shared" si="32"/>
        <v>#VALUE!</v>
      </c>
      <c r="BZ111" s="14" t="s">
        <v>246</v>
      </c>
      <c r="CA111" s="124" t="e">
        <f>BT118*BW118^2/(8*BY116)</f>
        <v>#VALUE!</v>
      </c>
    </row>
    <row r="112" spans="36:79" ht="18" hidden="1" customHeight="1" x14ac:dyDescent="0.15">
      <c r="AJ112" s="125"/>
      <c r="AK112" s="126"/>
      <c r="AL112" s="118" t="e">
        <f t="shared" si="33"/>
        <v>#VALUE!</v>
      </c>
      <c r="AM112" s="118" t="e">
        <f>AL112^3+AJ102*AL112+AK102</f>
        <v>#VALUE!</v>
      </c>
      <c r="AN112" s="118" t="e">
        <f>3*AL112^2+AJ102</f>
        <v>#VALUE!</v>
      </c>
      <c r="AO112" s="118" t="e">
        <f t="shared" si="28"/>
        <v>#VALUE!</v>
      </c>
      <c r="AP112" s="116"/>
      <c r="AQ112" s="117"/>
      <c r="AS112" s="125"/>
      <c r="AT112" s="126"/>
      <c r="AU112" s="118" t="e">
        <f t="shared" si="34"/>
        <v>#VALUE!</v>
      </c>
      <c r="AV112" s="118" t="e">
        <f>AU112^3+AS102*AU112+AT102</f>
        <v>#VALUE!</v>
      </c>
      <c r="AW112" s="118" t="e">
        <f>3*AU112^2+AS102</f>
        <v>#VALUE!</v>
      </c>
      <c r="AX112" s="118" t="e">
        <f t="shared" si="29"/>
        <v>#VALUE!</v>
      </c>
      <c r="AY112" s="116"/>
      <c r="AZ112" s="117"/>
      <c r="BB112" s="125"/>
      <c r="BC112" s="126"/>
      <c r="BD112" s="118" t="e">
        <f t="shared" si="35"/>
        <v>#VALUE!</v>
      </c>
      <c r="BE112" s="118" t="e">
        <f>BD112^3+BB102*BD112+BC102</f>
        <v>#VALUE!</v>
      </c>
      <c r="BF112" s="118" t="e">
        <f>3*BD112^2+BB102</f>
        <v>#VALUE!</v>
      </c>
      <c r="BG112" s="118" t="e">
        <f t="shared" si="30"/>
        <v>#VALUE!</v>
      </c>
      <c r="BH112" s="116"/>
      <c r="BI112" s="117"/>
      <c r="BK112" s="125"/>
      <c r="BL112" s="126"/>
      <c r="BM112" s="118" t="e">
        <f t="shared" si="36"/>
        <v>#VALUE!</v>
      </c>
      <c r="BN112" s="118" t="e">
        <f>BM112^3+BK102*BM112+BL102</f>
        <v>#VALUE!</v>
      </c>
      <c r="BO112" s="118" t="e">
        <f>3*BM112^2+BK102</f>
        <v>#VALUE!</v>
      </c>
      <c r="BP112" s="118" t="e">
        <f t="shared" si="31"/>
        <v>#VALUE!</v>
      </c>
      <c r="BQ112" s="116"/>
      <c r="BR112" s="117"/>
      <c r="BT112" s="125"/>
      <c r="BU112" s="126"/>
      <c r="BV112" s="118" t="e">
        <f t="shared" si="37"/>
        <v>#VALUE!</v>
      </c>
      <c r="BW112" s="118" t="e">
        <f>BV112^3+BT102*BV112+BU102</f>
        <v>#VALUE!</v>
      </c>
      <c r="BX112" s="118" t="e">
        <f>3*BV112^2+BT102</f>
        <v>#VALUE!</v>
      </c>
      <c r="BY112" s="118" t="e">
        <f t="shared" si="32"/>
        <v>#VALUE!</v>
      </c>
      <c r="BZ112" s="116"/>
      <c r="CA112" s="117"/>
    </row>
    <row r="113" spans="36:79" ht="18" hidden="1" customHeight="1" x14ac:dyDescent="0.15">
      <c r="AJ113" s="125"/>
      <c r="AK113" s="126"/>
      <c r="AL113" s="118" t="e">
        <f t="shared" si="33"/>
        <v>#VALUE!</v>
      </c>
      <c r="AM113" s="118" t="e">
        <f>AL113^3+AJ102*AL113+AK102</f>
        <v>#VALUE!</v>
      </c>
      <c r="AN113" s="118" t="e">
        <f>3*AL113^2+AJ102</f>
        <v>#VALUE!</v>
      </c>
      <c r="AO113" s="118" t="e">
        <f t="shared" si="28"/>
        <v>#VALUE!</v>
      </c>
      <c r="AP113" s="112" t="s">
        <v>147</v>
      </c>
      <c r="AQ113" s="113">
        <v>-15</v>
      </c>
      <c r="AS113" s="125"/>
      <c r="AT113" s="126"/>
      <c r="AU113" s="118" t="e">
        <f t="shared" si="34"/>
        <v>#VALUE!</v>
      </c>
      <c r="AV113" s="118" t="e">
        <f>AU113^3+AS102*AU113+AT102</f>
        <v>#VALUE!</v>
      </c>
      <c r="AW113" s="118" t="e">
        <f>3*AU113^2+AS102</f>
        <v>#VALUE!</v>
      </c>
      <c r="AX113" s="118" t="e">
        <f t="shared" si="29"/>
        <v>#VALUE!</v>
      </c>
      <c r="AY113" s="112" t="s">
        <v>147</v>
      </c>
      <c r="AZ113" s="113">
        <v>-15</v>
      </c>
      <c r="BB113" s="125"/>
      <c r="BC113" s="126"/>
      <c r="BD113" s="118" t="e">
        <f t="shared" si="35"/>
        <v>#VALUE!</v>
      </c>
      <c r="BE113" s="118" t="e">
        <f>BD113^3+BB102*BD113+BC102</f>
        <v>#VALUE!</v>
      </c>
      <c r="BF113" s="118" t="e">
        <f>3*BD113^2+BB102</f>
        <v>#VALUE!</v>
      </c>
      <c r="BG113" s="118" t="e">
        <f t="shared" si="30"/>
        <v>#VALUE!</v>
      </c>
      <c r="BH113" s="112" t="s">
        <v>147</v>
      </c>
      <c r="BI113" s="113">
        <v>-15</v>
      </c>
      <c r="BK113" s="125"/>
      <c r="BL113" s="126"/>
      <c r="BM113" s="118" t="e">
        <f t="shared" si="36"/>
        <v>#VALUE!</v>
      </c>
      <c r="BN113" s="118" t="e">
        <f>BM113^3+BK102*BM113+BL102</f>
        <v>#VALUE!</v>
      </c>
      <c r="BO113" s="118" t="e">
        <f>3*BM113^2+BK102</f>
        <v>#VALUE!</v>
      </c>
      <c r="BP113" s="118" t="e">
        <f t="shared" si="31"/>
        <v>#VALUE!</v>
      </c>
      <c r="BQ113" s="112" t="s">
        <v>147</v>
      </c>
      <c r="BR113" s="113">
        <v>-15</v>
      </c>
      <c r="BT113" s="125"/>
      <c r="BU113" s="126"/>
      <c r="BV113" s="118" t="e">
        <f t="shared" si="37"/>
        <v>#VALUE!</v>
      </c>
      <c r="BW113" s="118" t="e">
        <f>BV113^3+BT102*BV113+BU102</f>
        <v>#VALUE!</v>
      </c>
      <c r="BX113" s="118" t="e">
        <f>3*BV113^2+BT102</f>
        <v>#VALUE!</v>
      </c>
      <c r="BY113" s="118" t="e">
        <f t="shared" si="32"/>
        <v>#VALUE!</v>
      </c>
      <c r="BZ113" s="112" t="s">
        <v>147</v>
      </c>
      <c r="CA113" s="113">
        <v>-15</v>
      </c>
    </row>
    <row r="114" spans="36:79" ht="18" hidden="1" customHeight="1" x14ac:dyDescent="0.15">
      <c r="AJ114" s="125"/>
      <c r="AK114" s="126"/>
      <c r="AL114" s="118" t="e">
        <f t="shared" si="33"/>
        <v>#VALUE!</v>
      </c>
      <c r="AM114" s="118" t="e">
        <f>AL114^3+AJ102*AL114+AK102</f>
        <v>#VALUE!</v>
      </c>
      <c r="AN114" s="118" t="e">
        <f>3*AL114^2+AJ102</f>
        <v>#VALUE!</v>
      </c>
      <c r="AO114" s="118" t="e">
        <f t="shared" si="28"/>
        <v>#VALUE!</v>
      </c>
      <c r="AP114" s="128" t="s">
        <v>218</v>
      </c>
      <c r="AQ114" s="32"/>
      <c r="AS114" s="125"/>
      <c r="AT114" s="126"/>
      <c r="AU114" s="118" t="e">
        <f t="shared" si="34"/>
        <v>#VALUE!</v>
      </c>
      <c r="AV114" s="118" t="e">
        <f>AU114^3+AS102*AU114+AT102</f>
        <v>#VALUE!</v>
      </c>
      <c r="AW114" s="118" t="e">
        <f>3*AU114^2+AS102</f>
        <v>#VALUE!</v>
      </c>
      <c r="AX114" s="118" t="e">
        <f t="shared" si="29"/>
        <v>#VALUE!</v>
      </c>
      <c r="AY114" s="128" t="s">
        <v>219</v>
      </c>
      <c r="AZ114" s="32"/>
      <c r="BB114" s="125"/>
      <c r="BC114" s="126"/>
      <c r="BD114" s="118" t="e">
        <f t="shared" si="35"/>
        <v>#VALUE!</v>
      </c>
      <c r="BE114" s="118" t="e">
        <f>BD114^3+BB102*BD114+BC102</f>
        <v>#VALUE!</v>
      </c>
      <c r="BF114" s="118" t="e">
        <f>3*BD114^2+BB102</f>
        <v>#VALUE!</v>
      </c>
      <c r="BG114" s="118" t="e">
        <f t="shared" si="30"/>
        <v>#VALUE!</v>
      </c>
      <c r="BH114" s="128" t="s">
        <v>220</v>
      </c>
      <c r="BI114" s="32"/>
      <c r="BK114" s="125"/>
      <c r="BL114" s="126"/>
      <c r="BM114" s="118" t="e">
        <f t="shared" si="36"/>
        <v>#VALUE!</v>
      </c>
      <c r="BN114" s="118" t="e">
        <f>BM114^3+BK102*BM114+BL102</f>
        <v>#VALUE!</v>
      </c>
      <c r="BO114" s="118" t="e">
        <f>3*BM114^2+BK102</f>
        <v>#VALUE!</v>
      </c>
      <c r="BP114" s="118" t="e">
        <f t="shared" si="31"/>
        <v>#VALUE!</v>
      </c>
      <c r="BQ114" s="128" t="s">
        <v>221</v>
      </c>
      <c r="BR114" s="32"/>
      <c r="BT114" s="125"/>
      <c r="BU114" s="126"/>
      <c r="BV114" s="118" t="e">
        <f t="shared" si="37"/>
        <v>#VALUE!</v>
      </c>
      <c r="BW114" s="118" t="e">
        <f>BV114^3+BT102*BV114+BU102</f>
        <v>#VALUE!</v>
      </c>
      <c r="BX114" s="118" t="e">
        <f>3*BV114^2+BT102</f>
        <v>#VALUE!</v>
      </c>
      <c r="BY114" s="118" t="e">
        <f t="shared" si="32"/>
        <v>#VALUE!</v>
      </c>
      <c r="BZ114" s="128" t="s">
        <v>222</v>
      </c>
      <c r="CA114" s="32"/>
    </row>
    <row r="115" spans="36:79" ht="18" hidden="1" customHeight="1" x14ac:dyDescent="0.15">
      <c r="AJ115" s="125"/>
      <c r="AK115" s="126"/>
      <c r="AL115" s="18" t="e">
        <f t="shared" si="33"/>
        <v>#VALUE!</v>
      </c>
      <c r="AM115" s="18" t="e">
        <f>AL115^3+AJ102*AL115+AK102</f>
        <v>#VALUE!</v>
      </c>
      <c r="AN115" s="18" t="e">
        <f>3*AL115^2+AJ102</f>
        <v>#VALUE!</v>
      </c>
      <c r="AO115" s="18" t="e">
        <f t="shared" si="28"/>
        <v>#VALUE!</v>
      </c>
      <c r="AP115" s="279" t="s">
        <v>247</v>
      </c>
      <c r="AQ115" s="280"/>
      <c r="AS115" s="125"/>
      <c r="AT115" s="126"/>
      <c r="AU115" s="18" t="e">
        <f t="shared" si="34"/>
        <v>#VALUE!</v>
      </c>
      <c r="AV115" s="18" t="e">
        <f>AU115^3+AS102*AU115+AT102</f>
        <v>#VALUE!</v>
      </c>
      <c r="AW115" s="18" t="e">
        <f>3*AU115^2+AS102</f>
        <v>#VALUE!</v>
      </c>
      <c r="AX115" s="18" t="e">
        <f t="shared" si="29"/>
        <v>#VALUE!</v>
      </c>
      <c r="AY115" s="279" t="s">
        <v>247</v>
      </c>
      <c r="AZ115" s="280"/>
      <c r="BB115" s="125"/>
      <c r="BC115" s="126"/>
      <c r="BD115" s="18" t="e">
        <f t="shared" si="35"/>
        <v>#VALUE!</v>
      </c>
      <c r="BE115" s="18" t="e">
        <f>BD115^3+BB102*BD115+BC102</f>
        <v>#VALUE!</v>
      </c>
      <c r="BF115" s="18" t="e">
        <f>3*BD115^2+BB102</f>
        <v>#VALUE!</v>
      </c>
      <c r="BG115" s="18" t="e">
        <f t="shared" si="30"/>
        <v>#VALUE!</v>
      </c>
      <c r="BH115" s="279" t="s">
        <v>247</v>
      </c>
      <c r="BI115" s="280"/>
      <c r="BK115" s="125"/>
      <c r="BL115" s="126"/>
      <c r="BM115" s="18" t="e">
        <f t="shared" si="36"/>
        <v>#VALUE!</v>
      </c>
      <c r="BN115" s="18" t="e">
        <f>BM115^3+BK102*BM115+BL102</f>
        <v>#VALUE!</v>
      </c>
      <c r="BO115" s="18" t="e">
        <f>3*BM115^2+BK102</f>
        <v>#VALUE!</v>
      </c>
      <c r="BP115" s="18" t="e">
        <f t="shared" si="31"/>
        <v>#VALUE!</v>
      </c>
      <c r="BQ115" s="279" t="s">
        <v>247</v>
      </c>
      <c r="BR115" s="280"/>
      <c r="BT115" s="125"/>
      <c r="BU115" s="126"/>
      <c r="BV115" s="18" t="e">
        <f t="shared" si="37"/>
        <v>#VALUE!</v>
      </c>
      <c r="BW115" s="18" t="e">
        <f>BV115^3+BT102*BV115+BU102</f>
        <v>#VALUE!</v>
      </c>
      <c r="BX115" s="18" t="e">
        <f>3*BV115^2+BT102</f>
        <v>#VALUE!</v>
      </c>
      <c r="BY115" s="18" t="e">
        <f t="shared" si="32"/>
        <v>#VALUE!</v>
      </c>
      <c r="BZ115" s="279" t="s">
        <v>247</v>
      </c>
      <c r="CA115" s="280"/>
    </row>
    <row r="116" spans="36:79" ht="18" hidden="1" customHeight="1" thickBot="1" x14ac:dyDescent="0.2">
      <c r="AJ116" s="125"/>
      <c r="AK116" s="126"/>
      <c r="AL116" s="114" t="e">
        <f t="shared" si="33"/>
        <v>#VALUE!</v>
      </c>
      <c r="AM116" s="115" t="e">
        <f>AL116^3+AJ102*AL116+AK102</f>
        <v>#VALUE!</v>
      </c>
      <c r="AN116" s="115" t="e">
        <f>3*AL116^2+AJ102</f>
        <v>#VALUE!</v>
      </c>
      <c r="AO116" s="115" t="e">
        <f t="shared" si="28"/>
        <v>#VALUE!</v>
      </c>
      <c r="AP116" s="281"/>
      <c r="AQ116" s="282"/>
      <c r="AS116" s="125"/>
      <c r="AT116" s="126"/>
      <c r="AU116" s="114" t="e">
        <f t="shared" si="34"/>
        <v>#VALUE!</v>
      </c>
      <c r="AV116" s="115" t="e">
        <f>AU116^3+AS102*AU116+AT102</f>
        <v>#VALUE!</v>
      </c>
      <c r="AW116" s="115" t="e">
        <f>3*AU116^2+AS102</f>
        <v>#VALUE!</v>
      </c>
      <c r="AX116" s="115" t="e">
        <f t="shared" si="29"/>
        <v>#VALUE!</v>
      </c>
      <c r="AY116" s="281"/>
      <c r="AZ116" s="282"/>
      <c r="BB116" s="125"/>
      <c r="BC116" s="126"/>
      <c r="BD116" s="114" t="e">
        <f t="shared" si="35"/>
        <v>#VALUE!</v>
      </c>
      <c r="BE116" s="115" t="e">
        <f>BD116^3+BB102*BD116+BC102</f>
        <v>#VALUE!</v>
      </c>
      <c r="BF116" s="115" t="e">
        <f>3*BD116^2+BB102</f>
        <v>#VALUE!</v>
      </c>
      <c r="BG116" s="115" t="e">
        <f t="shared" si="30"/>
        <v>#VALUE!</v>
      </c>
      <c r="BH116" s="281"/>
      <c r="BI116" s="282"/>
      <c r="BK116" s="125"/>
      <c r="BL116" s="126"/>
      <c r="BM116" s="114" t="e">
        <f t="shared" si="36"/>
        <v>#VALUE!</v>
      </c>
      <c r="BN116" s="115" t="e">
        <f>BM116^3+BK102*BM116+BL102</f>
        <v>#VALUE!</v>
      </c>
      <c r="BO116" s="115" t="e">
        <f>3*BM116^2+BK102</f>
        <v>#VALUE!</v>
      </c>
      <c r="BP116" s="115" t="e">
        <f t="shared" si="31"/>
        <v>#VALUE!</v>
      </c>
      <c r="BQ116" s="281"/>
      <c r="BR116" s="282"/>
      <c r="BT116" s="125"/>
      <c r="BU116" s="126"/>
      <c r="BV116" s="114" t="e">
        <f t="shared" si="37"/>
        <v>#VALUE!</v>
      </c>
      <c r="BW116" s="115" t="e">
        <f>BV116^3+BT102*BV116+BU102</f>
        <v>#VALUE!</v>
      </c>
      <c r="BX116" s="115" t="e">
        <f>3*BV116^2+BT102</f>
        <v>#VALUE!</v>
      </c>
      <c r="BY116" s="115" t="e">
        <f t="shared" si="32"/>
        <v>#VALUE!</v>
      </c>
      <c r="BZ116" s="281"/>
      <c r="CA116" s="282"/>
    </row>
    <row r="117" spans="36:79" ht="18" hidden="1" customHeight="1" x14ac:dyDescent="0.15">
      <c r="AJ117" s="62" t="s">
        <v>223</v>
      </c>
      <c r="AK117" s="12" t="s">
        <v>224</v>
      </c>
      <c r="AL117" s="12" t="s">
        <v>225</v>
      </c>
      <c r="AM117" s="12" t="s">
        <v>226</v>
      </c>
      <c r="AN117" s="12" t="s">
        <v>227</v>
      </c>
      <c r="AO117" s="63" t="s">
        <v>228</v>
      </c>
      <c r="AP117" s="12" t="s">
        <v>229</v>
      </c>
      <c r="AQ117" s="13" t="s">
        <v>230</v>
      </c>
      <c r="AS117" s="62" t="s">
        <v>223</v>
      </c>
      <c r="AT117" s="12" t="s">
        <v>224</v>
      </c>
      <c r="AU117" s="12" t="s">
        <v>225</v>
      </c>
      <c r="AV117" s="12" t="s">
        <v>226</v>
      </c>
      <c r="AW117" s="12" t="s">
        <v>227</v>
      </c>
      <c r="AX117" s="63" t="s">
        <v>228</v>
      </c>
      <c r="AY117" s="12" t="s">
        <v>229</v>
      </c>
      <c r="AZ117" s="13" t="s">
        <v>230</v>
      </c>
      <c r="BB117" s="62" t="s">
        <v>223</v>
      </c>
      <c r="BC117" s="12" t="s">
        <v>224</v>
      </c>
      <c r="BD117" s="12" t="s">
        <v>225</v>
      </c>
      <c r="BE117" s="12" t="s">
        <v>226</v>
      </c>
      <c r="BF117" s="12" t="s">
        <v>227</v>
      </c>
      <c r="BG117" s="63" t="s">
        <v>228</v>
      </c>
      <c r="BH117" s="12" t="s">
        <v>229</v>
      </c>
      <c r="BI117" s="13" t="s">
        <v>230</v>
      </c>
      <c r="BK117" s="62" t="s">
        <v>223</v>
      </c>
      <c r="BL117" s="12" t="s">
        <v>224</v>
      </c>
      <c r="BM117" s="12" t="s">
        <v>225</v>
      </c>
      <c r="BN117" s="12" t="s">
        <v>226</v>
      </c>
      <c r="BO117" s="12" t="s">
        <v>227</v>
      </c>
      <c r="BP117" s="63" t="s">
        <v>228</v>
      </c>
      <c r="BQ117" s="12" t="s">
        <v>229</v>
      </c>
      <c r="BR117" s="13" t="s">
        <v>230</v>
      </c>
      <c r="BT117" s="62" t="s">
        <v>223</v>
      </c>
      <c r="BU117" s="12" t="s">
        <v>224</v>
      </c>
      <c r="BV117" s="12" t="s">
        <v>225</v>
      </c>
      <c r="BW117" s="12" t="s">
        <v>226</v>
      </c>
      <c r="BX117" s="12" t="s">
        <v>227</v>
      </c>
      <c r="BY117" s="63" t="s">
        <v>228</v>
      </c>
      <c r="BZ117" s="12" t="s">
        <v>229</v>
      </c>
      <c r="CA117" s="13" t="s">
        <v>230</v>
      </c>
    </row>
    <row r="118" spans="36:79" ht="18" hidden="1" customHeight="1" thickBot="1" x14ac:dyDescent="0.2">
      <c r="AJ118" s="107" t="str">
        <f>P23</f>
        <v/>
      </c>
      <c r="AK118" s="108" t="e">
        <f>M23+U23</f>
        <v>#VALUE!</v>
      </c>
      <c r="AL118" s="108">
        <f>IF(C33="",L19*(F19/40)^2,C33)</f>
        <v>0</v>
      </c>
      <c r="AM118" s="108">
        <f>F19</f>
        <v>0</v>
      </c>
      <c r="AN118" s="108" t="e">
        <f>AK78*1600/(8*L19)</f>
        <v>#VALUE!</v>
      </c>
      <c r="AO118" s="109">
        <f>V23</f>
        <v>0</v>
      </c>
      <c r="AP118" s="108" t="str">
        <f>L23</f>
        <v/>
      </c>
      <c r="AQ118" s="110">
        <f>W23</f>
        <v>0</v>
      </c>
      <c r="AS118" s="107" t="str">
        <f>IF(B24="使用電線-2",P24,IF(B25="使用電線-2",P25,IF(B26="使用電線-2",P26,IF(B27="使用電線-2",P27,IF(B28="使用電線-2",P28,IF(B29="使用電線-2",P29,""))))))</f>
        <v/>
      </c>
      <c r="AT118" s="108" t="str">
        <f>IF(B24="使用電線-2",M24+U24,IF(B25="使用電線-2",M25+U25,IF(B26="使用電線-2",M26+U26,IF(B27="使用電線-2",M27+U27,IF(B28="使用電線-2",M28+U28,IF(B29="使用電線-2",M29+U29,""))))))</f>
        <v/>
      </c>
      <c r="AU118" s="108">
        <f>IF(I33="",L19*(F19/40)^2,I33)</f>
        <v>0</v>
      </c>
      <c r="AV118" s="108">
        <f>F19</f>
        <v>0</v>
      </c>
      <c r="AW118" s="108" t="e">
        <f>AT118*1600/(8*L19)</f>
        <v>#VALUE!</v>
      </c>
      <c r="AX118" s="109" t="str">
        <f>IF(B24="使用電線-2",V24,IF(B25="使用電線-2",V25,IF(B26="使用電線-2",V26,IF(B27="使用電線-2",V27,IF(B28="使用電線-2",V28,IF(B29="使用電線-2",V29,""))))))</f>
        <v/>
      </c>
      <c r="AY118" s="108" t="str">
        <f>IF(B24="使用電線-2",L24,IF(B25="使用電線-2",L25,IF(B26="使用電線-2",L26,IF(B27="使用電線-2",L27,IF(B28="使用電線-2",L28,IF(B29="使用電線-2",L29,""))))))</f>
        <v/>
      </c>
      <c r="AZ118" s="110" t="str">
        <f>IF(B24="使用電線-2",W24,IF(B25="使用電線-2",W25,IF(B26="使用電線-2",W26,IF(B27="使用電線-2",W27,IF(B28="使用電線-2",W28,IF(B29="使用電線-2",W29,""))))))</f>
        <v/>
      </c>
      <c r="BB118" s="107" t="str">
        <f>IF(B25="使用電線-3",P25,IF(B26="使用電線-3",P26,IF(B27="使用電線-3",P27,IF(B28="使用電線-3",P28,IF(B29="使用電線-3",P29,"")))))</f>
        <v/>
      </c>
      <c r="BC118" s="108" t="str">
        <f>IF(B25="使用電線-3",M25+U25,IF(B26="使用電線-3",M26+U26,IF(B27="使用電線-3",M27+U27,IF(B28="使用電線-3",M28+U28,IF(B29="使用電線-3",M29+U29,"")))))</f>
        <v/>
      </c>
      <c r="BD118" s="108">
        <f>IF(N33="",L19*(F19/40)^2,N33)</f>
        <v>0</v>
      </c>
      <c r="BE118" s="108">
        <f>F19</f>
        <v>0</v>
      </c>
      <c r="BF118" s="108" t="e">
        <f>BC118*1600/(8*L19)</f>
        <v>#VALUE!</v>
      </c>
      <c r="BG118" s="109" t="str">
        <f>IF(B25="使用電線-3",V25,IF(B26="使用電線-3",V26,IF(B27="使用電線-3",V27,IF(B28="使用電線-3",V28,IF(B29="使用電線-3",V29,"")))))</f>
        <v/>
      </c>
      <c r="BH118" s="108" t="str">
        <f>IF(B25="使用電線-3",L25,IF(B26="使用電線-3",L26,IF(B27="使用電線-3",L27,IF(B28="使用電線-3",L28,IF(B29="使用電線-3",L29,"")))))</f>
        <v/>
      </c>
      <c r="BI118" s="110" t="str">
        <f>IF(B25="使用電線-3",W25,IF(B26="使用電線-3",W26,IF(B27="使用電線-3",W27,IF(B28="使用電線-3",W28,IF(B29="使用電線-3",W29,"")))))</f>
        <v/>
      </c>
      <c r="BK118" s="107" t="str">
        <f>IF(B26="使用電線-4",P26,IF(B27="使用電線-4",P27,IF(B28="使用電線-4",P28,IF(B29="使用電線-4",P29,""))))</f>
        <v/>
      </c>
      <c r="BL118" s="108" t="str">
        <f>IF(B26="使用電線-4",M26+U26,IF(B27="使用電線-4",M27+U27,IF(B28="使用電線-4",M28+U28,IF(B29="使用電線-4",M29+U29,""))))</f>
        <v/>
      </c>
      <c r="BM118" s="108">
        <f>IF(C47="",L19*(F19/40)^2,C47)</f>
        <v>0</v>
      </c>
      <c r="BN118" s="108">
        <f>F19</f>
        <v>0</v>
      </c>
      <c r="BO118" s="127" t="e">
        <f>BL118*1600/(8*L19)</f>
        <v>#VALUE!</v>
      </c>
      <c r="BP118" s="109" t="str">
        <f>IF(B26="使用電線-4",V26,IF(B27="使用電線-4",V27,IF(B28="使用電線-4",V28,IF(B29="使用電線-4",V29,""))))</f>
        <v/>
      </c>
      <c r="BQ118" s="108" t="str">
        <f>IF(B26="使用電線-4",L26,IF(B27="使用電線-4",L27,IF(B28="使用電線-4",L28,IF(B29="使用電線-4",L29,""))))</f>
        <v/>
      </c>
      <c r="BR118" s="110" t="str">
        <f>IF(B26="使用電線-4",W26,IF(B27="使用電線-4",W27,IF(B28="使用電線-4",W28,IF(B29="使用電線-4",W29,""))))</f>
        <v/>
      </c>
      <c r="BT118" s="107" t="str">
        <f>IF(B27="使用電線-5",P27,IF(B28="使用電線-5",P28,IF(B29="使用電線-5",P29,"")))</f>
        <v/>
      </c>
      <c r="BU118" s="108" t="str">
        <f>IF(B27="使用電線-5",M27+U27,IF(B28="使用電線-5",M28+U28,IF(B29="使用電線-5",M29+U29,"")))</f>
        <v/>
      </c>
      <c r="BV118" s="108">
        <f>IF(I47="",L19*(F19/40)^2,I47)</f>
        <v>0</v>
      </c>
      <c r="BW118" s="108">
        <f>F19</f>
        <v>0</v>
      </c>
      <c r="BX118" s="127" t="e">
        <f>BU118*1600/(8*L19)</f>
        <v>#VALUE!</v>
      </c>
      <c r="BY118" s="109" t="str">
        <f>IF(B27="使用電線-5",V27,IF(B28="使用電線-5",V28,IF(B29="使用電線-5",V29,"")))</f>
        <v/>
      </c>
      <c r="BZ118" s="108" t="str">
        <f>IF(B27="使用電線-5",L27,IF(B28="使用電線-5",L28,IF(B29="使用電線-5",L29,"")))</f>
        <v/>
      </c>
      <c r="CA118" s="110" t="str">
        <f>IF(B27="使用電線-5",W27,IF(B28="使用電線-5",W28,IF(B29="使用電線-5",W29,"")))</f>
        <v/>
      </c>
    </row>
    <row r="119" spans="36:79" ht="18" hidden="1" customHeight="1" x14ac:dyDescent="0.15"/>
    <row r="120" spans="36:79" ht="18" hidden="1" customHeight="1" thickBot="1" x14ac:dyDescent="0.2"/>
    <row r="121" spans="36:79" ht="18" hidden="1" customHeight="1" x14ac:dyDescent="0.15">
      <c r="AJ121" s="2" t="s">
        <v>232</v>
      </c>
      <c r="AK121" s="111" t="s">
        <v>233</v>
      </c>
      <c r="AL121" s="12" t="s">
        <v>234</v>
      </c>
      <c r="AM121" s="12" t="s">
        <v>235</v>
      </c>
      <c r="AN121" s="12" t="s">
        <v>236</v>
      </c>
      <c r="AO121" s="12" t="s">
        <v>237</v>
      </c>
      <c r="AP121" s="12" t="s">
        <v>238</v>
      </c>
      <c r="AQ121" s="13" t="s">
        <v>239</v>
      </c>
      <c r="AS121" s="2" t="s">
        <v>232</v>
      </c>
      <c r="AT121" s="111" t="s">
        <v>233</v>
      </c>
      <c r="AU121" s="12" t="s">
        <v>234</v>
      </c>
      <c r="AV121" s="12" t="s">
        <v>235</v>
      </c>
      <c r="AW121" s="12" t="s">
        <v>236</v>
      </c>
      <c r="AX121" s="12" t="s">
        <v>237</v>
      </c>
      <c r="AY121" s="12" t="s">
        <v>238</v>
      </c>
      <c r="AZ121" s="13" t="s">
        <v>239</v>
      </c>
      <c r="BB121" s="2" t="s">
        <v>232</v>
      </c>
      <c r="BC121" s="111" t="s">
        <v>233</v>
      </c>
      <c r="BD121" s="12" t="s">
        <v>234</v>
      </c>
      <c r="BE121" s="12" t="s">
        <v>235</v>
      </c>
      <c r="BF121" s="12" t="s">
        <v>236</v>
      </c>
      <c r="BG121" s="12" t="s">
        <v>237</v>
      </c>
      <c r="BH121" s="12" t="s">
        <v>238</v>
      </c>
      <c r="BI121" s="13" t="s">
        <v>239</v>
      </c>
      <c r="BK121" s="2" t="s">
        <v>232</v>
      </c>
      <c r="BL121" s="111" t="s">
        <v>233</v>
      </c>
      <c r="BM121" s="12" t="s">
        <v>234</v>
      </c>
      <c r="BN121" s="12" t="s">
        <v>235</v>
      </c>
      <c r="BO121" s="12" t="s">
        <v>236</v>
      </c>
      <c r="BP121" s="12" t="s">
        <v>237</v>
      </c>
      <c r="BQ121" s="12" t="s">
        <v>238</v>
      </c>
      <c r="BR121" s="13" t="s">
        <v>239</v>
      </c>
      <c r="BT121" s="2" t="s">
        <v>232</v>
      </c>
      <c r="BU121" s="111" t="s">
        <v>233</v>
      </c>
      <c r="BV121" s="12" t="s">
        <v>234</v>
      </c>
      <c r="BW121" s="12" t="s">
        <v>235</v>
      </c>
      <c r="BX121" s="12" t="s">
        <v>236</v>
      </c>
      <c r="BY121" s="12" t="s">
        <v>237</v>
      </c>
      <c r="BZ121" s="12" t="s">
        <v>238</v>
      </c>
      <c r="CA121" s="13" t="s">
        <v>239</v>
      </c>
    </row>
    <row r="122" spans="36:79" ht="18" hidden="1" customHeight="1" x14ac:dyDescent="0.15">
      <c r="AJ122" s="16" t="e">
        <f>-AJ125+AJ128</f>
        <v>#VALUE!</v>
      </c>
      <c r="AK122" s="17" t="e">
        <f>-AJ131</f>
        <v>#VALUE!</v>
      </c>
      <c r="AL122" s="18" t="e">
        <f>IF(AND(AP125&lt;0,AQ125&lt;0),AQ122*1.2,IF(AND(AP125&gt;0,AQ125&gt;0),AP122*0.8,10))</f>
        <v>#VALUE!</v>
      </c>
      <c r="AM122" s="18" t="e">
        <f>AL122^3+AJ122*AL122+AK122</f>
        <v>#VALUE!</v>
      </c>
      <c r="AN122" s="18" t="e">
        <f>3*AL122^2+AJ122</f>
        <v>#VALUE!</v>
      </c>
      <c r="AO122" s="18" t="e">
        <f t="shared" ref="AO122:AO136" si="38">AL122-AM122/AN122</f>
        <v>#VALUE!</v>
      </c>
      <c r="AP122" s="18" t="e">
        <f>-SQRT(ABS(-4*3*AJ122))/6</f>
        <v>#VALUE!</v>
      </c>
      <c r="AQ122" s="19" t="e">
        <f>SQRT(ABS(-4*3*AJ122))/6</f>
        <v>#VALUE!</v>
      </c>
      <c r="AS122" s="16" t="e">
        <f>-AS125+AS128</f>
        <v>#VALUE!</v>
      </c>
      <c r="AT122" s="17" t="e">
        <f>-AS131</f>
        <v>#VALUE!</v>
      </c>
      <c r="AU122" s="18" t="e">
        <f>IF(AND(AY125&lt;0,AZ125&lt;0),AZ122*1.2,IF(AND(AY125&gt;0,AZ125&gt;0),AY122*0.8,10))</f>
        <v>#VALUE!</v>
      </c>
      <c r="AV122" s="18" t="e">
        <f>AU122^3+AS122*AU122+AT122</f>
        <v>#VALUE!</v>
      </c>
      <c r="AW122" s="18" t="e">
        <f>3*AU122^2+AS122</f>
        <v>#VALUE!</v>
      </c>
      <c r="AX122" s="18" t="e">
        <f t="shared" ref="AX122:AX136" si="39">AU122-AV122/AW122</f>
        <v>#VALUE!</v>
      </c>
      <c r="AY122" s="18" t="e">
        <f>-SQRT(ABS(-4*3*AS122))/6</f>
        <v>#VALUE!</v>
      </c>
      <c r="AZ122" s="19" t="e">
        <f>SQRT(ABS(-4*3*AS122))/6</f>
        <v>#VALUE!</v>
      </c>
      <c r="BB122" s="16" t="e">
        <f>-BB125+BB128</f>
        <v>#VALUE!</v>
      </c>
      <c r="BC122" s="17" t="e">
        <f>-BB131</f>
        <v>#VALUE!</v>
      </c>
      <c r="BD122" s="18" t="e">
        <f>IF(AND(BH125&lt;0,BI125&lt;0),BI122*1.2,IF(AND(BH125&gt;0,BI125&gt;0),BH122*0.8,10))</f>
        <v>#VALUE!</v>
      </c>
      <c r="BE122" s="18" t="e">
        <f>BD122^3+BB122*BD122+BC122</f>
        <v>#VALUE!</v>
      </c>
      <c r="BF122" s="18" t="e">
        <f>3*BD122^2+BB122</f>
        <v>#VALUE!</v>
      </c>
      <c r="BG122" s="18" t="e">
        <f t="shared" ref="BG122:BG136" si="40">BD122-BE122/BF122</f>
        <v>#VALUE!</v>
      </c>
      <c r="BH122" s="18" t="e">
        <f>-SQRT(ABS(-4*3*BB122))/6</f>
        <v>#VALUE!</v>
      </c>
      <c r="BI122" s="19" t="e">
        <f>SQRT(ABS(-4*3*BB122))/6</f>
        <v>#VALUE!</v>
      </c>
      <c r="BK122" s="16" t="e">
        <f>-BK125+BK128</f>
        <v>#VALUE!</v>
      </c>
      <c r="BL122" s="17" t="e">
        <f>-BK131</f>
        <v>#VALUE!</v>
      </c>
      <c r="BM122" s="18" t="e">
        <f>IF(AND(BQ125&lt;0,BR125&lt;0),BR122*1.2,IF(AND(BQ125&gt;0,BR125&gt;0),BQ122*0.8,10))</f>
        <v>#VALUE!</v>
      </c>
      <c r="BN122" s="18" t="e">
        <f>BM122^3+BK122*BM122+BL122</f>
        <v>#VALUE!</v>
      </c>
      <c r="BO122" s="18" t="e">
        <f>3*BM122^2+BK122</f>
        <v>#VALUE!</v>
      </c>
      <c r="BP122" s="18" t="e">
        <f t="shared" ref="BP122:BP136" si="41">BM122-BN122/BO122</f>
        <v>#VALUE!</v>
      </c>
      <c r="BQ122" s="18" t="e">
        <f>-SQRT(ABS(-4*3*BK122))/6</f>
        <v>#VALUE!</v>
      </c>
      <c r="BR122" s="19" t="e">
        <f>SQRT(ABS(-4*3*BK122))/6</f>
        <v>#VALUE!</v>
      </c>
      <c r="BT122" s="16" t="e">
        <f>-BT125+BT128</f>
        <v>#VALUE!</v>
      </c>
      <c r="BU122" s="17" t="e">
        <f>-BT131</f>
        <v>#VALUE!</v>
      </c>
      <c r="BV122" s="18" t="e">
        <f>IF(AND(BZ125&lt;0,CA125&lt;0),CA122*1.2,IF(AND(BZ125&gt;0,CA125&gt;0),BZ122*0.8,10))</f>
        <v>#VALUE!</v>
      </c>
      <c r="BW122" s="18" t="e">
        <f>BV122^3+BT122*BV122+BU122</f>
        <v>#VALUE!</v>
      </c>
      <c r="BX122" s="18" t="e">
        <f>3*BV122^2+BT122</f>
        <v>#VALUE!</v>
      </c>
      <c r="BY122" s="18" t="e">
        <f t="shared" ref="BY122:BY136" si="42">BV122-BW122/BX122</f>
        <v>#VALUE!</v>
      </c>
      <c r="BZ122" s="18" t="e">
        <f>-SQRT(ABS(-4*3*BT122))/6</f>
        <v>#VALUE!</v>
      </c>
      <c r="CA122" s="19" t="e">
        <f>SQRT(ABS(-4*3*BT122))/6</f>
        <v>#VALUE!</v>
      </c>
    </row>
    <row r="123" spans="36:79" ht="18" hidden="1" customHeight="1" x14ac:dyDescent="0.15">
      <c r="AJ123" s="267"/>
      <c r="AK123" s="268"/>
      <c r="AL123" s="18" t="e">
        <f t="shared" ref="AL123:AL136" si="43">AO122</f>
        <v>#VALUE!</v>
      </c>
      <c r="AM123" s="18" t="e">
        <f>AL123^3+AJ122*AL123+AK122</f>
        <v>#VALUE!</v>
      </c>
      <c r="AN123" s="18" t="e">
        <f>3*AL123^2+AJ122</f>
        <v>#VALUE!</v>
      </c>
      <c r="AO123" s="18" t="e">
        <f t="shared" si="38"/>
        <v>#VALUE!</v>
      </c>
      <c r="AP123" s="6"/>
      <c r="AQ123" s="7"/>
      <c r="AS123" s="267"/>
      <c r="AT123" s="268"/>
      <c r="AU123" s="18" t="e">
        <f t="shared" ref="AU123:AU136" si="44">AX122</f>
        <v>#VALUE!</v>
      </c>
      <c r="AV123" s="18" t="e">
        <f>AU123^3+AS122*AU123+AT122</f>
        <v>#VALUE!</v>
      </c>
      <c r="AW123" s="18" t="e">
        <f>3*AU123^2+AS122</f>
        <v>#VALUE!</v>
      </c>
      <c r="AX123" s="18" t="e">
        <f t="shared" si="39"/>
        <v>#VALUE!</v>
      </c>
      <c r="AY123" s="6"/>
      <c r="AZ123" s="7"/>
      <c r="BB123" s="267"/>
      <c r="BC123" s="268"/>
      <c r="BD123" s="18" t="e">
        <f t="shared" ref="BD123:BD136" si="45">BG122</f>
        <v>#VALUE!</v>
      </c>
      <c r="BE123" s="18" t="e">
        <f>BD123^3+BB122*BD123+BC122</f>
        <v>#VALUE!</v>
      </c>
      <c r="BF123" s="18" t="e">
        <f>3*BD123^2+BB122</f>
        <v>#VALUE!</v>
      </c>
      <c r="BG123" s="18" t="e">
        <f t="shared" si="40"/>
        <v>#VALUE!</v>
      </c>
      <c r="BH123" s="6"/>
      <c r="BI123" s="7"/>
      <c r="BK123" s="267"/>
      <c r="BL123" s="268"/>
      <c r="BM123" s="18" t="e">
        <f t="shared" ref="BM123:BM136" si="46">BP122</f>
        <v>#VALUE!</v>
      </c>
      <c r="BN123" s="18" t="e">
        <f>BM123^3+BK122*BM123+BL122</f>
        <v>#VALUE!</v>
      </c>
      <c r="BO123" s="18" t="e">
        <f>3*BM123^2+BK122</f>
        <v>#VALUE!</v>
      </c>
      <c r="BP123" s="18" t="e">
        <f t="shared" si="41"/>
        <v>#VALUE!</v>
      </c>
      <c r="BQ123" s="6"/>
      <c r="BR123" s="7"/>
      <c r="BT123" s="267"/>
      <c r="BU123" s="268"/>
      <c r="BV123" s="18" t="e">
        <f t="shared" ref="BV123:BV136" si="47">BY122</f>
        <v>#VALUE!</v>
      </c>
      <c r="BW123" s="18" t="e">
        <f>BV123^3+BT122*BV123+BU122</f>
        <v>#VALUE!</v>
      </c>
      <c r="BX123" s="18" t="e">
        <f>3*BV123^2+BT122</f>
        <v>#VALUE!</v>
      </c>
      <c r="BY123" s="18" t="e">
        <f t="shared" si="42"/>
        <v>#VALUE!</v>
      </c>
      <c r="BZ123" s="6"/>
      <c r="CA123" s="7"/>
    </row>
    <row r="124" spans="36:79" ht="18" hidden="1" customHeight="1" x14ac:dyDescent="0.15">
      <c r="AJ124" s="269" t="s">
        <v>240</v>
      </c>
      <c r="AK124" s="270"/>
      <c r="AL124" s="18" t="e">
        <f t="shared" si="43"/>
        <v>#VALUE!</v>
      </c>
      <c r="AM124" s="18" t="e">
        <f>AL124^3+AJ122*AL124+AK122</f>
        <v>#VALUE!</v>
      </c>
      <c r="AN124" s="18" t="e">
        <f>3*AL124^2+AJ122</f>
        <v>#VALUE!</v>
      </c>
      <c r="AO124" s="18" t="e">
        <f t="shared" si="38"/>
        <v>#VALUE!</v>
      </c>
      <c r="AP124" s="14" t="s">
        <v>241</v>
      </c>
      <c r="AQ124" s="15" t="s">
        <v>242</v>
      </c>
      <c r="AS124" s="269" t="s">
        <v>240</v>
      </c>
      <c r="AT124" s="270"/>
      <c r="AU124" s="18" t="e">
        <f t="shared" si="44"/>
        <v>#VALUE!</v>
      </c>
      <c r="AV124" s="18" t="e">
        <f>AU124^3+AS122*AU124+AT122</f>
        <v>#VALUE!</v>
      </c>
      <c r="AW124" s="18" t="e">
        <f>3*AU124^2+AS122</f>
        <v>#VALUE!</v>
      </c>
      <c r="AX124" s="18" t="e">
        <f t="shared" si="39"/>
        <v>#VALUE!</v>
      </c>
      <c r="AY124" s="14" t="s">
        <v>241</v>
      </c>
      <c r="AZ124" s="15" t="s">
        <v>242</v>
      </c>
      <c r="BB124" s="269" t="s">
        <v>240</v>
      </c>
      <c r="BC124" s="270"/>
      <c r="BD124" s="18" t="e">
        <f t="shared" si="45"/>
        <v>#VALUE!</v>
      </c>
      <c r="BE124" s="18" t="e">
        <f>BD124^3+BB122*BD124+BC122</f>
        <v>#VALUE!</v>
      </c>
      <c r="BF124" s="18" t="e">
        <f>3*BD124^2+BB122</f>
        <v>#VALUE!</v>
      </c>
      <c r="BG124" s="18" t="e">
        <f t="shared" si="40"/>
        <v>#VALUE!</v>
      </c>
      <c r="BH124" s="14" t="s">
        <v>241</v>
      </c>
      <c r="BI124" s="15" t="s">
        <v>242</v>
      </c>
      <c r="BK124" s="269" t="s">
        <v>240</v>
      </c>
      <c r="BL124" s="270"/>
      <c r="BM124" s="18" t="e">
        <f t="shared" si="46"/>
        <v>#VALUE!</v>
      </c>
      <c r="BN124" s="18" t="e">
        <f>BM124^3+BK122*BM124+BL122</f>
        <v>#VALUE!</v>
      </c>
      <c r="BO124" s="18" t="e">
        <f>3*BM124^2+BK122</f>
        <v>#VALUE!</v>
      </c>
      <c r="BP124" s="18" t="e">
        <f t="shared" si="41"/>
        <v>#VALUE!</v>
      </c>
      <c r="BQ124" s="14" t="s">
        <v>241</v>
      </c>
      <c r="BR124" s="15" t="s">
        <v>242</v>
      </c>
      <c r="BT124" s="269" t="s">
        <v>240</v>
      </c>
      <c r="BU124" s="270"/>
      <c r="BV124" s="18" t="e">
        <f t="shared" si="47"/>
        <v>#VALUE!</v>
      </c>
      <c r="BW124" s="18" t="e">
        <f>BV124^3+BT122*BV124+BU122</f>
        <v>#VALUE!</v>
      </c>
      <c r="BX124" s="18" t="e">
        <f>3*BV124^2+BT122</f>
        <v>#VALUE!</v>
      </c>
      <c r="BY124" s="18" t="e">
        <f t="shared" si="42"/>
        <v>#VALUE!</v>
      </c>
      <c r="BZ124" s="14" t="s">
        <v>241</v>
      </c>
      <c r="CA124" s="15" t="s">
        <v>242</v>
      </c>
    </row>
    <row r="125" spans="36:79" ht="18" hidden="1" customHeight="1" x14ac:dyDescent="0.15">
      <c r="AJ125" s="269">
        <f>(AL138^2)+3*(AM138^2)*AQ138*(AQ133-15)/(8*10^7)</f>
        <v>0</v>
      </c>
      <c r="AK125" s="270"/>
      <c r="AL125" s="18" t="e">
        <f t="shared" si="43"/>
        <v>#VALUE!</v>
      </c>
      <c r="AM125" s="18" t="e">
        <f>AL125^3+AJ122*AL125+AK122</f>
        <v>#VALUE!</v>
      </c>
      <c r="AN125" s="18" t="e">
        <f>3*AL125^2+AJ122</f>
        <v>#VALUE!</v>
      </c>
      <c r="AO125" s="18" t="e">
        <f t="shared" si="38"/>
        <v>#VALUE!</v>
      </c>
      <c r="AP125" s="18" t="e">
        <f>AP122^3+AJ122*AP122+AK122</f>
        <v>#VALUE!</v>
      </c>
      <c r="AQ125" s="19" t="e">
        <f>AQ122^3+AJ122*AQ122+AK122</f>
        <v>#VALUE!</v>
      </c>
      <c r="AS125" s="269" t="e">
        <f>(AU138^2)+3*(AV138^2)*AZ138*(AZ133-15)/(8*10^7)</f>
        <v>#VALUE!</v>
      </c>
      <c r="AT125" s="270"/>
      <c r="AU125" s="18" t="e">
        <f t="shared" si="44"/>
        <v>#VALUE!</v>
      </c>
      <c r="AV125" s="18" t="e">
        <f>AU125^3+AS122*AU125+AT122</f>
        <v>#VALUE!</v>
      </c>
      <c r="AW125" s="18" t="e">
        <f>3*AU125^2+AS122</f>
        <v>#VALUE!</v>
      </c>
      <c r="AX125" s="18" t="e">
        <f t="shared" si="39"/>
        <v>#VALUE!</v>
      </c>
      <c r="AY125" s="18" t="e">
        <f>AY122^3+AS122*AY122+AT122</f>
        <v>#VALUE!</v>
      </c>
      <c r="AZ125" s="19" t="e">
        <f>AZ122^3+AS122*AZ122+AT122</f>
        <v>#VALUE!</v>
      </c>
      <c r="BB125" s="269" t="e">
        <f>(BD138^2)+3*(BE138^2)*BI138*(BI133-15)/(8*10^7)</f>
        <v>#VALUE!</v>
      </c>
      <c r="BC125" s="270"/>
      <c r="BD125" s="18" t="e">
        <f t="shared" si="45"/>
        <v>#VALUE!</v>
      </c>
      <c r="BE125" s="18" t="e">
        <f>BD125^3+BB122*BD125+BC122</f>
        <v>#VALUE!</v>
      </c>
      <c r="BF125" s="18" t="e">
        <f>3*BD125^2+BB122</f>
        <v>#VALUE!</v>
      </c>
      <c r="BG125" s="18" t="e">
        <f t="shared" si="40"/>
        <v>#VALUE!</v>
      </c>
      <c r="BH125" s="18" t="e">
        <f>BH122^3+BB122*BH122+BC122</f>
        <v>#VALUE!</v>
      </c>
      <c r="BI125" s="19" t="e">
        <f>BI122^3+BB122*BI122+BC122</f>
        <v>#VALUE!</v>
      </c>
      <c r="BK125" s="269" t="e">
        <f>(BM138^2)+3*(BN138^2)*BR138*(BR133-15)/(8*10^7)</f>
        <v>#VALUE!</v>
      </c>
      <c r="BL125" s="270"/>
      <c r="BM125" s="18" t="e">
        <f t="shared" si="46"/>
        <v>#VALUE!</v>
      </c>
      <c r="BN125" s="18" t="e">
        <f>BM125^3+BK122*BM125+BL122</f>
        <v>#VALUE!</v>
      </c>
      <c r="BO125" s="18" t="e">
        <f>3*BM125^2+BK122</f>
        <v>#VALUE!</v>
      </c>
      <c r="BP125" s="18" t="e">
        <f t="shared" si="41"/>
        <v>#VALUE!</v>
      </c>
      <c r="BQ125" s="18" t="e">
        <f>BQ122^3+BK122*BQ122+BL122</f>
        <v>#VALUE!</v>
      </c>
      <c r="BR125" s="19" t="e">
        <f>BR122^3+BK122*BR122+BL122</f>
        <v>#VALUE!</v>
      </c>
      <c r="BT125" s="269" t="e">
        <f>(BV138^2)+3*(BW138^2)*CA138*(CA133-15)/(8*10^7)</f>
        <v>#VALUE!</v>
      </c>
      <c r="BU125" s="270"/>
      <c r="BV125" s="18" t="e">
        <f t="shared" si="47"/>
        <v>#VALUE!</v>
      </c>
      <c r="BW125" s="18" t="e">
        <f>BV125^3+BT122*BV125+BU122</f>
        <v>#VALUE!</v>
      </c>
      <c r="BX125" s="18" t="e">
        <f>3*BV125^2+BT122</f>
        <v>#VALUE!</v>
      </c>
      <c r="BY125" s="18" t="e">
        <f t="shared" si="42"/>
        <v>#VALUE!</v>
      </c>
      <c r="BZ125" s="18" t="e">
        <f>BZ122^3+BT122*BZ122+BU122</f>
        <v>#VALUE!</v>
      </c>
      <c r="CA125" s="19" t="e">
        <f>CA122^3+BT122*CA122+BU122</f>
        <v>#VALUE!</v>
      </c>
    </row>
    <row r="126" spans="36:79" ht="18" hidden="1" customHeight="1" x14ac:dyDescent="0.15">
      <c r="AJ126" s="267"/>
      <c r="AK126" s="268"/>
      <c r="AL126" s="18" t="e">
        <f t="shared" si="43"/>
        <v>#VALUE!</v>
      </c>
      <c r="AM126" s="18" t="e">
        <f>AL126^3+AJ122*AL126+AK122</f>
        <v>#VALUE!</v>
      </c>
      <c r="AN126" s="18" t="e">
        <f>3*AL126^2+AJ122</f>
        <v>#VALUE!</v>
      </c>
      <c r="AO126" s="18" t="e">
        <f t="shared" si="38"/>
        <v>#VALUE!</v>
      </c>
      <c r="AP126" s="31"/>
      <c r="AQ126" s="32"/>
      <c r="AS126" s="267"/>
      <c r="AT126" s="268"/>
      <c r="AU126" s="18" t="e">
        <f t="shared" si="44"/>
        <v>#VALUE!</v>
      </c>
      <c r="AV126" s="18" t="e">
        <f>AU126^3+AS122*AU126+AT122</f>
        <v>#VALUE!</v>
      </c>
      <c r="AW126" s="18" t="e">
        <f>3*AU126^2+AS122</f>
        <v>#VALUE!</v>
      </c>
      <c r="AX126" s="18" t="e">
        <f t="shared" si="39"/>
        <v>#VALUE!</v>
      </c>
      <c r="AY126" s="31"/>
      <c r="AZ126" s="32"/>
      <c r="BB126" s="267"/>
      <c r="BC126" s="268"/>
      <c r="BD126" s="18" t="e">
        <f t="shared" si="45"/>
        <v>#VALUE!</v>
      </c>
      <c r="BE126" s="18" t="e">
        <f>BD126^3+BB122*BD126+BC122</f>
        <v>#VALUE!</v>
      </c>
      <c r="BF126" s="18" t="e">
        <f>3*BD126^2+BB122</f>
        <v>#VALUE!</v>
      </c>
      <c r="BG126" s="18" t="e">
        <f t="shared" si="40"/>
        <v>#VALUE!</v>
      </c>
      <c r="BH126" s="31"/>
      <c r="BI126" s="32"/>
      <c r="BK126" s="267"/>
      <c r="BL126" s="268"/>
      <c r="BM126" s="18" t="e">
        <f t="shared" si="46"/>
        <v>#VALUE!</v>
      </c>
      <c r="BN126" s="18" t="e">
        <f>BM126^3+BK122*BM126+BL122</f>
        <v>#VALUE!</v>
      </c>
      <c r="BO126" s="18" t="e">
        <f>3*BM126^2+BK122</f>
        <v>#VALUE!</v>
      </c>
      <c r="BP126" s="18" t="e">
        <f t="shared" si="41"/>
        <v>#VALUE!</v>
      </c>
      <c r="BQ126" s="31"/>
      <c r="BR126" s="32"/>
      <c r="BT126" s="267"/>
      <c r="BU126" s="268"/>
      <c r="BV126" s="18" t="e">
        <f t="shared" si="47"/>
        <v>#VALUE!</v>
      </c>
      <c r="BW126" s="18" t="e">
        <f>BV126^3+BT122*BV126+BU122</f>
        <v>#VALUE!</v>
      </c>
      <c r="BX126" s="18" t="e">
        <f>3*BV126^2+BT122</f>
        <v>#VALUE!</v>
      </c>
      <c r="BY126" s="18" t="e">
        <f t="shared" si="42"/>
        <v>#VALUE!</v>
      </c>
      <c r="BZ126" s="31"/>
      <c r="CA126" s="32"/>
    </row>
    <row r="127" spans="36:79" ht="18" hidden="1" customHeight="1" x14ac:dyDescent="0.15">
      <c r="AJ127" s="269" t="s">
        <v>243</v>
      </c>
      <c r="AK127" s="270"/>
      <c r="AL127" s="18" t="e">
        <f t="shared" si="43"/>
        <v>#VALUE!</v>
      </c>
      <c r="AM127" s="18" t="e">
        <f>AL127^3+AJ122*AL127+AK122</f>
        <v>#VALUE!</v>
      </c>
      <c r="AN127" s="18" t="e">
        <f>3*AL127^2+AJ122</f>
        <v>#VALUE!</v>
      </c>
      <c r="AO127" s="18" t="e">
        <f t="shared" si="38"/>
        <v>#VALUE!</v>
      </c>
      <c r="AP127" s="31"/>
      <c r="AQ127" s="32"/>
      <c r="AS127" s="269" t="s">
        <v>243</v>
      </c>
      <c r="AT127" s="270"/>
      <c r="AU127" s="18" t="e">
        <f t="shared" si="44"/>
        <v>#VALUE!</v>
      </c>
      <c r="AV127" s="18" t="e">
        <f>AU127^3+AS122*AU127+AT122</f>
        <v>#VALUE!</v>
      </c>
      <c r="AW127" s="18" t="e">
        <f>3*AU127^2+AS122</f>
        <v>#VALUE!</v>
      </c>
      <c r="AX127" s="18" t="e">
        <f t="shared" si="39"/>
        <v>#VALUE!</v>
      </c>
      <c r="AY127" s="31"/>
      <c r="AZ127" s="32"/>
      <c r="BB127" s="269" t="s">
        <v>243</v>
      </c>
      <c r="BC127" s="270"/>
      <c r="BD127" s="18" t="e">
        <f t="shared" si="45"/>
        <v>#VALUE!</v>
      </c>
      <c r="BE127" s="18" t="e">
        <f>BD127^3+BB122*BD127+BC122</f>
        <v>#VALUE!</v>
      </c>
      <c r="BF127" s="18" t="e">
        <f>3*BD127^2+BB122</f>
        <v>#VALUE!</v>
      </c>
      <c r="BG127" s="18" t="e">
        <f t="shared" si="40"/>
        <v>#VALUE!</v>
      </c>
      <c r="BH127" s="31"/>
      <c r="BI127" s="32"/>
      <c r="BK127" s="269" t="s">
        <v>243</v>
      </c>
      <c r="BL127" s="270"/>
      <c r="BM127" s="18" t="e">
        <f t="shared" si="46"/>
        <v>#VALUE!</v>
      </c>
      <c r="BN127" s="18" t="e">
        <f>BM127^3+BK122*BM127+BL122</f>
        <v>#VALUE!</v>
      </c>
      <c r="BO127" s="18" t="e">
        <f>3*BM127^2+BK122</f>
        <v>#VALUE!</v>
      </c>
      <c r="BP127" s="18" t="e">
        <f t="shared" si="41"/>
        <v>#VALUE!</v>
      </c>
      <c r="BQ127" s="31"/>
      <c r="BR127" s="32"/>
      <c r="BT127" s="269" t="s">
        <v>243</v>
      </c>
      <c r="BU127" s="270"/>
      <c r="BV127" s="18" t="e">
        <f t="shared" si="47"/>
        <v>#VALUE!</v>
      </c>
      <c r="BW127" s="18" t="e">
        <f>BV127^3+BT122*BV127+BU122</f>
        <v>#VALUE!</v>
      </c>
      <c r="BX127" s="18" t="e">
        <f>3*BV127^2+BT122</f>
        <v>#VALUE!</v>
      </c>
      <c r="BY127" s="18" t="e">
        <f t="shared" si="42"/>
        <v>#VALUE!</v>
      </c>
      <c r="BZ127" s="31"/>
      <c r="CA127" s="32"/>
    </row>
    <row r="128" spans="36:79" ht="18" hidden="1" customHeight="1" x14ac:dyDescent="0.15">
      <c r="AJ128" s="277" t="e">
        <f>3*(AM138^2)*AN138/(8*AO138*AP138)</f>
        <v>#VALUE!</v>
      </c>
      <c r="AK128" s="278"/>
      <c r="AL128" s="118" t="e">
        <f t="shared" si="43"/>
        <v>#VALUE!</v>
      </c>
      <c r="AM128" s="118" t="e">
        <f>AL128^3+AJ122*AL128+AK122</f>
        <v>#VALUE!</v>
      </c>
      <c r="AN128" s="118" t="e">
        <f>3*AL128^2+AJ122</f>
        <v>#VALUE!</v>
      </c>
      <c r="AO128" s="118" t="e">
        <f t="shared" si="38"/>
        <v>#VALUE!</v>
      </c>
      <c r="AP128" s="116"/>
      <c r="AQ128" s="117"/>
      <c r="AS128" s="277" t="e">
        <f>3*(AV138^2)*AW138/(8*AX138*AY138)</f>
        <v>#VALUE!</v>
      </c>
      <c r="AT128" s="278"/>
      <c r="AU128" s="118" t="e">
        <f t="shared" si="44"/>
        <v>#VALUE!</v>
      </c>
      <c r="AV128" s="118" t="e">
        <f>AU128^3+AS122*AU128+AT122</f>
        <v>#VALUE!</v>
      </c>
      <c r="AW128" s="118" t="e">
        <f>3*AU128^2+AS122</f>
        <v>#VALUE!</v>
      </c>
      <c r="AX128" s="118" t="e">
        <f t="shared" si="39"/>
        <v>#VALUE!</v>
      </c>
      <c r="AY128" s="116"/>
      <c r="AZ128" s="117"/>
      <c r="BB128" s="277" t="e">
        <f>3*(BE138^2)*BF138/(8*BG138*BH138)</f>
        <v>#VALUE!</v>
      </c>
      <c r="BC128" s="278"/>
      <c r="BD128" s="118" t="e">
        <f t="shared" si="45"/>
        <v>#VALUE!</v>
      </c>
      <c r="BE128" s="118" t="e">
        <f>BD128^3+BB122*BD128+BC122</f>
        <v>#VALUE!</v>
      </c>
      <c r="BF128" s="118" t="e">
        <f>3*BD128^2+BB122</f>
        <v>#VALUE!</v>
      </c>
      <c r="BG128" s="118" t="e">
        <f t="shared" si="40"/>
        <v>#VALUE!</v>
      </c>
      <c r="BH128" s="116"/>
      <c r="BI128" s="117"/>
      <c r="BK128" s="277" t="e">
        <f>3*(BN138^2)*BO138/(8*BP138*BQ138)</f>
        <v>#VALUE!</v>
      </c>
      <c r="BL128" s="278"/>
      <c r="BM128" s="118" t="e">
        <f t="shared" si="46"/>
        <v>#VALUE!</v>
      </c>
      <c r="BN128" s="118" t="e">
        <f>BM128^3+BK122*BM128+BL122</f>
        <v>#VALUE!</v>
      </c>
      <c r="BO128" s="118" t="e">
        <f>3*BM128^2+BK122</f>
        <v>#VALUE!</v>
      </c>
      <c r="BP128" s="118" t="e">
        <f t="shared" si="41"/>
        <v>#VALUE!</v>
      </c>
      <c r="BQ128" s="116"/>
      <c r="BR128" s="117"/>
      <c r="BT128" s="277" t="e">
        <f>3*(BW138^2)*BX138/(8*BY138*BZ138)</f>
        <v>#VALUE!</v>
      </c>
      <c r="BU128" s="278"/>
      <c r="BV128" s="118" t="e">
        <f t="shared" si="47"/>
        <v>#VALUE!</v>
      </c>
      <c r="BW128" s="118" t="e">
        <f>BV128^3+BT122*BV128+BU122</f>
        <v>#VALUE!</v>
      </c>
      <c r="BX128" s="118" t="e">
        <f>3*BV128^2+BT122</f>
        <v>#VALUE!</v>
      </c>
      <c r="BY128" s="118" t="e">
        <f t="shared" si="42"/>
        <v>#VALUE!</v>
      </c>
      <c r="BZ128" s="116"/>
      <c r="CA128" s="117"/>
    </row>
    <row r="129" spans="36:79" ht="18" hidden="1" customHeight="1" x14ac:dyDescent="0.15">
      <c r="AJ129" s="121"/>
      <c r="AK129" s="122"/>
      <c r="AL129" s="118" t="e">
        <f t="shared" si="43"/>
        <v>#VALUE!</v>
      </c>
      <c r="AM129" s="118" t="e">
        <f>AL129^3+AJ122*AL129+AK122</f>
        <v>#VALUE!</v>
      </c>
      <c r="AN129" s="118" t="e">
        <f>3*AL129^2+AJ122</f>
        <v>#VALUE!</v>
      </c>
      <c r="AO129" s="118" t="e">
        <f t="shared" si="38"/>
        <v>#VALUE!</v>
      </c>
      <c r="AP129" s="119"/>
      <c r="AQ129" s="120"/>
      <c r="AS129" s="121"/>
      <c r="AT129" s="122"/>
      <c r="AU129" s="118" t="e">
        <f t="shared" si="44"/>
        <v>#VALUE!</v>
      </c>
      <c r="AV129" s="118" t="e">
        <f>AU129^3+AS122*AU129+AT122</f>
        <v>#VALUE!</v>
      </c>
      <c r="AW129" s="118" t="e">
        <f>3*AU129^2+AS122</f>
        <v>#VALUE!</v>
      </c>
      <c r="AX129" s="118" t="e">
        <f t="shared" si="39"/>
        <v>#VALUE!</v>
      </c>
      <c r="AY129" s="119"/>
      <c r="AZ129" s="120"/>
      <c r="BB129" s="121"/>
      <c r="BC129" s="122"/>
      <c r="BD129" s="118" t="e">
        <f t="shared" si="45"/>
        <v>#VALUE!</v>
      </c>
      <c r="BE129" s="118" t="e">
        <f>BD129^3+BB122*BD129+BC122</f>
        <v>#VALUE!</v>
      </c>
      <c r="BF129" s="118" t="e">
        <f>3*BD129^2+BB122</f>
        <v>#VALUE!</v>
      </c>
      <c r="BG129" s="118" t="e">
        <f t="shared" si="40"/>
        <v>#VALUE!</v>
      </c>
      <c r="BH129" s="119"/>
      <c r="BI129" s="120"/>
      <c r="BK129" s="121"/>
      <c r="BL129" s="122"/>
      <c r="BM129" s="118" t="e">
        <f t="shared" si="46"/>
        <v>#VALUE!</v>
      </c>
      <c r="BN129" s="118" t="e">
        <f>BM129^3+BK122*BM129+BL122</f>
        <v>#VALUE!</v>
      </c>
      <c r="BO129" s="118" t="e">
        <f>3*BM129^2+BK122</f>
        <v>#VALUE!</v>
      </c>
      <c r="BP129" s="118" t="e">
        <f t="shared" si="41"/>
        <v>#VALUE!</v>
      </c>
      <c r="BQ129" s="119"/>
      <c r="BR129" s="120"/>
      <c r="BT129" s="121"/>
      <c r="BU129" s="122"/>
      <c r="BV129" s="118" t="e">
        <f t="shared" si="47"/>
        <v>#VALUE!</v>
      </c>
      <c r="BW129" s="118" t="e">
        <f>BV129^3+BT122*BV129+BU122</f>
        <v>#VALUE!</v>
      </c>
      <c r="BX129" s="118" t="e">
        <f>3*BV129^2+BT122</f>
        <v>#VALUE!</v>
      </c>
      <c r="BY129" s="118" t="e">
        <f t="shared" si="42"/>
        <v>#VALUE!</v>
      </c>
      <c r="BZ129" s="119"/>
      <c r="CA129" s="120"/>
    </row>
    <row r="130" spans="36:79" ht="18" hidden="1" customHeight="1" x14ac:dyDescent="0.15">
      <c r="AJ130" s="269" t="s">
        <v>244</v>
      </c>
      <c r="AK130" s="270"/>
      <c r="AL130" s="118" t="e">
        <f t="shared" si="43"/>
        <v>#VALUE!</v>
      </c>
      <c r="AM130" s="118" t="e">
        <f>AL130^3+AJ122*AL130+AK122</f>
        <v>#VALUE!</v>
      </c>
      <c r="AN130" s="118" t="e">
        <f>3*AL130^2+AJ122</f>
        <v>#VALUE!</v>
      </c>
      <c r="AO130" s="118" t="e">
        <f t="shared" si="38"/>
        <v>#VALUE!</v>
      </c>
      <c r="AP130" s="14" t="s">
        <v>245</v>
      </c>
      <c r="AQ130" s="123" t="e">
        <f>AO136</f>
        <v>#VALUE!</v>
      </c>
      <c r="AS130" s="269" t="s">
        <v>244</v>
      </c>
      <c r="AT130" s="270"/>
      <c r="AU130" s="118" t="e">
        <f t="shared" si="44"/>
        <v>#VALUE!</v>
      </c>
      <c r="AV130" s="118" t="e">
        <f>AU130^3+AS122*AU130+AT122</f>
        <v>#VALUE!</v>
      </c>
      <c r="AW130" s="118" t="e">
        <f>3*AU130^2+AS122</f>
        <v>#VALUE!</v>
      </c>
      <c r="AX130" s="118" t="e">
        <f t="shared" si="39"/>
        <v>#VALUE!</v>
      </c>
      <c r="AY130" s="14" t="s">
        <v>245</v>
      </c>
      <c r="AZ130" s="123" t="e">
        <f>AX136</f>
        <v>#VALUE!</v>
      </c>
      <c r="BB130" s="269" t="s">
        <v>244</v>
      </c>
      <c r="BC130" s="270"/>
      <c r="BD130" s="118" t="e">
        <f t="shared" si="45"/>
        <v>#VALUE!</v>
      </c>
      <c r="BE130" s="118" t="e">
        <f>BD130^3+BB122*BD130+BC122</f>
        <v>#VALUE!</v>
      </c>
      <c r="BF130" s="118" t="e">
        <f>3*BD130^2+BB122</f>
        <v>#VALUE!</v>
      </c>
      <c r="BG130" s="118" t="e">
        <f t="shared" si="40"/>
        <v>#VALUE!</v>
      </c>
      <c r="BH130" s="14" t="s">
        <v>245</v>
      </c>
      <c r="BI130" s="123" t="e">
        <f>BG136</f>
        <v>#VALUE!</v>
      </c>
      <c r="BK130" s="269" t="s">
        <v>244</v>
      </c>
      <c r="BL130" s="270"/>
      <c r="BM130" s="118" t="e">
        <f t="shared" si="46"/>
        <v>#VALUE!</v>
      </c>
      <c r="BN130" s="118" t="e">
        <f>BM130^3+BK122*BM130+BL122</f>
        <v>#VALUE!</v>
      </c>
      <c r="BO130" s="118" t="e">
        <f>3*BM130^2+BK122</f>
        <v>#VALUE!</v>
      </c>
      <c r="BP130" s="118" t="e">
        <f t="shared" si="41"/>
        <v>#VALUE!</v>
      </c>
      <c r="BQ130" s="14" t="s">
        <v>245</v>
      </c>
      <c r="BR130" s="123" t="e">
        <f>BP136</f>
        <v>#VALUE!</v>
      </c>
      <c r="BT130" s="269" t="s">
        <v>244</v>
      </c>
      <c r="BU130" s="270"/>
      <c r="BV130" s="118" t="e">
        <f t="shared" si="47"/>
        <v>#VALUE!</v>
      </c>
      <c r="BW130" s="118" t="e">
        <f>BV130^3+BT122*BV130+BU122</f>
        <v>#VALUE!</v>
      </c>
      <c r="BX130" s="118" t="e">
        <f>3*BV130^2+BT122</f>
        <v>#VALUE!</v>
      </c>
      <c r="BY130" s="118" t="e">
        <f t="shared" si="42"/>
        <v>#VALUE!</v>
      </c>
      <c r="BZ130" s="14" t="s">
        <v>245</v>
      </c>
      <c r="CA130" s="123" t="e">
        <f>BY136</f>
        <v>#VALUE!</v>
      </c>
    </row>
    <row r="131" spans="36:79" ht="18" hidden="1" customHeight="1" x14ac:dyDescent="0.15">
      <c r="AJ131" s="271" t="e">
        <f>AJ128*AL138*AK138/AK138</f>
        <v>#VALUE!</v>
      </c>
      <c r="AK131" s="272"/>
      <c r="AL131" s="118" t="e">
        <f t="shared" si="43"/>
        <v>#VALUE!</v>
      </c>
      <c r="AM131" s="118" t="e">
        <f>AL131^3+AJ122*AL131+AK122</f>
        <v>#VALUE!</v>
      </c>
      <c r="AN131" s="118" t="e">
        <f>3*AL131^2+AJ122</f>
        <v>#VALUE!</v>
      </c>
      <c r="AO131" s="118" t="e">
        <f t="shared" si="38"/>
        <v>#VALUE!</v>
      </c>
      <c r="AP131" s="14" t="s">
        <v>246</v>
      </c>
      <c r="AQ131" s="124" t="e">
        <f>AK138*AM138^2/(8*AO136)</f>
        <v>#VALUE!</v>
      </c>
      <c r="AS131" s="271" t="e">
        <f>AS128*AU138*AT138/AT138</f>
        <v>#VALUE!</v>
      </c>
      <c r="AT131" s="272"/>
      <c r="AU131" s="118" t="e">
        <f t="shared" si="44"/>
        <v>#VALUE!</v>
      </c>
      <c r="AV131" s="118" t="e">
        <f>AU131^3+AS122*AU131+AT122</f>
        <v>#VALUE!</v>
      </c>
      <c r="AW131" s="118" t="e">
        <f>3*AU131^2+AS122</f>
        <v>#VALUE!</v>
      </c>
      <c r="AX131" s="118" t="e">
        <f t="shared" si="39"/>
        <v>#VALUE!</v>
      </c>
      <c r="AY131" s="14" t="s">
        <v>246</v>
      </c>
      <c r="AZ131" s="124" t="e">
        <f>AT138*AV138^2/(8*AX136)</f>
        <v>#VALUE!</v>
      </c>
      <c r="BB131" s="271" t="e">
        <f>BB128*BD138*BC138/BC138</f>
        <v>#VALUE!</v>
      </c>
      <c r="BC131" s="272"/>
      <c r="BD131" s="118" t="e">
        <f t="shared" si="45"/>
        <v>#VALUE!</v>
      </c>
      <c r="BE131" s="118" t="e">
        <f>BD131^3+BB122*BD131+BC122</f>
        <v>#VALUE!</v>
      </c>
      <c r="BF131" s="118" t="e">
        <f>3*BD131^2+BB122</f>
        <v>#VALUE!</v>
      </c>
      <c r="BG131" s="118" t="e">
        <f t="shared" si="40"/>
        <v>#VALUE!</v>
      </c>
      <c r="BH131" s="14" t="s">
        <v>246</v>
      </c>
      <c r="BI131" s="124" t="e">
        <f>BC138*BE138^2/(8*BG136)</f>
        <v>#VALUE!</v>
      </c>
      <c r="BK131" s="271" t="e">
        <f>BK128*BM138*BL138/BL138</f>
        <v>#VALUE!</v>
      </c>
      <c r="BL131" s="272"/>
      <c r="BM131" s="118" t="e">
        <f t="shared" si="46"/>
        <v>#VALUE!</v>
      </c>
      <c r="BN131" s="118" t="e">
        <f>BM131^3+BK122*BM131+BL122</f>
        <v>#VALUE!</v>
      </c>
      <c r="BO131" s="118" t="e">
        <f>3*BM131^2+BK122</f>
        <v>#VALUE!</v>
      </c>
      <c r="BP131" s="118" t="e">
        <f t="shared" si="41"/>
        <v>#VALUE!</v>
      </c>
      <c r="BQ131" s="14" t="s">
        <v>246</v>
      </c>
      <c r="BR131" s="124" t="e">
        <f>BL138*BN138^2/(8*BP136)</f>
        <v>#VALUE!</v>
      </c>
      <c r="BT131" s="271" t="e">
        <f>BT128*BV138*BU138/BU138</f>
        <v>#VALUE!</v>
      </c>
      <c r="BU131" s="272"/>
      <c r="BV131" s="118" t="e">
        <f t="shared" si="47"/>
        <v>#VALUE!</v>
      </c>
      <c r="BW131" s="118" t="e">
        <f>BV131^3+BT122*BV131+BU122</f>
        <v>#VALUE!</v>
      </c>
      <c r="BX131" s="118" t="e">
        <f>3*BV131^2+BT122</f>
        <v>#VALUE!</v>
      </c>
      <c r="BY131" s="118" t="e">
        <f t="shared" si="42"/>
        <v>#VALUE!</v>
      </c>
      <c r="BZ131" s="14" t="s">
        <v>246</v>
      </c>
      <c r="CA131" s="124" t="e">
        <f>BU138*BW138^2/(8*BY136)</f>
        <v>#VALUE!</v>
      </c>
    </row>
    <row r="132" spans="36:79" ht="18" hidden="1" customHeight="1" x14ac:dyDescent="0.15">
      <c r="AJ132" s="125"/>
      <c r="AK132" s="126"/>
      <c r="AL132" s="118" t="e">
        <f t="shared" si="43"/>
        <v>#VALUE!</v>
      </c>
      <c r="AM132" s="118" t="e">
        <f>AL132^3+AJ122*AL132+AK122</f>
        <v>#VALUE!</v>
      </c>
      <c r="AN132" s="118" t="e">
        <f>3*AL132^2+AJ122</f>
        <v>#VALUE!</v>
      </c>
      <c r="AO132" s="118" t="e">
        <f t="shared" si="38"/>
        <v>#VALUE!</v>
      </c>
      <c r="AP132" s="116"/>
      <c r="AQ132" s="117"/>
      <c r="AS132" s="125"/>
      <c r="AT132" s="126"/>
      <c r="AU132" s="118" t="e">
        <f t="shared" si="44"/>
        <v>#VALUE!</v>
      </c>
      <c r="AV132" s="118" t="e">
        <f>AU132^3+AS122*AU132+AT122</f>
        <v>#VALUE!</v>
      </c>
      <c r="AW132" s="118" t="e">
        <f>3*AU132^2+AS122</f>
        <v>#VALUE!</v>
      </c>
      <c r="AX132" s="118" t="e">
        <f t="shared" si="39"/>
        <v>#VALUE!</v>
      </c>
      <c r="AY132" s="116"/>
      <c r="AZ132" s="117"/>
      <c r="BB132" s="125"/>
      <c r="BC132" s="126"/>
      <c r="BD132" s="118" t="e">
        <f t="shared" si="45"/>
        <v>#VALUE!</v>
      </c>
      <c r="BE132" s="118" t="e">
        <f>BD132^3+BB122*BD132+BC122</f>
        <v>#VALUE!</v>
      </c>
      <c r="BF132" s="118" t="e">
        <f>3*BD132^2+BB122</f>
        <v>#VALUE!</v>
      </c>
      <c r="BG132" s="118" t="e">
        <f t="shared" si="40"/>
        <v>#VALUE!</v>
      </c>
      <c r="BH132" s="116"/>
      <c r="BI132" s="117"/>
      <c r="BK132" s="125"/>
      <c r="BL132" s="126"/>
      <c r="BM132" s="118" t="e">
        <f t="shared" si="46"/>
        <v>#VALUE!</v>
      </c>
      <c r="BN132" s="118" t="e">
        <f>BM132^3+BK122*BM132+BL122</f>
        <v>#VALUE!</v>
      </c>
      <c r="BO132" s="118" t="e">
        <f>3*BM132^2+BK122</f>
        <v>#VALUE!</v>
      </c>
      <c r="BP132" s="118" t="e">
        <f t="shared" si="41"/>
        <v>#VALUE!</v>
      </c>
      <c r="BQ132" s="116"/>
      <c r="BR132" s="117"/>
      <c r="BT132" s="125"/>
      <c r="BU132" s="126"/>
      <c r="BV132" s="118" t="e">
        <f t="shared" si="47"/>
        <v>#VALUE!</v>
      </c>
      <c r="BW132" s="118" t="e">
        <f>BV132^3+BT122*BV132+BU122</f>
        <v>#VALUE!</v>
      </c>
      <c r="BX132" s="118" t="e">
        <f>3*BV132^2+BT122</f>
        <v>#VALUE!</v>
      </c>
      <c r="BY132" s="118" t="e">
        <f t="shared" si="42"/>
        <v>#VALUE!</v>
      </c>
      <c r="BZ132" s="116"/>
      <c r="CA132" s="117"/>
    </row>
    <row r="133" spans="36:79" ht="18" hidden="1" customHeight="1" x14ac:dyDescent="0.15">
      <c r="AJ133" s="125"/>
      <c r="AK133" s="126"/>
      <c r="AL133" s="118" t="e">
        <f t="shared" si="43"/>
        <v>#VALUE!</v>
      </c>
      <c r="AM133" s="118" t="e">
        <f>AL133^3+AJ122*AL133+AK122</f>
        <v>#VALUE!</v>
      </c>
      <c r="AN133" s="118" t="e">
        <f>3*AL133^2+AJ122</f>
        <v>#VALUE!</v>
      </c>
      <c r="AO133" s="118" t="e">
        <f t="shared" si="38"/>
        <v>#VALUE!</v>
      </c>
      <c r="AP133" s="112" t="s">
        <v>147</v>
      </c>
      <c r="AQ133" s="113">
        <v>0</v>
      </c>
      <c r="AS133" s="125"/>
      <c r="AT133" s="126"/>
      <c r="AU133" s="118" t="e">
        <f t="shared" si="44"/>
        <v>#VALUE!</v>
      </c>
      <c r="AV133" s="118" t="e">
        <f>AU133^3+AS122*AU133+AT122</f>
        <v>#VALUE!</v>
      </c>
      <c r="AW133" s="118" t="e">
        <f>3*AU133^2+AS122</f>
        <v>#VALUE!</v>
      </c>
      <c r="AX133" s="118" t="e">
        <f t="shared" si="39"/>
        <v>#VALUE!</v>
      </c>
      <c r="AY133" s="112" t="s">
        <v>147</v>
      </c>
      <c r="AZ133" s="113">
        <v>0</v>
      </c>
      <c r="BB133" s="125"/>
      <c r="BC133" s="126"/>
      <c r="BD133" s="118" t="e">
        <f t="shared" si="45"/>
        <v>#VALUE!</v>
      </c>
      <c r="BE133" s="118" t="e">
        <f>BD133^3+BB122*BD133+BC122</f>
        <v>#VALUE!</v>
      </c>
      <c r="BF133" s="118" t="e">
        <f>3*BD133^2+BB122</f>
        <v>#VALUE!</v>
      </c>
      <c r="BG133" s="118" t="e">
        <f t="shared" si="40"/>
        <v>#VALUE!</v>
      </c>
      <c r="BH133" s="112" t="s">
        <v>147</v>
      </c>
      <c r="BI133" s="113">
        <v>0</v>
      </c>
      <c r="BK133" s="125"/>
      <c r="BL133" s="126"/>
      <c r="BM133" s="118" t="e">
        <f t="shared" si="46"/>
        <v>#VALUE!</v>
      </c>
      <c r="BN133" s="118" t="e">
        <f>BM133^3+BK122*BM133+BL122</f>
        <v>#VALUE!</v>
      </c>
      <c r="BO133" s="118" t="e">
        <f>3*BM133^2+BK122</f>
        <v>#VALUE!</v>
      </c>
      <c r="BP133" s="118" t="e">
        <f t="shared" si="41"/>
        <v>#VALUE!</v>
      </c>
      <c r="BQ133" s="112" t="s">
        <v>147</v>
      </c>
      <c r="BR133" s="113">
        <v>0</v>
      </c>
      <c r="BT133" s="125"/>
      <c r="BU133" s="126"/>
      <c r="BV133" s="118" t="e">
        <f t="shared" si="47"/>
        <v>#VALUE!</v>
      </c>
      <c r="BW133" s="118" t="e">
        <f>BV133^3+BT122*BV133+BU122</f>
        <v>#VALUE!</v>
      </c>
      <c r="BX133" s="118" t="e">
        <f>3*BV133^2+BT122</f>
        <v>#VALUE!</v>
      </c>
      <c r="BY133" s="118" t="e">
        <f t="shared" si="42"/>
        <v>#VALUE!</v>
      </c>
      <c r="BZ133" s="112" t="s">
        <v>147</v>
      </c>
      <c r="CA133" s="113">
        <v>0</v>
      </c>
    </row>
    <row r="134" spans="36:79" ht="18" hidden="1" customHeight="1" x14ac:dyDescent="0.15">
      <c r="AJ134" s="125"/>
      <c r="AK134" s="126"/>
      <c r="AL134" s="118" t="e">
        <f t="shared" si="43"/>
        <v>#VALUE!</v>
      </c>
      <c r="AM134" s="118" t="e">
        <f>AL134^3+AJ122*AL134+AK122</f>
        <v>#VALUE!</v>
      </c>
      <c r="AN134" s="118" t="e">
        <f>3*AL134^2+AJ122</f>
        <v>#VALUE!</v>
      </c>
      <c r="AO134" s="118" t="e">
        <f t="shared" si="38"/>
        <v>#VALUE!</v>
      </c>
      <c r="AP134" s="128" t="s">
        <v>218</v>
      </c>
      <c r="AQ134" s="32"/>
      <c r="AS134" s="125"/>
      <c r="AT134" s="126"/>
      <c r="AU134" s="118" t="e">
        <f t="shared" si="44"/>
        <v>#VALUE!</v>
      </c>
      <c r="AV134" s="118" t="e">
        <f>AU134^3+AS122*AU134+AT122</f>
        <v>#VALUE!</v>
      </c>
      <c r="AW134" s="118" t="e">
        <f>3*AU134^2+AS122</f>
        <v>#VALUE!</v>
      </c>
      <c r="AX134" s="118" t="e">
        <f t="shared" si="39"/>
        <v>#VALUE!</v>
      </c>
      <c r="AY134" s="128" t="s">
        <v>219</v>
      </c>
      <c r="AZ134" s="32"/>
      <c r="BB134" s="125"/>
      <c r="BC134" s="126"/>
      <c r="BD134" s="118" t="e">
        <f t="shared" si="45"/>
        <v>#VALUE!</v>
      </c>
      <c r="BE134" s="118" t="e">
        <f>BD134^3+BB122*BD134+BC122</f>
        <v>#VALUE!</v>
      </c>
      <c r="BF134" s="118" t="e">
        <f>3*BD134^2+BB122</f>
        <v>#VALUE!</v>
      </c>
      <c r="BG134" s="118" t="e">
        <f t="shared" si="40"/>
        <v>#VALUE!</v>
      </c>
      <c r="BH134" s="128" t="s">
        <v>220</v>
      </c>
      <c r="BI134" s="32"/>
      <c r="BK134" s="125"/>
      <c r="BL134" s="126"/>
      <c r="BM134" s="118" t="e">
        <f t="shared" si="46"/>
        <v>#VALUE!</v>
      </c>
      <c r="BN134" s="118" t="e">
        <f>BM134^3+BK122*BM134+BL122</f>
        <v>#VALUE!</v>
      </c>
      <c r="BO134" s="118" t="e">
        <f>3*BM134^2+BK122</f>
        <v>#VALUE!</v>
      </c>
      <c r="BP134" s="118" t="e">
        <f t="shared" si="41"/>
        <v>#VALUE!</v>
      </c>
      <c r="BQ134" s="128" t="s">
        <v>221</v>
      </c>
      <c r="BR134" s="32"/>
      <c r="BT134" s="125"/>
      <c r="BU134" s="126"/>
      <c r="BV134" s="118" t="e">
        <f t="shared" si="47"/>
        <v>#VALUE!</v>
      </c>
      <c r="BW134" s="118" t="e">
        <f>BV134^3+BT122*BV134+BU122</f>
        <v>#VALUE!</v>
      </c>
      <c r="BX134" s="118" t="e">
        <f>3*BV134^2+BT122</f>
        <v>#VALUE!</v>
      </c>
      <c r="BY134" s="118" t="e">
        <f t="shared" si="42"/>
        <v>#VALUE!</v>
      </c>
      <c r="BZ134" s="128" t="s">
        <v>222</v>
      </c>
      <c r="CA134" s="32"/>
    </row>
    <row r="135" spans="36:79" ht="18" hidden="1" customHeight="1" x14ac:dyDescent="0.15">
      <c r="AJ135" s="125"/>
      <c r="AK135" s="126"/>
      <c r="AL135" s="18" t="e">
        <f t="shared" si="43"/>
        <v>#VALUE!</v>
      </c>
      <c r="AM135" s="18" t="e">
        <f>AL135^3+AJ122*AL135+AK122</f>
        <v>#VALUE!</v>
      </c>
      <c r="AN135" s="18" t="e">
        <f>3*AL135^2+AJ122</f>
        <v>#VALUE!</v>
      </c>
      <c r="AO135" s="18" t="e">
        <f t="shared" si="38"/>
        <v>#VALUE!</v>
      </c>
      <c r="AP135" s="273" t="str">
        <f>M54</f>
        <v>無 風 時　 0[℃]</v>
      </c>
      <c r="AQ135" s="284"/>
      <c r="AS135" s="125"/>
      <c r="AT135" s="126"/>
      <c r="AU135" s="18" t="e">
        <f t="shared" si="44"/>
        <v>#VALUE!</v>
      </c>
      <c r="AV135" s="18" t="e">
        <f>AU135^3+AS122*AU135+AT122</f>
        <v>#VALUE!</v>
      </c>
      <c r="AW135" s="18" t="e">
        <f>3*AU135^2+AS122</f>
        <v>#VALUE!</v>
      </c>
      <c r="AX135" s="18" t="e">
        <f t="shared" si="39"/>
        <v>#VALUE!</v>
      </c>
      <c r="AY135" s="273" t="str">
        <f>M54</f>
        <v>無 風 時　 0[℃]</v>
      </c>
      <c r="AZ135" s="274"/>
      <c r="BB135" s="125"/>
      <c r="BC135" s="126"/>
      <c r="BD135" s="18" t="e">
        <f t="shared" si="45"/>
        <v>#VALUE!</v>
      </c>
      <c r="BE135" s="18" t="e">
        <f>BD135^3+BB122*BD135+BC122</f>
        <v>#VALUE!</v>
      </c>
      <c r="BF135" s="18" t="e">
        <f>3*BD135^2+BB122</f>
        <v>#VALUE!</v>
      </c>
      <c r="BG135" s="18" t="e">
        <f t="shared" si="40"/>
        <v>#VALUE!</v>
      </c>
      <c r="BH135" s="273" t="str">
        <f>M54</f>
        <v>無 風 時　 0[℃]</v>
      </c>
      <c r="BI135" s="274"/>
      <c r="BK135" s="125"/>
      <c r="BL135" s="126"/>
      <c r="BM135" s="18" t="e">
        <f t="shared" si="46"/>
        <v>#VALUE!</v>
      </c>
      <c r="BN135" s="18" t="e">
        <f>BM135^3+BK122*BM135+BL122</f>
        <v>#VALUE!</v>
      </c>
      <c r="BO135" s="18" t="e">
        <f>3*BM135^2+BK122</f>
        <v>#VALUE!</v>
      </c>
      <c r="BP135" s="18" t="e">
        <f t="shared" si="41"/>
        <v>#VALUE!</v>
      </c>
      <c r="BQ135" s="273" t="str">
        <f>M54</f>
        <v>無 風 時　 0[℃]</v>
      </c>
      <c r="BR135" s="274"/>
      <c r="BT135" s="125"/>
      <c r="BU135" s="126"/>
      <c r="BV135" s="18" t="e">
        <f t="shared" si="47"/>
        <v>#VALUE!</v>
      </c>
      <c r="BW135" s="18" t="e">
        <f>BV135^3+BT122*BV135+BU122</f>
        <v>#VALUE!</v>
      </c>
      <c r="BX135" s="18" t="e">
        <f>3*BV135^2+BT122</f>
        <v>#VALUE!</v>
      </c>
      <c r="BY135" s="18" t="e">
        <f t="shared" si="42"/>
        <v>#VALUE!</v>
      </c>
      <c r="BZ135" s="273" t="str">
        <f>M54</f>
        <v>無 風 時　 0[℃]</v>
      </c>
      <c r="CA135" s="274"/>
    </row>
    <row r="136" spans="36:79" ht="18" hidden="1" customHeight="1" thickBot="1" x14ac:dyDescent="0.2">
      <c r="AJ136" s="125"/>
      <c r="AK136" s="126"/>
      <c r="AL136" s="114" t="e">
        <f t="shared" si="43"/>
        <v>#VALUE!</v>
      </c>
      <c r="AM136" s="115" t="e">
        <f>AL136^3+AJ122*AL136+AK122</f>
        <v>#VALUE!</v>
      </c>
      <c r="AN136" s="115" t="e">
        <f>3*AL136^2+AJ122</f>
        <v>#VALUE!</v>
      </c>
      <c r="AO136" s="115" t="e">
        <f t="shared" si="38"/>
        <v>#VALUE!</v>
      </c>
      <c r="AP136" s="285"/>
      <c r="AQ136" s="286"/>
      <c r="AS136" s="125"/>
      <c r="AT136" s="126"/>
      <c r="AU136" s="114" t="e">
        <f t="shared" si="44"/>
        <v>#VALUE!</v>
      </c>
      <c r="AV136" s="115" t="e">
        <f>AU136^3+AS122*AU136+AT122</f>
        <v>#VALUE!</v>
      </c>
      <c r="AW136" s="115" t="e">
        <f>3*AU136^2+AS122</f>
        <v>#VALUE!</v>
      </c>
      <c r="AX136" s="115" t="e">
        <f t="shared" si="39"/>
        <v>#VALUE!</v>
      </c>
      <c r="AY136" s="275"/>
      <c r="AZ136" s="276"/>
      <c r="BB136" s="125"/>
      <c r="BC136" s="126"/>
      <c r="BD136" s="114" t="e">
        <f t="shared" si="45"/>
        <v>#VALUE!</v>
      </c>
      <c r="BE136" s="115" t="e">
        <f>BD136^3+BB122*BD136+BC122</f>
        <v>#VALUE!</v>
      </c>
      <c r="BF136" s="115" t="e">
        <f>3*BD136^2+BB122</f>
        <v>#VALUE!</v>
      </c>
      <c r="BG136" s="115" t="e">
        <f t="shared" si="40"/>
        <v>#VALUE!</v>
      </c>
      <c r="BH136" s="275"/>
      <c r="BI136" s="276"/>
      <c r="BK136" s="125"/>
      <c r="BL136" s="126"/>
      <c r="BM136" s="114" t="e">
        <f t="shared" si="46"/>
        <v>#VALUE!</v>
      </c>
      <c r="BN136" s="115" t="e">
        <f>BM136^3+BK122*BM136+BL122</f>
        <v>#VALUE!</v>
      </c>
      <c r="BO136" s="115" t="e">
        <f>3*BM136^2+BK122</f>
        <v>#VALUE!</v>
      </c>
      <c r="BP136" s="115" t="e">
        <f t="shared" si="41"/>
        <v>#VALUE!</v>
      </c>
      <c r="BQ136" s="275"/>
      <c r="BR136" s="276"/>
      <c r="BT136" s="125"/>
      <c r="BU136" s="126"/>
      <c r="BV136" s="114" t="e">
        <f t="shared" si="47"/>
        <v>#VALUE!</v>
      </c>
      <c r="BW136" s="115" t="e">
        <f>BV136^3+BT122*BV136+BU122</f>
        <v>#VALUE!</v>
      </c>
      <c r="BX136" s="115" t="e">
        <f>3*BV136^2+BT122</f>
        <v>#VALUE!</v>
      </c>
      <c r="BY136" s="115" t="e">
        <f t="shared" si="42"/>
        <v>#VALUE!</v>
      </c>
      <c r="BZ136" s="275"/>
      <c r="CA136" s="276"/>
    </row>
    <row r="137" spans="36:79" ht="18" hidden="1" customHeight="1" x14ac:dyDescent="0.15">
      <c r="AJ137" s="62"/>
      <c r="AK137" s="12" t="s">
        <v>224</v>
      </c>
      <c r="AL137" s="12" t="s">
        <v>225</v>
      </c>
      <c r="AM137" s="12" t="s">
        <v>226</v>
      </c>
      <c r="AN137" s="12" t="s">
        <v>227</v>
      </c>
      <c r="AO137" s="63" t="s">
        <v>228</v>
      </c>
      <c r="AP137" s="12" t="s">
        <v>229</v>
      </c>
      <c r="AQ137" s="13" t="s">
        <v>230</v>
      </c>
      <c r="AS137" s="62"/>
      <c r="AT137" s="12" t="s">
        <v>224</v>
      </c>
      <c r="AU137" s="12" t="s">
        <v>225</v>
      </c>
      <c r="AV137" s="12" t="s">
        <v>226</v>
      </c>
      <c r="AW137" s="12" t="s">
        <v>227</v>
      </c>
      <c r="AX137" s="63" t="s">
        <v>228</v>
      </c>
      <c r="AY137" s="12" t="s">
        <v>229</v>
      </c>
      <c r="AZ137" s="13" t="s">
        <v>230</v>
      </c>
      <c r="BB137" s="62"/>
      <c r="BC137" s="12" t="s">
        <v>224</v>
      </c>
      <c r="BD137" s="12" t="s">
        <v>225</v>
      </c>
      <c r="BE137" s="12" t="s">
        <v>226</v>
      </c>
      <c r="BF137" s="12" t="s">
        <v>227</v>
      </c>
      <c r="BG137" s="63" t="s">
        <v>228</v>
      </c>
      <c r="BH137" s="12" t="s">
        <v>229</v>
      </c>
      <c r="BI137" s="13" t="s">
        <v>230</v>
      </c>
      <c r="BK137" s="62"/>
      <c r="BL137" s="12" t="s">
        <v>224</v>
      </c>
      <c r="BM137" s="12" t="s">
        <v>225</v>
      </c>
      <c r="BN137" s="12" t="s">
        <v>226</v>
      </c>
      <c r="BO137" s="12" t="s">
        <v>227</v>
      </c>
      <c r="BP137" s="63" t="s">
        <v>228</v>
      </c>
      <c r="BQ137" s="12" t="s">
        <v>229</v>
      </c>
      <c r="BR137" s="13" t="s">
        <v>230</v>
      </c>
      <c r="BT137" s="62"/>
      <c r="BU137" s="12" t="s">
        <v>224</v>
      </c>
      <c r="BV137" s="12" t="s">
        <v>225</v>
      </c>
      <c r="BW137" s="12" t="s">
        <v>226</v>
      </c>
      <c r="BX137" s="12" t="s">
        <v>227</v>
      </c>
      <c r="BY137" s="63" t="s">
        <v>228</v>
      </c>
      <c r="BZ137" s="12" t="s">
        <v>229</v>
      </c>
      <c r="CA137" s="13" t="s">
        <v>230</v>
      </c>
    </row>
    <row r="138" spans="36:79" ht="18" hidden="1" customHeight="1" thickBot="1" x14ac:dyDescent="0.2">
      <c r="AJ138" s="107"/>
      <c r="AK138" s="108" t="e">
        <f>M23+U23</f>
        <v>#VALUE!</v>
      </c>
      <c r="AL138" s="108">
        <f>IF(C33="",L19*(F19/40)^2,C33)</f>
        <v>0</v>
      </c>
      <c r="AM138" s="108">
        <f>F19</f>
        <v>0</v>
      </c>
      <c r="AN138" s="108" t="e">
        <f>AK78*1600/(8*L19)</f>
        <v>#VALUE!</v>
      </c>
      <c r="AO138" s="109">
        <f>V23</f>
        <v>0</v>
      </c>
      <c r="AP138" s="108" t="str">
        <f>L23</f>
        <v/>
      </c>
      <c r="AQ138" s="110">
        <f>W23</f>
        <v>0</v>
      </c>
      <c r="AS138" s="107"/>
      <c r="AT138" s="108" t="str">
        <f>IF(B24="使用電線-2",M24+U24,IF(B25="使用電線-2",M25+U25,IF(B26="使用電線-2",M26+U26,IF(B27="使用電線-2",M27+U27,IF(B28="使用電線-2",M28+U28,IF(B29="使用電線-2",M29+U29,""))))))</f>
        <v/>
      </c>
      <c r="AU138" s="108">
        <f>IF(I33="",L19*(F19/40)^2,I33)</f>
        <v>0</v>
      </c>
      <c r="AV138" s="108">
        <f>F19</f>
        <v>0</v>
      </c>
      <c r="AW138" s="108" t="e">
        <f>AT138*1600/(8*L19)</f>
        <v>#VALUE!</v>
      </c>
      <c r="AX138" s="109" t="str">
        <f>IF(B24="使用電線-2",V24,IF(B25="使用電線-2",V25,IF(B26="使用電線-2",V26,IF(B27="使用電線-2",V27,IF(B28="使用電線-2",V28,IF(B29="使用電線-2",V29,""))))))</f>
        <v/>
      </c>
      <c r="AY138" s="108" t="str">
        <f>IF(B24="使用電線-2",L24,IF(B25="使用電線-2",L25,IF(B26="使用電線-2",L26,IF(B27="使用電線-2",L27,IF(B28="使用電線-2",L28,IF(B29="使用電線-2",L29,""))))))</f>
        <v/>
      </c>
      <c r="AZ138" s="110" t="str">
        <f>IF(B24="使用電線-2",W24,IF(B25="使用電線-2",W25,IF(B26="使用電線-2",W26,IF(B27="使用電線-2",W27,IF(B28="使用電線-2",W28,IF(B29="使用電線-2",W29,""))))))</f>
        <v/>
      </c>
      <c r="BB138" s="107"/>
      <c r="BC138" s="108" t="str">
        <f>IF(B25="使用電線-3",M25+U25,IF(B26="使用電線-3",M26+U26,IF(B27="使用電線-3",M27+U27,IF(B28="使用電線-3",M28+U28,IF(B29="使用電線-3",M29+U29,"")))))</f>
        <v/>
      </c>
      <c r="BD138" s="108">
        <f>IF(N33="",L19*(F19/40)^2,N33)</f>
        <v>0</v>
      </c>
      <c r="BE138" s="108">
        <f>F19</f>
        <v>0</v>
      </c>
      <c r="BF138" s="108" t="e">
        <f>BC138*1600/(8*L19)</f>
        <v>#VALUE!</v>
      </c>
      <c r="BG138" s="109" t="str">
        <f>IF(B25="使用電線-3",V25,IF(B26="使用電線-3",V26,IF(B27="使用電線-3",V27,IF(B28="使用電線-3",V28,IF(B29="使用電線-3",V29,"")))))</f>
        <v/>
      </c>
      <c r="BH138" s="108" t="str">
        <f>IF(B25="使用電線-3",L25,IF(B26="使用電線-3",L26,IF(B27="使用電線-3",L27,IF(B28="使用電線-3",L28,IF(B29="使用電線-3",L29,"")))))</f>
        <v/>
      </c>
      <c r="BI138" s="110" t="str">
        <f>IF(B25="使用電線-3",W25,IF(B26="使用電線-3",W26,IF(B27="使用電線-3",W27,IF(B28="使用電線-3",W28,IF(B29="使用電線-3",W29,"")))))</f>
        <v/>
      </c>
      <c r="BK138" s="107"/>
      <c r="BL138" s="108" t="str">
        <f>IF(B26="使用電線-4",M26+U26,IF(B27="使用電線-4",M27+U27,IF(B28="使用電線-4",M28+U28,IF(B29="使用電線-4",M29+U29,""))))</f>
        <v/>
      </c>
      <c r="BM138" s="108">
        <f>IF(C47="",L19*(F19/40)^2,C47)</f>
        <v>0</v>
      </c>
      <c r="BN138" s="108">
        <f>F19</f>
        <v>0</v>
      </c>
      <c r="BO138" s="127" t="e">
        <f>BL138*1600/(8*L19)</f>
        <v>#VALUE!</v>
      </c>
      <c r="BP138" s="109" t="str">
        <f>IF(B26="使用電線-4",V26,IF(B27="使用電線-4",V27,IF(B28="使用電線-4",V28,IF(B29="使用電線-4",V29,""))))</f>
        <v/>
      </c>
      <c r="BQ138" s="108" t="str">
        <f>IF(B26="使用電線-4",L26,IF(B27="使用電線-4",L27,IF(B28="使用電線-4",L28,IF(B29="使用電線-4",L29,""))))</f>
        <v/>
      </c>
      <c r="BR138" s="110" t="str">
        <f>IF(B26="使用電線-4",W26,IF(B27="使用電線-4",W27,IF(B28="使用電線-4",W28,IF(B29="使用電線-4",W29,""))))</f>
        <v/>
      </c>
      <c r="BT138" s="107"/>
      <c r="BU138" s="108" t="str">
        <f>IF(B27="使用電線-5",M27+U27,IF(B28="使用電線-5",M28+U28,IF(B29="使用電線-5",M29+U29,"")))</f>
        <v/>
      </c>
      <c r="BV138" s="108">
        <f>IF(I47="",L19*(F19/40)^2,I47)</f>
        <v>0</v>
      </c>
      <c r="BW138" s="108">
        <f>F19</f>
        <v>0</v>
      </c>
      <c r="BX138" s="127" t="e">
        <f>BU138*1600/(8*L19)</f>
        <v>#VALUE!</v>
      </c>
      <c r="BY138" s="109" t="str">
        <f>IF(B27="使用電線-5",V27,IF(B28="使用電線-5",V28,IF(B29="使用電線-5",V29,"")))</f>
        <v/>
      </c>
      <c r="BZ138" s="108" t="str">
        <f>IF(B27="使用電線-5",L27,IF(B28="使用電線-5",L28,IF(B29="使用電線-5",L29,"")))</f>
        <v/>
      </c>
      <c r="CA138" s="110" t="str">
        <f>IF(B27="使用電線-5",W27,IF(B28="使用電線-5",W28,IF(B29="使用電線-5",W29,"")))</f>
        <v/>
      </c>
    </row>
    <row r="139" spans="36:79" ht="18" hidden="1" customHeight="1" x14ac:dyDescent="0.15"/>
    <row r="140" spans="36:79" ht="18" hidden="1" customHeight="1" thickBot="1" x14ac:dyDescent="0.2"/>
    <row r="141" spans="36:79" ht="18" hidden="1" customHeight="1" x14ac:dyDescent="0.15">
      <c r="AJ141" s="2" t="s">
        <v>232</v>
      </c>
      <c r="AK141" s="111" t="s">
        <v>233</v>
      </c>
      <c r="AL141" s="12" t="s">
        <v>234</v>
      </c>
      <c r="AM141" s="12" t="s">
        <v>235</v>
      </c>
      <c r="AN141" s="12" t="s">
        <v>236</v>
      </c>
      <c r="AO141" s="12" t="s">
        <v>237</v>
      </c>
      <c r="AP141" s="12" t="s">
        <v>238</v>
      </c>
      <c r="AQ141" s="13" t="s">
        <v>239</v>
      </c>
      <c r="AS141" s="2" t="s">
        <v>232</v>
      </c>
      <c r="AT141" s="111" t="s">
        <v>233</v>
      </c>
      <c r="AU141" s="12" t="s">
        <v>234</v>
      </c>
      <c r="AV141" s="12" t="s">
        <v>235</v>
      </c>
      <c r="AW141" s="12" t="s">
        <v>236</v>
      </c>
      <c r="AX141" s="12" t="s">
        <v>237</v>
      </c>
      <c r="AY141" s="12" t="s">
        <v>238</v>
      </c>
      <c r="AZ141" s="13" t="s">
        <v>239</v>
      </c>
      <c r="BB141" s="2" t="s">
        <v>232</v>
      </c>
      <c r="BC141" s="111" t="s">
        <v>233</v>
      </c>
      <c r="BD141" s="12" t="s">
        <v>234</v>
      </c>
      <c r="BE141" s="12" t="s">
        <v>235</v>
      </c>
      <c r="BF141" s="12" t="s">
        <v>236</v>
      </c>
      <c r="BG141" s="12" t="s">
        <v>237</v>
      </c>
      <c r="BH141" s="12" t="s">
        <v>238</v>
      </c>
      <c r="BI141" s="13" t="s">
        <v>239</v>
      </c>
      <c r="BK141" s="2" t="s">
        <v>232</v>
      </c>
      <c r="BL141" s="111" t="s">
        <v>233</v>
      </c>
      <c r="BM141" s="12" t="s">
        <v>234</v>
      </c>
      <c r="BN141" s="12" t="s">
        <v>235</v>
      </c>
      <c r="BO141" s="12" t="s">
        <v>236</v>
      </c>
      <c r="BP141" s="12" t="s">
        <v>237</v>
      </c>
      <c r="BQ141" s="12" t="s">
        <v>238</v>
      </c>
      <c r="BR141" s="13" t="s">
        <v>239</v>
      </c>
      <c r="BT141" s="2" t="s">
        <v>232</v>
      </c>
      <c r="BU141" s="111" t="s">
        <v>233</v>
      </c>
      <c r="BV141" s="12" t="s">
        <v>234</v>
      </c>
      <c r="BW141" s="12" t="s">
        <v>235</v>
      </c>
      <c r="BX141" s="12" t="s">
        <v>236</v>
      </c>
      <c r="BY141" s="12" t="s">
        <v>237</v>
      </c>
      <c r="BZ141" s="12" t="s">
        <v>238</v>
      </c>
      <c r="CA141" s="13" t="s">
        <v>239</v>
      </c>
    </row>
    <row r="142" spans="36:79" ht="18" hidden="1" customHeight="1" x14ac:dyDescent="0.15">
      <c r="AJ142" s="16" t="e">
        <f>-AJ145+AJ148</f>
        <v>#VALUE!</v>
      </c>
      <c r="AK142" s="17" t="e">
        <f>-AJ151</f>
        <v>#VALUE!</v>
      </c>
      <c r="AL142" s="18" t="e">
        <f>IF(AND(AP145&lt;0,AQ145&lt;0),AQ142*1.2,IF(AND(AP145&gt;0,AQ145&gt;0),AP142*0.8,10))</f>
        <v>#VALUE!</v>
      </c>
      <c r="AM142" s="18" t="e">
        <f>AL142^3+AJ142*AL142+AK142</f>
        <v>#VALUE!</v>
      </c>
      <c r="AN142" s="18" t="e">
        <f>3*AL142^2+AJ142</f>
        <v>#VALUE!</v>
      </c>
      <c r="AO142" s="18" t="e">
        <f t="shared" ref="AO142:AO156" si="48">AL142-AM142/AN142</f>
        <v>#VALUE!</v>
      </c>
      <c r="AP142" s="18" t="e">
        <f>-SQRT(ABS(-4*3*AJ142))/6</f>
        <v>#VALUE!</v>
      </c>
      <c r="AQ142" s="19" t="e">
        <f>SQRT(ABS(-4*3*AJ142))/6</f>
        <v>#VALUE!</v>
      </c>
      <c r="AS142" s="16" t="e">
        <f>-AS145+AS148</f>
        <v>#VALUE!</v>
      </c>
      <c r="AT142" s="17" t="e">
        <f>-AS151</f>
        <v>#VALUE!</v>
      </c>
      <c r="AU142" s="18" t="e">
        <f>IF(AND(AY145&lt;0,AZ145&lt;0),AZ142*1.2,IF(AND(AY145&gt;0,AZ145&gt;0),AY142*0.8,10))</f>
        <v>#VALUE!</v>
      </c>
      <c r="AV142" s="18" t="e">
        <f>AU142^3+AS142*AU142+AT142</f>
        <v>#VALUE!</v>
      </c>
      <c r="AW142" s="18" t="e">
        <f>3*AU142^2+AS142</f>
        <v>#VALUE!</v>
      </c>
      <c r="AX142" s="18" t="e">
        <f t="shared" ref="AX142:AX156" si="49">AU142-AV142/AW142</f>
        <v>#VALUE!</v>
      </c>
      <c r="AY142" s="18" t="e">
        <f>-SQRT(ABS(-4*3*AS142))/6</f>
        <v>#VALUE!</v>
      </c>
      <c r="AZ142" s="19" t="e">
        <f>SQRT(ABS(-4*3*AS142))/6</f>
        <v>#VALUE!</v>
      </c>
      <c r="BB142" s="16" t="e">
        <f>-BB145+BB148</f>
        <v>#VALUE!</v>
      </c>
      <c r="BC142" s="17" t="e">
        <f>-BB151</f>
        <v>#VALUE!</v>
      </c>
      <c r="BD142" s="18" t="e">
        <f>IF(AND(BH145&lt;0,BI145&lt;0),BI142*1.2,IF(AND(BH145&gt;0,BI145&gt;0),BH142*0.8,10))</f>
        <v>#VALUE!</v>
      </c>
      <c r="BE142" s="18" t="e">
        <f>BD142^3+BB142*BD142+BC142</f>
        <v>#VALUE!</v>
      </c>
      <c r="BF142" s="18" t="e">
        <f>3*BD142^2+BB142</f>
        <v>#VALUE!</v>
      </c>
      <c r="BG142" s="18" t="e">
        <f t="shared" ref="BG142:BG156" si="50">BD142-BE142/BF142</f>
        <v>#VALUE!</v>
      </c>
      <c r="BH142" s="18" t="e">
        <f>-SQRT(ABS(-4*3*BB142))/6</f>
        <v>#VALUE!</v>
      </c>
      <c r="BI142" s="19" t="e">
        <f>SQRT(ABS(-4*3*BB142))/6</f>
        <v>#VALUE!</v>
      </c>
      <c r="BK142" s="16" t="e">
        <f>-BK145+BK148</f>
        <v>#VALUE!</v>
      </c>
      <c r="BL142" s="17" t="e">
        <f>-BK151</f>
        <v>#VALUE!</v>
      </c>
      <c r="BM142" s="18" t="e">
        <f>IF(AND(BQ145&lt;0,BR145&lt;0),BR142*1.2,IF(AND(BQ145&gt;0,BR145&gt;0),BQ142*0.8,10))</f>
        <v>#VALUE!</v>
      </c>
      <c r="BN142" s="18" t="e">
        <f>BM142^3+BK142*BM142+BL142</f>
        <v>#VALUE!</v>
      </c>
      <c r="BO142" s="18" t="e">
        <f>3*BM142^2+BK142</f>
        <v>#VALUE!</v>
      </c>
      <c r="BP142" s="18" t="e">
        <f t="shared" ref="BP142:BP156" si="51">BM142-BN142/BO142</f>
        <v>#VALUE!</v>
      </c>
      <c r="BQ142" s="18" t="e">
        <f>-SQRT(ABS(-4*3*BK142))/6</f>
        <v>#VALUE!</v>
      </c>
      <c r="BR142" s="19" t="e">
        <f>SQRT(ABS(-4*3*BK142))/6</f>
        <v>#VALUE!</v>
      </c>
      <c r="BT142" s="16" t="e">
        <f>-BT145+BT148</f>
        <v>#VALUE!</v>
      </c>
      <c r="BU142" s="17" t="e">
        <f>-BT151</f>
        <v>#VALUE!</v>
      </c>
      <c r="BV142" s="18" t="e">
        <f>IF(AND(BZ145&lt;0,CA145&lt;0),CA142*1.2,IF(AND(BZ145&gt;0,CA145&gt;0),BZ142*0.8,10))</f>
        <v>#VALUE!</v>
      </c>
      <c r="BW142" s="18" t="e">
        <f>BV142^3+BT142*BV142+BU142</f>
        <v>#VALUE!</v>
      </c>
      <c r="BX142" s="18" t="e">
        <f>3*BV142^2+BT142</f>
        <v>#VALUE!</v>
      </c>
      <c r="BY142" s="18" t="e">
        <f t="shared" ref="BY142:BY156" si="52">BV142-BW142/BX142</f>
        <v>#VALUE!</v>
      </c>
      <c r="BZ142" s="18" t="e">
        <f>-SQRT(ABS(-4*3*BT142))/6</f>
        <v>#VALUE!</v>
      </c>
      <c r="CA142" s="19" t="e">
        <f>SQRT(ABS(-4*3*BT142))/6</f>
        <v>#VALUE!</v>
      </c>
    </row>
    <row r="143" spans="36:79" ht="18" hidden="1" customHeight="1" x14ac:dyDescent="0.15">
      <c r="AJ143" s="267"/>
      <c r="AK143" s="268"/>
      <c r="AL143" s="18" t="e">
        <f t="shared" ref="AL143:AL156" si="53">AO142</f>
        <v>#VALUE!</v>
      </c>
      <c r="AM143" s="18" t="e">
        <f>AL143^3+AJ142*AL143+AK142</f>
        <v>#VALUE!</v>
      </c>
      <c r="AN143" s="18" t="e">
        <f>3*AL143^2+AJ142</f>
        <v>#VALUE!</v>
      </c>
      <c r="AO143" s="18" t="e">
        <f t="shared" si="48"/>
        <v>#VALUE!</v>
      </c>
      <c r="AP143" s="6"/>
      <c r="AQ143" s="7"/>
      <c r="AS143" s="267"/>
      <c r="AT143" s="268"/>
      <c r="AU143" s="18" t="e">
        <f t="shared" ref="AU143:AU156" si="54">AX142</f>
        <v>#VALUE!</v>
      </c>
      <c r="AV143" s="18" t="e">
        <f>AU143^3+AS142*AU143+AT142</f>
        <v>#VALUE!</v>
      </c>
      <c r="AW143" s="18" t="e">
        <f>3*AU143^2+AS142</f>
        <v>#VALUE!</v>
      </c>
      <c r="AX143" s="18" t="e">
        <f t="shared" si="49"/>
        <v>#VALUE!</v>
      </c>
      <c r="AY143" s="6"/>
      <c r="AZ143" s="7"/>
      <c r="BB143" s="267"/>
      <c r="BC143" s="268"/>
      <c r="BD143" s="18" t="e">
        <f t="shared" ref="BD143:BD156" si="55">BG142</f>
        <v>#VALUE!</v>
      </c>
      <c r="BE143" s="18" t="e">
        <f>BD143^3+BB142*BD143+BC142</f>
        <v>#VALUE!</v>
      </c>
      <c r="BF143" s="18" t="e">
        <f>3*BD143^2+BB142</f>
        <v>#VALUE!</v>
      </c>
      <c r="BG143" s="18" t="e">
        <f t="shared" si="50"/>
        <v>#VALUE!</v>
      </c>
      <c r="BH143" s="6"/>
      <c r="BI143" s="7"/>
      <c r="BK143" s="267"/>
      <c r="BL143" s="268"/>
      <c r="BM143" s="18" t="e">
        <f t="shared" ref="BM143:BM156" si="56">BP142</f>
        <v>#VALUE!</v>
      </c>
      <c r="BN143" s="18" t="e">
        <f>BM143^3+BK142*BM143+BL142</f>
        <v>#VALUE!</v>
      </c>
      <c r="BO143" s="18" t="e">
        <f>3*BM143^2+BK142</f>
        <v>#VALUE!</v>
      </c>
      <c r="BP143" s="18" t="e">
        <f t="shared" si="51"/>
        <v>#VALUE!</v>
      </c>
      <c r="BQ143" s="6"/>
      <c r="BR143" s="7"/>
      <c r="BT143" s="267"/>
      <c r="BU143" s="268"/>
      <c r="BV143" s="18" t="e">
        <f t="shared" ref="BV143:BV156" si="57">BY142</f>
        <v>#VALUE!</v>
      </c>
      <c r="BW143" s="18" t="e">
        <f>BV143^3+BT142*BV143+BU142</f>
        <v>#VALUE!</v>
      </c>
      <c r="BX143" s="18" t="e">
        <f>3*BV143^2+BT142</f>
        <v>#VALUE!</v>
      </c>
      <c r="BY143" s="18" t="e">
        <f t="shared" si="52"/>
        <v>#VALUE!</v>
      </c>
      <c r="BZ143" s="6"/>
      <c r="CA143" s="7"/>
    </row>
    <row r="144" spans="36:79" ht="18" hidden="1" customHeight="1" x14ac:dyDescent="0.15">
      <c r="AJ144" s="269" t="s">
        <v>240</v>
      </c>
      <c r="AK144" s="270"/>
      <c r="AL144" s="18" t="e">
        <f t="shared" si="53"/>
        <v>#VALUE!</v>
      </c>
      <c r="AM144" s="18" t="e">
        <f>AL144^3+AJ142*AL144+AK142</f>
        <v>#VALUE!</v>
      </c>
      <c r="AN144" s="18" t="e">
        <f>3*AL144^2+AJ142</f>
        <v>#VALUE!</v>
      </c>
      <c r="AO144" s="18" t="e">
        <f t="shared" si="48"/>
        <v>#VALUE!</v>
      </c>
      <c r="AP144" s="14" t="s">
        <v>241</v>
      </c>
      <c r="AQ144" s="15" t="s">
        <v>242</v>
      </c>
      <c r="AS144" s="269" t="s">
        <v>240</v>
      </c>
      <c r="AT144" s="270"/>
      <c r="AU144" s="18" t="e">
        <f t="shared" si="54"/>
        <v>#VALUE!</v>
      </c>
      <c r="AV144" s="18" t="e">
        <f>AU144^3+AS142*AU144+AT142</f>
        <v>#VALUE!</v>
      </c>
      <c r="AW144" s="18" t="e">
        <f>3*AU144^2+AS142</f>
        <v>#VALUE!</v>
      </c>
      <c r="AX144" s="18" t="e">
        <f t="shared" si="49"/>
        <v>#VALUE!</v>
      </c>
      <c r="AY144" s="14" t="s">
        <v>241</v>
      </c>
      <c r="AZ144" s="15" t="s">
        <v>242</v>
      </c>
      <c r="BB144" s="269" t="s">
        <v>240</v>
      </c>
      <c r="BC144" s="270"/>
      <c r="BD144" s="18" t="e">
        <f t="shared" si="55"/>
        <v>#VALUE!</v>
      </c>
      <c r="BE144" s="18" t="e">
        <f>BD144^3+BB142*BD144+BC142</f>
        <v>#VALUE!</v>
      </c>
      <c r="BF144" s="18" t="e">
        <f>3*BD144^2+BB142</f>
        <v>#VALUE!</v>
      </c>
      <c r="BG144" s="18" t="e">
        <f t="shared" si="50"/>
        <v>#VALUE!</v>
      </c>
      <c r="BH144" s="14" t="s">
        <v>241</v>
      </c>
      <c r="BI144" s="15" t="s">
        <v>242</v>
      </c>
      <c r="BK144" s="269" t="s">
        <v>240</v>
      </c>
      <c r="BL144" s="270"/>
      <c r="BM144" s="18" t="e">
        <f t="shared" si="56"/>
        <v>#VALUE!</v>
      </c>
      <c r="BN144" s="18" t="e">
        <f>BM144^3+BK142*BM144+BL142</f>
        <v>#VALUE!</v>
      </c>
      <c r="BO144" s="18" t="e">
        <f>3*BM144^2+BK142</f>
        <v>#VALUE!</v>
      </c>
      <c r="BP144" s="18" t="e">
        <f t="shared" si="51"/>
        <v>#VALUE!</v>
      </c>
      <c r="BQ144" s="14" t="s">
        <v>241</v>
      </c>
      <c r="BR144" s="15" t="s">
        <v>242</v>
      </c>
      <c r="BT144" s="269" t="s">
        <v>240</v>
      </c>
      <c r="BU144" s="270"/>
      <c r="BV144" s="18" t="e">
        <f t="shared" si="57"/>
        <v>#VALUE!</v>
      </c>
      <c r="BW144" s="18" t="e">
        <f>BV144^3+BT142*BV144+BU142</f>
        <v>#VALUE!</v>
      </c>
      <c r="BX144" s="18" t="e">
        <f>3*BV144^2+BT142</f>
        <v>#VALUE!</v>
      </c>
      <c r="BY144" s="18" t="e">
        <f t="shared" si="52"/>
        <v>#VALUE!</v>
      </c>
      <c r="BZ144" s="14" t="s">
        <v>241</v>
      </c>
      <c r="CA144" s="15" t="s">
        <v>242</v>
      </c>
    </row>
    <row r="145" spans="36:79" ht="18" hidden="1" customHeight="1" x14ac:dyDescent="0.15">
      <c r="AJ145" s="269">
        <f>(AL158^2)+3*(AM158^2)*AQ158*(AQ153-15)/(8*10^7)</f>
        <v>0</v>
      </c>
      <c r="AK145" s="270"/>
      <c r="AL145" s="18" t="e">
        <f t="shared" si="53"/>
        <v>#VALUE!</v>
      </c>
      <c r="AM145" s="18" t="e">
        <f>AL145^3+AJ142*AL145+AK142</f>
        <v>#VALUE!</v>
      </c>
      <c r="AN145" s="18" t="e">
        <f>3*AL145^2+AJ142</f>
        <v>#VALUE!</v>
      </c>
      <c r="AO145" s="18" t="e">
        <f t="shared" si="48"/>
        <v>#VALUE!</v>
      </c>
      <c r="AP145" s="18" t="e">
        <f>AP142^3+AJ142*AP142+AK142</f>
        <v>#VALUE!</v>
      </c>
      <c r="AQ145" s="19" t="e">
        <f>AQ142^3+AJ142*AQ142+AK142</f>
        <v>#VALUE!</v>
      </c>
      <c r="AS145" s="269" t="e">
        <f>(AU158^2)+3*(AV158^2)*AZ158*(AZ153-15)/(8*10^7)</f>
        <v>#VALUE!</v>
      </c>
      <c r="AT145" s="270"/>
      <c r="AU145" s="18" t="e">
        <f t="shared" si="54"/>
        <v>#VALUE!</v>
      </c>
      <c r="AV145" s="18" t="e">
        <f>AU145^3+AS142*AU145+AT142</f>
        <v>#VALUE!</v>
      </c>
      <c r="AW145" s="18" t="e">
        <f>3*AU145^2+AS142</f>
        <v>#VALUE!</v>
      </c>
      <c r="AX145" s="18" t="e">
        <f t="shared" si="49"/>
        <v>#VALUE!</v>
      </c>
      <c r="AY145" s="18" t="e">
        <f>AY142^3+AS142*AY142+AT142</f>
        <v>#VALUE!</v>
      </c>
      <c r="AZ145" s="19" t="e">
        <f>AZ142^3+AS142*AZ142+AT142</f>
        <v>#VALUE!</v>
      </c>
      <c r="BB145" s="269" t="e">
        <f>(BD158^2)+3*(BE158^2)*BI158*(BI153-15)/(8*10^7)</f>
        <v>#VALUE!</v>
      </c>
      <c r="BC145" s="270"/>
      <c r="BD145" s="18" t="e">
        <f t="shared" si="55"/>
        <v>#VALUE!</v>
      </c>
      <c r="BE145" s="18" t="e">
        <f>BD145^3+BB142*BD145+BC142</f>
        <v>#VALUE!</v>
      </c>
      <c r="BF145" s="18" t="e">
        <f>3*BD145^2+BB142</f>
        <v>#VALUE!</v>
      </c>
      <c r="BG145" s="18" t="e">
        <f t="shared" si="50"/>
        <v>#VALUE!</v>
      </c>
      <c r="BH145" s="18" t="e">
        <f>BH142^3+BB142*BH142+BC142</f>
        <v>#VALUE!</v>
      </c>
      <c r="BI145" s="19" t="e">
        <f>BI142^3+BB142*BI142+BC142</f>
        <v>#VALUE!</v>
      </c>
      <c r="BK145" s="269" t="e">
        <f>(BM158^2)+3*(BN158^2)*BR158*(BR153-15)/(8*10^7)</f>
        <v>#VALUE!</v>
      </c>
      <c r="BL145" s="270"/>
      <c r="BM145" s="18" t="e">
        <f t="shared" si="56"/>
        <v>#VALUE!</v>
      </c>
      <c r="BN145" s="18" t="e">
        <f>BM145^3+BK142*BM145+BL142</f>
        <v>#VALUE!</v>
      </c>
      <c r="BO145" s="18" t="e">
        <f>3*BM145^2+BK142</f>
        <v>#VALUE!</v>
      </c>
      <c r="BP145" s="18" t="e">
        <f t="shared" si="51"/>
        <v>#VALUE!</v>
      </c>
      <c r="BQ145" s="18" t="e">
        <f>BQ142^3+BK142*BQ142+BL142</f>
        <v>#VALUE!</v>
      </c>
      <c r="BR145" s="19" t="e">
        <f>BR142^3+BK142*BR142+BL142</f>
        <v>#VALUE!</v>
      </c>
      <c r="BT145" s="269" t="e">
        <f>(BV158^2)+3*(BW158^2)*CA158*(CA153-15)/(8*10^7)</f>
        <v>#VALUE!</v>
      </c>
      <c r="BU145" s="270"/>
      <c r="BV145" s="18" t="e">
        <f t="shared" si="57"/>
        <v>#VALUE!</v>
      </c>
      <c r="BW145" s="18" t="e">
        <f>BV145^3+BT142*BV145+BU142</f>
        <v>#VALUE!</v>
      </c>
      <c r="BX145" s="18" t="e">
        <f>3*BV145^2+BT142</f>
        <v>#VALUE!</v>
      </c>
      <c r="BY145" s="18" t="e">
        <f t="shared" si="52"/>
        <v>#VALUE!</v>
      </c>
      <c r="BZ145" s="18" t="e">
        <f>BZ142^3+BT142*BZ142+BU142</f>
        <v>#VALUE!</v>
      </c>
      <c r="CA145" s="19" t="e">
        <f>CA142^3+BT142*CA142+BU142</f>
        <v>#VALUE!</v>
      </c>
    </row>
    <row r="146" spans="36:79" ht="18" hidden="1" customHeight="1" x14ac:dyDescent="0.15">
      <c r="AJ146" s="267"/>
      <c r="AK146" s="268"/>
      <c r="AL146" s="18" t="e">
        <f t="shared" si="53"/>
        <v>#VALUE!</v>
      </c>
      <c r="AM146" s="18" t="e">
        <f>AL146^3+AJ142*AL146+AK142</f>
        <v>#VALUE!</v>
      </c>
      <c r="AN146" s="18" t="e">
        <f>3*AL146^2+AJ142</f>
        <v>#VALUE!</v>
      </c>
      <c r="AO146" s="18" t="e">
        <f t="shared" si="48"/>
        <v>#VALUE!</v>
      </c>
      <c r="AP146" s="31"/>
      <c r="AQ146" s="32"/>
      <c r="AS146" s="267"/>
      <c r="AT146" s="268"/>
      <c r="AU146" s="18" t="e">
        <f t="shared" si="54"/>
        <v>#VALUE!</v>
      </c>
      <c r="AV146" s="18" t="e">
        <f>AU146^3+AS142*AU146+AT142</f>
        <v>#VALUE!</v>
      </c>
      <c r="AW146" s="18" t="e">
        <f>3*AU146^2+AS142</f>
        <v>#VALUE!</v>
      </c>
      <c r="AX146" s="18" t="e">
        <f t="shared" si="49"/>
        <v>#VALUE!</v>
      </c>
      <c r="AY146" s="31"/>
      <c r="AZ146" s="32"/>
      <c r="BB146" s="267"/>
      <c r="BC146" s="268"/>
      <c r="BD146" s="18" t="e">
        <f t="shared" si="55"/>
        <v>#VALUE!</v>
      </c>
      <c r="BE146" s="18" t="e">
        <f>BD146^3+BB142*BD146+BC142</f>
        <v>#VALUE!</v>
      </c>
      <c r="BF146" s="18" t="e">
        <f>3*BD146^2+BB142</f>
        <v>#VALUE!</v>
      </c>
      <c r="BG146" s="18" t="e">
        <f t="shared" si="50"/>
        <v>#VALUE!</v>
      </c>
      <c r="BH146" s="31"/>
      <c r="BI146" s="32"/>
      <c r="BK146" s="267"/>
      <c r="BL146" s="268"/>
      <c r="BM146" s="18" t="e">
        <f t="shared" si="56"/>
        <v>#VALUE!</v>
      </c>
      <c r="BN146" s="18" t="e">
        <f>BM146^3+BK142*BM146+BL142</f>
        <v>#VALUE!</v>
      </c>
      <c r="BO146" s="18" t="e">
        <f>3*BM146^2+BK142</f>
        <v>#VALUE!</v>
      </c>
      <c r="BP146" s="18" t="e">
        <f t="shared" si="51"/>
        <v>#VALUE!</v>
      </c>
      <c r="BQ146" s="31"/>
      <c r="BR146" s="32"/>
      <c r="BT146" s="267"/>
      <c r="BU146" s="268"/>
      <c r="BV146" s="18" t="e">
        <f t="shared" si="57"/>
        <v>#VALUE!</v>
      </c>
      <c r="BW146" s="18" t="e">
        <f>BV146^3+BT142*BV146+BU142</f>
        <v>#VALUE!</v>
      </c>
      <c r="BX146" s="18" t="e">
        <f>3*BV146^2+BT142</f>
        <v>#VALUE!</v>
      </c>
      <c r="BY146" s="18" t="e">
        <f t="shared" si="52"/>
        <v>#VALUE!</v>
      </c>
      <c r="BZ146" s="31"/>
      <c r="CA146" s="32"/>
    </row>
    <row r="147" spans="36:79" ht="18" hidden="1" customHeight="1" x14ac:dyDescent="0.15">
      <c r="AJ147" s="269" t="s">
        <v>243</v>
      </c>
      <c r="AK147" s="270"/>
      <c r="AL147" s="18" t="e">
        <f t="shared" si="53"/>
        <v>#VALUE!</v>
      </c>
      <c r="AM147" s="18" t="e">
        <f>AL147^3+AJ142*AL147+AK142</f>
        <v>#VALUE!</v>
      </c>
      <c r="AN147" s="18" t="e">
        <f>3*AL147^2+AJ142</f>
        <v>#VALUE!</v>
      </c>
      <c r="AO147" s="18" t="e">
        <f t="shared" si="48"/>
        <v>#VALUE!</v>
      </c>
      <c r="AP147" s="31"/>
      <c r="AQ147" s="32"/>
      <c r="AS147" s="269" t="s">
        <v>243</v>
      </c>
      <c r="AT147" s="270"/>
      <c r="AU147" s="18" t="e">
        <f t="shared" si="54"/>
        <v>#VALUE!</v>
      </c>
      <c r="AV147" s="18" t="e">
        <f>AU147^3+AS142*AU147+AT142</f>
        <v>#VALUE!</v>
      </c>
      <c r="AW147" s="18" t="e">
        <f>3*AU147^2+AS142</f>
        <v>#VALUE!</v>
      </c>
      <c r="AX147" s="18" t="e">
        <f t="shared" si="49"/>
        <v>#VALUE!</v>
      </c>
      <c r="AY147" s="31"/>
      <c r="AZ147" s="32"/>
      <c r="BB147" s="269" t="s">
        <v>243</v>
      </c>
      <c r="BC147" s="270"/>
      <c r="BD147" s="18" t="e">
        <f t="shared" si="55"/>
        <v>#VALUE!</v>
      </c>
      <c r="BE147" s="18" t="e">
        <f>BD147^3+BB142*BD147+BC142</f>
        <v>#VALUE!</v>
      </c>
      <c r="BF147" s="18" t="e">
        <f>3*BD147^2+BB142</f>
        <v>#VALUE!</v>
      </c>
      <c r="BG147" s="18" t="e">
        <f t="shared" si="50"/>
        <v>#VALUE!</v>
      </c>
      <c r="BH147" s="31"/>
      <c r="BI147" s="32"/>
      <c r="BK147" s="269" t="s">
        <v>243</v>
      </c>
      <c r="BL147" s="270"/>
      <c r="BM147" s="18" t="e">
        <f t="shared" si="56"/>
        <v>#VALUE!</v>
      </c>
      <c r="BN147" s="18" t="e">
        <f>BM147^3+BK142*BM147+BL142</f>
        <v>#VALUE!</v>
      </c>
      <c r="BO147" s="18" t="e">
        <f>3*BM147^2+BK142</f>
        <v>#VALUE!</v>
      </c>
      <c r="BP147" s="18" t="e">
        <f t="shared" si="51"/>
        <v>#VALUE!</v>
      </c>
      <c r="BQ147" s="31"/>
      <c r="BR147" s="32"/>
      <c r="BT147" s="269" t="s">
        <v>243</v>
      </c>
      <c r="BU147" s="270"/>
      <c r="BV147" s="18" t="e">
        <f t="shared" si="57"/>
        <v>#VALUE!</v>
      </c>
      <c r="BW147" s="18" t="e">
        <f>BV147^3+BT142*BV147+BU142</f>
        <v>#VALUE!</v>
      </c>
      <c r="BX147" s="18" t="e">
        <f>3*BV147^2+BT142</f>
        <v>#VALUE!</v>
      </c>
      <c r="BY147" s="18" t="e">
        <f t="shared" si="52"/>
        <v>#VALUE!</v>
      </c>
      <c r="BZ147" s="31"/>
      <c r="CA147" s="32"/>
    </row>
    <row r="148" spans="36:79" ht="18" hidden="1" customHeight="1" x14ac:dyDescent="0.15">
      <c r="AJ148" s="277" t="e">
        <f>3*(AM158^2)*AN158/(8*AO158*AP158)</f>
        <v>#VALUE!</v>
      </c>
      <c r="AK148" s="278"/>
      <c r="AL148" s="118" t="e">
        <f t="shared" si="53"/>
        <v>#VALUE!</v>
      </c>
      <c r="AM148" s="118" t="e">
        <f>AL148^3+AJ142*AL148+AK142</f>
        <v>#VALUE!</v>
      </c>
      <c r="AN148" s="118" t="e">
        <f>3*AL148^2+AJ142</f>
        <v>#VALUE!</v>
      </c>
      <c r="AO148" s="118" t="e">
        <f t="shared" si="48"/>
        <v>#VALUE!</v>
      </c>
      <c r="AP148" s="116"/>
      <c r="AQ148" s="117"/>
      <c r="AS148" s="277" t="e">
        <f>3*(AV158^2)*AW158/(8*AX158*AY158)</f>
        <v>#VALUE!</v>
      </c>
      <c r="AT148" s="278"/>
      <c r="AU148" s="118" t="e">
        <f t="shared" si="54"/>
        <v>#VALUE!</v>
      </c>
      <c r="AV148" s="118" t="e">
        <f>AU148^3+AS142*AU148+AT142</f>
        <v>#VALUE!</v>
      </c>
      <c r="AW148" s="118" t="e">
        <f>3*AU148^2+AS142</f>
        <v>#VALUE!</v>
      </c>
      <c r="AX148" s="118" t="e">
        <f t="shared" si="49"/>
        <v>#VALUE!</v>
      </c>
      <c r="AY148" s="116"/>
      <c r="AZ148" s="117"/>
      <c r="BB148" s="277" t="e">
        <f>3*(BE158^2)*BF158/(8*BG158*BH158)</f>
        <v>#VALUE!</v>
      </c>
      <c r="BC148" s="278"/>
      <c r="BD148" s="118" t="e">
        <f t="shared" si="55"/>
        <v>#VALUE!</v>
      </c>
      <c r="BE148" s="118" t="e">
        <f>BD148^3+BB142*BD148+BC142</f>
        <v>#VALUE!</v>
      </c>
      <c r="BF148" s="118" t="e">
        <f>3*BD148^2+BB142</f>
        <v>#VALUE!</v>
      </c>
      <c r="BG148" s="118" t="e">
        <f t="shared" si="50"/>
        <v>#VALUE!</v>
      </c>
      <c r="BH148" s="116"/>
      <c r="BI148" s="117"/>
      <c r="BK148" s="277" t="e">
        <f>3*(BN158^2)*BO158/(8*BP158*BQ158)</f>
        <v>#VALUE!</v>
      </c>
      <c r="BL148" s="278"/>
      <c r="BM148" s="118" t="e">
        <f t="shared" si="56"/>
        <v>#VALUE!</v>
      </c>
      <c r="BN148" s="118" t="e">
        <f>BM148^3+BK142*BM148+BL142</f>
        <v>#VALUE!</v>
      </c>
      <c r="BO148" s="118" t="e">
        <f>3*BM148^2+BK142</f>
        <v>#VALUE!</v>
      </c>
      <c r="BP148" s="118" t="e">
        <f t="shared" si="51"/>
        <v>#VALUE!</v>
      </c>
      <c r="BQ148" s="116"/>
      <c r="BR148" s="117"/>
      <c r="BT148" s="277" t="e">
        <f>3*(BW158^2)*BX158/(8*BY158*BZ158)</f>
        <v>#VALUE!</v>
      </c>
      <c r="BU148" s="278"/>
      <c r="BV148" s="118" t="e">
        <f t="shared" si="57"/>
        <v>#VALUE!</v>
      </c>
      <c r="BW148" s="118" t="e">
        <f>BV148^3+BT142*BV148+BU142</f>
        <v>#VALUE!</v>
      </c>
      <c r="BX148" s="118" t="e">
        <f>3*BV148^2+BT142</f>
        <v>#VALUE!</v>
      </c>
      <c r="BY148" s="118" t="e">
        <f t="shared" si="52"/>
        <v>#VALUE!</v>
      </c>
      <c r="BZ148" s="116"/>
      <c r="CA148" s="117"/>
    </row>
    <row r="149" spans="36:79" ht="18" hidden="1" customHeight="1" x14ac:dyDescent="0.15">
      <c r="AJ149" s="121"/>
      <c r="AK149" s="122"/>
      <c r="AL149" s="118" t="e">
        <f t="shared" si="53"/>
        <v>#VALUE!</v>
      </c>
      <c r="AM149" s="118" t="e">
        <f>AL149^3+AJ142*AL149+AK142</f>
        <v>#VALUE!</v>
      </c>
      <c r="AN149" s="118" t="e">
        <f>3*AL149^2+AJ142</f>
        <v>#VALUE!</v>
      </c>
      <c r="AO149" s="118" t="e">
        <f t="shared" si="48"/>
        <v>#VALUE!</v>
      </c>
      <c r="AP149" s="119"/>
      <c r="AQ149" s="120"/>
      <c r="AS149" s="121"/>
      <c r="AT149" s="122"/>
      <c r="AU149" s="118" t="e">
        <f t="shared" si="54"/>
        <v>#VALUE!</v>
      </c>
      <c r="AV149" s="118" t="e">
        <f>AU149^3+AS142*AU149+AT142</f>
        <v>#VALUE!</v>
      </c>
      <c r="AW149" s="118" t="e">
        <f>3*AU149^2+AS142</f>
        <v>#VALUE!</v>
      </c>
      <c r="AX149" s="118" t="e">
        <f t="shared" si="49"/>
        <v>#VALUE!</v>
      </c>
      <c r="AY149" s="119"/>
      <c r="AZ149" s="120"/>
      <c r="BB149" s="121"/>
      <c r="BC149" s="122"/>
      <c r="BD149" s="118" t="e">
        <f t="shared" si="55"/>
        <v>#VALUE!</v>
      </c>
      <c r="BE149" s="118" t="e">
        <f>BD149^3+BB142*BD149+BC142</f>
        <v>#VALUE!</v>
      </c>
      <c r="BF149" s="118" t="e">
        <f>3*BD149^2+BB142</f>
        <v>#VALUE!</v>
      </c>
      <c r="BG149" s="118" t="e">
        <f t="shared" si="50"/>
        <v>#VALUE!</v>
      </c>
      <c r="BH149" s="119"/>
      <c r="BI149" s="120"/>
      <c r="BK149" s="121"/>
      <c r="BL149" s="122"/>
      <c r="BM149" s="118" t="e">
        <f t="shared" si="56"/>
        <v>#VALUE!</v>
      </c>
      <c r="BN149" s="118" t="e">
        <f>BM149^3+BK142*BM149+BL142</f>
        <v>#VALUE!</v>
      </c>
      <c r="BO149" s="118" t="e">
        <f>3*BM149^2+BK142</f>
        <v>#VALUE!</v>
      </c>
      <c r="BP149" s="118" t="e">
        <f t="shared" si="51"/>
        <v>#VALUE!</v>
      </c>
      <c r="BQ149" s="119"/>
      <c r="BR149" s="120"/>
      <c r="BT149" s="121"/>
      <c r="BU149" s="122"/>
      <c r="BV149" s="118" t="e">
        <f t="shared" si="57"/>
        <v>#VALUE!</v>
      </c>
      <c r="BW149" s="118" t="e">
        <f>BV149^3+BT142*BV149+BU142</f>
        <v>#VALUE!</v>
      </c>
      <c r="BX149" s="118" t="e">
        <f>3*BV149^2+BT142</f>
        <v>#VALUE!</v>
      </c>
      <c r="BY149" s="118" t="e">
        <f t="shared" si="52"/>
        <v>#VALUE!</v>
      </c>
      <c r="BZ149" s="119"/>
      <c r="CA149" s="120"/>
    </row>
    <row r="150" spans="36:79" ht="18" hidden="1" customHeight="1" x14ac:dyDescent="0.15">
      <c r="AJ150" s="269" t="s">
        <v>244</v>
      </c>
      <c r="AK150" s="270"/>
      <c r="AL150" s="118" t="e">
        <f t="shared" si="53"/>
        <v>#VALUE!</v>
      </c>
      <c r="AM150" s="118" t="e">
        <f>AL150^3+AJ142*AL150+AK142</f>
        <v>#VALUE!</v>
      </c>
      <c r="AN150" s="118" t="e">
        <f>3*AL150^2+AJ142</f>
        <v>#VALUE!</v>
      </c>
      <c r="AO150" s="118" t="e">
        <f t="shared" si="48"/>
        <v>#VALUE!</v>
      </c>
      <c r="AP150" s="14" t="s">
        <v>245</v>
      </c>
      <c r="AQ150" s="123" t="e">
        <f>AO156</f>
        <v>#VALUE!</v>
      </c>
      <c r="AS150" s="269" t="s">
        <v>244</v>
      </c>
      <c r="AT150" s="270"/>
      <c r="AU150" s="118" t="e">
        <f t="shared" si="54"/>
        <v>#VALUE!</v>
      </c>
      <c r="AV150" s="118" t="e">
        <f>AU150^3+AS142*AU150+AT142</f>
        <v>#VALUE!</v>
      </c>
      <c r="AW150" s="118" t="e">
        <f>3*AU150^2+AS142</f>
        <v>#VALUE!</v>
      </c>
      <c r="AX150" s="118" t="e">
        <f t="shared" si="49"/>
        <v>#VALUE!</v>
      </c>
      <c r="AY150" s="14" t="s">
        <v>245</v>
      </c>
      <c r="AZ150" s="123" t="e">
        <f>AX156</f>
        <v>#VALUE!</v>
      </c>
      <c r="BB150" s="269" t="s">
        <v>244</v>
      </c>
      <c r="BC150" s="270"/>
      <c r="BD150" s="118" t="e">
        <f t="shared" si="55"/>
        <v>#VALUE!</v>
      </c>
      <c r="BE150" s="118" t="e">
        <f>BD150^3+BB142*BD150+BC142</f>
        <v>#VALUE!</v>
      </c>
      <c r="BF150" s="118" t="e">
        <f>3*BD150^2+BB142</f>
        <v>#VALUE!</v>
      </c>
      <c r="BG150" s="118" t="e">
        <f t="shared" si="50"/>
        <v>#VALUE!</v>
      </c>
      <c r="BH150" s="14" t="s">
        <v>245</v>
      </c>
      <c r="BI150" s="123" t="e">
        <f>BG156</f>
        <v>#VALUE!</v>
      </c>
      <c r="BK150" s="269" t="s">
        <v>244</v>
      </c>
      <c r="BL150" s="270"/>
      <c r="BM150" s="118" t="e">
        <f t="shared" si="56"/>
        <v>#VALUE!</v>
      </c>
      <c r="BN150" s="118" t="e">
        <f>BM150^3+BK142*BM150+BL142</f>
        <v>#VALUE!</v>
      </c>
      <c r="BO150" s="118" t="e">
        <f>3*BM150^2+BK142</f>
        <v>#VALUE!</v>
      </c>
      <c r="BP150" s="118" t="e">
        <f t="shared" si="51"/>
        <v>#VALUE!</v>
      </c>
      <c r="BQ150" s="14" t="s">
        <v>245</v>
      </c>
      <c r="BR150" s="123" t="e">
        <f>BP156</f>
        <v>#VALUE!</v>
      </c>
      <c r="BT150" s="269" t="s">
        <v>244</v>
      </c>
      <c r="BU150" s="270"/>
      <c r="BV150" s="118" t="e">
        <f t="shared" si="57"/>
        <v>#VALUE!</v>
      </c>
      <c r="BW150" s="118" t="e">
        <f>BV150^3+BT142*BV150+BU142</f>
        <v>#VALUE!</v>
      </c>
      <c r="BX150" s="118" t="e">
        <f>3*BV150^2+BT142</f>
        <v>#VALUE!</v>
      </c>
      <c r="BY150" s="118" t="e">
        <f t="shared" si="52"/>
        <v>#VALUE!</v>
      </c>
      <c r="BZ150" s="14" t="s">
        <v>245</v>
      </c>
      <c r="CA150" s="123" t="e">
        <f>BY156</f>
        <v>#VALUE!</v>
      </c>
    </row>
    <row r="151" spans="36:79" ht="18" hidden="1" customHeight="1" x14ac:dyDescent="0.15">
      <c r="AJ151" s="271" t="e">
        <f>AJ148*AL158*AK158/AK158</f>
        <v>#VALUE!</v>
      </c>
      <c r="AK151" s="272"/>
      <c r="AL151" s="118" t="e">
        <f t="shared" si="53"/>
        <v>#VALUE!</v>
      </c>
      <c r="AM151" s="118" t="e">
        <f>AL151^3+AJ142*AL151+AK142</f>
        <v>#VALUE!</v>
      </c>
      <c r="AN151" s="118" t="e">
        <f>3*AL151^2+AJ142</f>
        <v>#VALUE!</v>
      </c>
      <c r="AO151" s="118" t="e">
        <f t="shared" si="48"/>
        <v>#VALUE!</v>
      </c>
      <c r="AP151" s="14" t="s">
        <v>246</v>
      </c>
      <c r="AQ151" s="124" t="e">
        <f>AK158*AM158^2/(8*AO156)</f>
        <v>#VALUE!</v>
      </c>
      <c r="AS151" s="271" t="e">
        <f>AS148*AU158*AT158/AT158</f>
        <v>#VALUE!</v>
      </c>
      <c r="AT151" s="272"/>
      <c r="AU151" s="118" t="e">
        <f t="shared" si="54"/>
        <v>#VALUE!</v>
      </c>
      <c r="AV151" s="118" t="e">
        <f>AU151^3+AS142*AU151+AT142</f>
        <v>#VALUE!</v>
      </c>
      <c r="AW151" s="118" t="e">
        <f>3*AU151^2+AS142</f>
        <v>#VALUE!</v>
      </c>
      <c r="AX151" s="118" t="e">
        <f t="shared" si="49"/>
        <v>#VALUE!</v>
      </c>
      <c r="AY151" s="14" t="s">
        <v>246</v>
      </c>
      <c r="AZ151" s="124" t="e">
        <f>AT158*AV158^2/(8*AX156)</f>
        <v>#VALUE!</v>
      </c>
      <c r="BB151" s="271" t="e">
        <f>BB148*BD158*BC158/BC158</f>
        <v>#VALUE!</v>
      </c>
      <c r="BC151" s="272"/>
      <c r="BD151" s="118" t="e">
        <f t="shared" si="55"/>
        <v>#VALUE!</v>
      </c>
      <c r="BE151" s="118" t="e">
        <f>BD151^3+BB142*BD151+BC142</f>
        <v>#VALUE!</v>
      </c>
      <c r="BF151" s="118" t="e">
        <f>3*BD151^2+BB142</f>
        <v>#VALUE!</v>
      </c>
      <c r="BG151" s="118" t="e">
        <f t="shared" si="50"/>
        <v>#VALUE!</v>
      </c>
      <c r="BH151" s="14" t="s">
        <v>246</v>
      </c>
      <c r="BI151" s="124" t="e">
        <f>BC158*BE158^2/(8*BG156)</f>
        <v>#VALUE!</v>
      </c>
      <c r="BK151" s="271" t="e">
        <f>BK148*BM158*BL158/BL158</f>
        <v>#VALUE!</v>
      </c>
      <c r="BL151" s="272"/>
      <c r="BM151" s="118" t="e">
        <f t="shared" si="56"/>
        <v>#VALUE!</v>
      </c>
      <c r="BN151" s="118" t="e">
        <f>BM151^3+BK142*BM151+BL142</f>
        <v>#VALUE!</v>
      </c>
      <c r="BO151" s="118" t="e">
        <f>3*BM151^2+BK142</f>
        <v>#VALUE!</v>
      </c>
      <c r="BP151" s="118" t="e">
        <f t="shared" si="51"/>
        <v>#VALUE!</v>
      </c>
      <c r="BQ151" s="14" t="s">
        <v>246</v>
      </c>
      <c r="BR151" s="124" t="e">
        <f>BL158*BN158^2/(8*BP156)</f>
        <v>#VALUE!</v>
      </c>
      <c r="BT151" s="271" t="e">
        <f>BT148*BV158*BU158/BU158</f>
        <v>#VALUE!</v>
      </c>
      <c r="BU151" s="272"/>
      <c r="BV151" s="118" t="e">
        <f t="shared" si="57"/>
        <v>#VALUE!</v>
      </c>
      <c r="BW151" s="118" t="e">
        <f>BV151^3+BT142*BV151+BU142</f>
        <v>#VALUE!</v>
      </c>
      <c r="BX151" s="118" t="e">
        <f>3*BV151^2+BT142</f>
        <v>#VALUE!</v>
      </c>
      <c r="BY151" s="118" t="e">
        <f t="shared" si="52"/>
        <v>#VALUE!</v>
      </c>
      <c r="BZ151" s="14" t="s">
        <v>246</v>
      </c>
      <c r="CA151" s="124" t="e">
        <f>BU158*BW158^2/(8*BY156)</f>
        <v>#VALUE!</v>
      </c>
    </row>
    <row r="152" spans="36:79" ht="18" hidden="1" customHeight="1" x14ac:dyDescent="0.15">
      <c r="AJ152" s="125"/>
      <c r="AK152" s="126"/>
      <c r="AL152" s="118" t="e">
        <f t="shared" si="53"/>
        <v>#VALUE!</v>
      </c>
      <c r="AM152" s="118" t="e">
        <f>AL152^3+AJ142*AL152+AK142</f>
        <v>#VALUE!</v>
      </c>
      <c r="AN152" s="118" t="e">
        <f>3*AL152^2+AJ142</f>
        <v>#VALUE!</v>
      </c>
      <c r="AO152" s="118" t="e">
        <f t="shared" si="48"/>
        <v>#VALUE!</v>
      </c>
      <c r="AP152" s="116"/>
      <c r="AQ152" s="117"/>
      <c r="AS152" s="125"/>
      <c r="AT152" s="126"/>
      <c r="AU152" s="118" t="e">
        <f t="shared" si="54"/>
        <v>#VALUE!</v>
      </c>
      <c r="AV152" s="118" t="e">
        <f>AU152^3+AS142*AU152+AT142</f>
        <v>#VALUE!</v>
      </c>
      <c r="AW152" s="118" t="e">
        <f>3*AU152^2+AS142</f>
        <v>#VALUE!</v>
      </c>
      <c r="AX152" s="118" t="e">
        <f t="shared" si="49"/>
        <v>#VALUE!</v>
      </c>
      <c r="AY152" s="116"/>
      <c r="AZ152" s="117"/>
      <c r="BB152" s="125"/>
      <c r="BC152" s="126"/>
      <c r="BD152" s="118" t="e">
        <f t="shared" si="55"/>
        <v>#VALUE!</v>
      </c>
      <c r="BE152" s="118" t="e">
        <f>BD152^3+BB142*BD152+BC142</f>
        <v>#VALUE!</v>
      </c>
      <c r="BF152" s="118" t="e">
        <f>3*BD152^2+BB142</f>
        <v>#VALUE!</v>
      </c>
      <c r="BG152" s="118" t="e">
        <f t="shared" si="50"/>
        <v>#VALUE!</v>
      </c>
      <c r="BH152" s="116"/>
      <c r="BI152" s="117"/>
      <c r="BK152" s="125"/>
      <c r="BL152" s="126"/>
      <c r="BM152" s="118" t="e">
        <f t="shared" si="56"/>
        <v>#VALUE!</v>
      </c>
      <c r="BN152" s="118" t="e">
        <f>BM152^3+BK142*BM152+BL142</f>
        <v>#VALUE!</v>
      </c>
      <c r="BO152" s="118" t="e">
        <f>3*BM152^2+BK142</f>
        <v>#VALUE!</v>
      </c>
      <c r="BP152" s="118" t="e">
        <f t="shared" si="51"/>
        <v>#VALUE!</v>
      </c>
      <c r="BQ152" s="116"/>
      <c r="BR152" s="117"/>
      <c r="BT152" s="125"/>
      <c r="BU152" s="126"/>
      <c r="BV152" s="118" t="e">
        <f t="shared" si="57"/>
        <v>#VALUE!</v>
      </c>
      <c r="BW152" s="118" t="e">
        <f>BV152^3+BT142*BV152+BU142</f>
        <v>#VALUE!</v>
      </c>
      <c r="BX152" s="118" t="e">
        <f>3*BV152^2+BT142</f>
        <v>#VALUE!</v>
      </c>
      <c r="BY152" s="118" t="e">
        <f t="shared" si="52"/>
        <v>#VALUE!</v>
      </c>
      <c r="BZ152" s="116"/>
      <c r="CA152" s="117"/>
    </row>
    <row r="153" spans="36:79" ht="18" hidden="1" customHeight="1" x14ac:dyDescent="0.15">
      <c r="AJ153" s="125"/>
      <c r="AK153" s="126"/>
      <c r="AL153" s="118" t="e">
        <f t="shared" si="53"/>
        <v>#VALUE!</v>
      </c>
      <c r="AM153" s="118" t="e">
        <f>AL153^3+AJ142*AL153+AK142</f>
        <v>#VALUE!</v>
      </c>
      <c r="AN153" s="118" t="e">
        <f>3*AL153^2+AJ142</f>
        <v>#VALUE!</v>
      </c>
      <c r="AO153" s="118" t="e">
        <f t="shared" si="48"/>
        <v>#VALUE!</v>
      </c>
      <c r="AP153" s="112" t="s">
        <v>147</v>
      </c>
      <c r="AQ153" s="113">
        <v>15</v>
      </c>
      <c r="AS153" s="125"/>
      <c r="AT153" s="126"/>
      <c r="AU153" s="118" t="e">
        <f t="shared" si="54"/>
        <v>#VALUE!</v>
      </c>
      <c r="AV153" s="118" t="e">
        <f>AU153^3+AS142*AU153+AT142</f>
        <v>#VALUE!</v>
      </c>
      <c r="AW153" s="118" t="e">
        <f>3*AU153^2+AS142</f>
        <v>#VALUE!</v>
      </c>
      <c r="AX153" s="118" t="e">
        <f t="shared" si="49"/>
        <v>#VALUE!</v>
      </c>
      <c r="AY153" s="112" t="s">
        <v>147</v>
      </c>
      <c r="AZ153" s="113">
        <v>15</v>
      </c>
      <c r="BB153" s="125"/>
      <c r="BC153" s="126"/>
      <c r="BD153" s="118" t="e">
        <f t="shared" si="55"/>
        <v>#VALUE!</v>
      </c>
      <c r="BE153" s="118" t="e">
        <f>BD153^3+BB142*BD153+BC142</f>
        <v>#VALUE!</v>
      </c>
      <c r="BF153" s="118" t="e">
        <f>3*BD153^2+BB142</f>
        <v>#VALUE!</v>
      </c>
      <c r="BG153" s="118" t="e">
        <f t="shared" si="50"/>
        <v>#VALUE!</v>
      </c>
      <c r="BH153" s="112" t="s">
        <v>147</v>
      </c>
      <c r="BI153" s="113">
        <v>15</v>
      </c>
      <c r="BK153" s="125"/>
      <c r="BL153" s="126"/>
      <c r="BM153" s="118" t="e">
        <f t="shared" si="56"/>
        <v>#VALUE!</v>
      </c>
      <c r="BN153" s="118" t="e">
        <f>BM153^3+BK142*BM153+BL142</f>
        <v>#VALUE!</v>
      </c>
      <c r="BO153" s="118" t="e">
        <f>3*BM153^2+BK142</f>
        <v>#VALUE!</v>
      </c>
      <c r="BP153" s="118" t="e">
        <f t="shared" si="51"/>
        <v>#VALUE!</v>
      </c>
      <c r="BQ153" s="112" t="s">
        <v>147</v>
      </c>
      <c r="BR153" s="113">
        <v>15</v>
      </c>
      <c r="BT153" s="125"/>
      <c r="BU153" s="126"/>
      <c r="BV153" s="118" t="e">
        <f t="shared" si="57"/>
        <v>#VALUE!</v>
      </c>
      <c r="BW153" s="118" t="e">
        <f>BV153^3+BT142*BV153+BU142</f>
        <v>#VALUE!</v>
      </c>
      <c r="BX153" s="118" t="e">
        <f>3*BV153^2+BT142</f>
        <v>#VALUE!</v>
      </c>
      <c r="BY153" s="118" t="e">
        <f t="shared" si="52"/>
        <v>#VALUE!</v>
      </c>
      <c r="BZ153" s="112" t="s">
        <v>147</v>
      </c>
      <c r="CA153" s="113">
        <v>15</v>
      </c>
    </row>
    <row r="154" spans="36:79" ht="18" hidden="1" customHeight="1" x14ac:dyDescent="0.15">
      <c r="AJ154" s="125"/>
      <c r="AK154" s="126"/>
      <c r="AL154" s="118" t="e">
        <f t="shared" si="53"/>
        <v>#VALUE!</v>
      </c>
      <c r="AM154" s="118" t="e">
        <f>AL154^3+AJ142*AL154+AK142</f>
        <v>#VALUE!</v>
      </c>
      <c r="AN154" s="118" t="e">
        <f>3*AL154^2+AJ142</f>
        <v>#VALUE!</v>
      </c>
      <c r="AO154" s="118" t="e">
        <f t="shared" si="48"/>
        <v>#VALUE!</v>
      </c>
      <c r="AP154" s="128" t="s">
        <v>218</v>
      </c>
      <c r="AQ154" s="32"/>
      <c r="AS154" s="125"/>
      <c r="AT154" s="126"/>
      <c r="AU154" s="118" t="e">
        <f t="shared" si="54"/>
        <v>#VALUE!</v>
      </c>
      <c r="AV154" s="118" t="e">
        <f>AU154^3+AS142*AU154+AT142</f>
        <v>#VALUE!</v>
      </c>
      <c r="AW154" s="118" t="e">
        <f>3*AU154^2+AS142</f>
        <v>#VALUE!</v>
      </c>
      <c r="AX154" s="118" t="e">
        <f t="shared" si="49"/>
        <v>#VALUE!</v>
      </c>
      <c r="AY154" s="128" t="s">
        <v>219</v>
      </c>
      <c r="AZ154" s="32"/>
      <c r="BB154" s="125"/>
      <c r="BC154" s="126"/>
      <c r="BD154" s="118" t="e">
        <f t="shared" si="55"/>
        <v>#VALUE!</v>
      </c>
      <c r="BE154" s="118" t="e">
        <f>BD154^3+BB142*BD154+BC142</f>
        <v>#VALUE!</v>
      </c>
      <c r="BF154" s="118" t="e">
        <f>3*BD154^2+BB142</f>
        <v>#VALUE!</v>
      </c>
      <c r="BG154" s="118" t="e">
        <f t="shared" si="50"/>
        <v>#VALUE!</v>
      </c>
      <c r="BH154" s="128" t="s">
        <v>220</v>
      </c>
      <c r="BI154" s="32"/>
      <c r="BK154" s="125"/>
      <c r="BL154" s="126"/>
      <c r="BM154" s="118" t="e">
        <f t="shared" si="56"/>
        <v>#VALUE!</v>
      </c>
      <c r="BN154" s="118" t="e">
        <f>BM154^3+BK142*BM154+BL142</f>
        <v>#VALUE!</v>
      </c>
      <c r="BO154" s="118" t="e">
        <f>3*BM154^2+BK142</f>
        <v>#VALUE!</v>
      </c>
      <c r="BP154" s="118" t="e">
        <f t="shared" si="51"/>
        <v>#VALUE!</v>
      </c>
      <c r="BQ154" s="128" t="s">
        <v>221</v>
      </c>
      <c r="BR154" s="32"/>
      <c r="BT154" s="125"/>
      <c r="BU154" s="126"/>
      <c r="BV154" s="118" t="e">
        <f t="shared" si="57"/>
        <v>#VALUE!</v>
      </c>
      <c r="BW154" s="118" t="e">
        <f>BV154^3+BT142*BV154+BU142</f>
        <v>#VALUE!</v>
      </c>
      <c r="BX154" s="118" t="e">
        <f>3*BV154^2+BT142</f>
        <v>#VALUE!</v>
      </c>
      <c r="BY154" s="118" t="e">
        <f t="shared" si="52"/>
        <v>#VALUE!</v>
      </c>
      <c r="BZ154" s="128" t="s">
        <v>222</v>
      </c>
      <c r="CA154" s="32"/>
    </row>
    <row r="155" spans="36:79" ht="18" hidden="1" customHeight="1" x14ac:dyDescent="0.15">
      <c r="AJ155" s="125"/>
      <c r="AK155" s="126"/>
      <c r="AL155" s="18" t="e">
        <f t="shared" si="53"/>
        <v>#VALUE!</v>
      </c>
      <c r="AM155" s="18" t="e">
        <f>AL155^3+AJ142*AL155+AK142</f>
        <v>#VALUE!</v>
      </c>
      <c r="AN155" s="18" t="e">
        <f>3*AL155^2+AJ142</f>
        <v>#VALUE!</v>
      </c>
      <c r="AO155" s="18" t="e">
        <f t="shared" si="48"/>
        <v>#VALUE!</v>
      </c>
      <c r="AP155" s="273" t="str">
        <f>M55</f>
        <v>無 風 時　15[℃]</v>
      </c>
      <c r="AQ155" s="274"/>
      <c r="AS155" s="125"/>
      <c r="AT155" s="126"/>
      <c r="AU155" s="18" t="e">
        <f t="shared" si="54"/>
        <v>#VALUE!</v>
      </c>
      <c r="AV155" s="18" t="e">
        <f>AU155^3+AS142*AU155+AT142</f>
        <v>#VALUE!</v>
      </c>
      <c r="AW155" s="18" t="e">
        <f>3*AU155^2+AS142</f>
        <v>#VALUE!</v>
      </c>
      <c r="AX155" s="18" t="e">
        <f t="shared" si="49"/>
        <v>#VALUE!</v>
      </c>
      <c r="AY155" s="273" t="str">
        <f>M55</f>
        <v>無 風 時　15[℃]</v>
      </c>
      <c r="AZ155" s="274"/>
      <c r="BB155" s="125"/>
      <c r="BC155" s="126"/>
      <c r="BD155" s="18" t="e">
        <f t="shared" si="55"/>
        <v>#VALUE!</v>
      </c>
      <c r="BE155" s="18" t="e">
        <f>BD155^3+BB142*BD155+BC142</f>
        <v>#VALUE!</v>
      </c>
      <c r="BF155" s="18" t="e">
        <f>3*BD155^2+BB142</f>
        <v>#VALUE!</v>
      </c>
      <c r="BG155" s="18" t="e">
        <f t="shared" si="50"/>
        <v>#VALUE!</v>
      </c>
      <c r="BH155" s="273" t="str">
        <f>M55</f>
        <v>無 風 時　15[℃]</v>
      </c>
      <c r="BI155" s="274"/>
      <c r="BK155" s="125"/>
      <c r="BL155" s="126"/>
      <c r="BM155" s="18" t="e">
        <f t="shared" si="56"/>
        <v>#VALUE!</v>
      </c>
      <c r="BN155" s="18" t="e">
        <f>BM155^3+BK142*BM155+BL142</f>
        <v>#VALUE!</v>
      </c>
      <c r="BO155" s="18" t="e">
        <f>3*BM155^2+BK142</f>
        <v>#VALUE!</v>
      </c>
      <c r="BP155" s="18" t="e">
        <f t="shared" si="51"/>
        <v>#VALUE!</v>
      </c>
      <c r="BQ155" s="273" t="str">
        <f>M55</f>
        <v>無 風 時　15[℃]</v>
      </c>
      <c r="BR155" s="274"/>
      <c r="BT155" s="125"/>
      <c r="BU155" s="126"/>
      <c r="BV155" s="18" t="e">
        <f t="shared" si="57"/>
        <v>#VALUE!</v>
      </c>
      <c r="BW155" s="18" t="e">
        <f>BV155^3+BT142*BV155+BU142</f>
        <v>#VALUE!</v>
      </c>
      <c r="BX155" s="18" t="e">
        <f>3*BV155^2+BT142</f>
        <v>#VALUE!</v>
      </c>
      <c r="BY155" s="18" t="e">
        <f t="shared" si="52"/>
        <v>#VALUE!</v>
      </c>
      <c r="BZ155" s="273" t="str">
        <f>M55</f>
        <v>無 風 時　15[℃]</v>
      </c>
      <c r="CA155" s="274"/>
    </row>
    <row r="156" spans="36:79" ht="18" hidden="1" customHeight="1" thickBot="1" x14ac:dyDescent="0.2">
      <c r="AJ156" s="125"/>
      <c r="AK156" s="126"/>
      <c r="AL156" s="114" t="e">
        <f t="shared" si="53"/>
        <v>#VALUE!</v>
      </c>
      <c r="AM156" s="115" t="e">
        <f>AL156^3+AJ142*AL156+AK142</f>
        <v>#VALUE!</v>
      </c>
      <c r="AN156" s="115" t="e">
        <f>3*AL156^2+AJ142</f>
        <v>#VALUE!</v>
      </c>
      <c r="AO156" s="115" t="e">
        <f t="shared" si="48"/>
        <v>#VALUE!</v>
      </c>
      <c r="AP156" s="275"/>
      <c r="AQ156" s="276"/>
      <c r="AS156" s="125"/>
      <c r="AT156" s="126"/>
      <c r="AU156" s="114" t="e">
        <f t="shared" si="54"/>
        <v>#VALUE!</v>
      </c>
      <c r="AV156" s="115" t="e">
        <f>AU156^3+AS142*AU156+AT142</f>
        <v>#VALUE!</v>
      </c>
      <c r="AW156" s="115" t="e">
        <f>3*AU156^2+AS142</f>
        <v>#VALUE!</v>
      </c>
      <c r="AX156" s="115" t="e">
        <f t="shared" si="49"/>
        <v>#VALUE!</v>
      </c>
      <c r="AY156" s="275"/>
      <c r="AZ156" s="276"/>
      <c r="BB156" s="125"/>
      <c r="BC156" s="126"/>
      <c r="BD156" s="114" t="e">
        <f t="shared" si="55"/>
        <v>#VALUE!</v>
      </c>
      <c r="BE156" s="115" t="e">
        <f>BD156^3+BB142*BD156+BC142</f>
        <v>#VALUE!</v>
      </c>
      <c r="BF156" s="115" t="e">
        <f>3*BD156^2+BB142</f>
        <v>#VALUE!</v>
      </c>
      <c r="BG156" s="115" t="e">
        <f t="shared" si="50"/>
        <v>#VALUE!</v>
      </c>
      <c r="BH156" s="275"/>
      <c r="BI156" s="276"/>
      <c r="BK156" s="125"/>
      <c r="BL156" s="126"/>
      <c r="BM156" s="114" t="e">
        <f t="shared" si="56"/>
        <v>#VALUE!</v>
      </c>
      <c r="BN156" s="115" t="e">
        <f>BM156^3+BK142*BM156+BL142</f>
        <v>#VALUE!</v>
      </c>
      <c r="BO156" s="115" t="e">
        <f>3*BM156^2+BK142</f>
        <v>#VALUE!</v>
      </c>
      <c r="BP156" s="115" t="e">
        <f t="shared" si="51"/>
        <v>#VALUE!</v>
      </c>
      <c r="BQ156" s="275"/>
      <c r="BR156" s="276"/>
      <c r="BT156" s="125"/>
      <c r="BU156" s="126"/>
      <c r="BV156" s="114" t="e">
        <f t="shared" si="57"/>
        <v>#VALUE!</v>
      </c>
      <c r="BW156" s="115" t="e">
        <f>BV156^3+BT142*BV156+BU142</f>
        <v>#VALUE!</v>
      </c>
      <c r="BX156" s="115" t="e">
        <f>3*BV156^2+BT142</f>
        <v>#VALUE!</v>
      </c>
      <c r="BY156" s="115" t="e">
        <f t="shared" si="52"/>
        <v>#VALUE!</v>
      </c>
      <c r="BZ156" s="275"/>
      <c r="CA156" s="276"/>
    </row>
    <row r="157" spans="36:79" ht="18" hidden="1" customHeight="1" x14ac:dyDescent="0.15">
      <c r="AJ157" s="62"/>
      <c r="AK157" s="12" t="s">
        <v>224</v>
      </c>
      <c r="AL157" s="12" t="s">
        <v>225</v>
      </c>
      <c r="AM157" s="12" t="s">
        <v>226</v>
      </c>
      <c r="AN157" s="12" t="s">
        <v>227</v>
      </c>
      <c r="AO157" s="63" t="s">
        <v>228</v>
      </c>
      <c r="AP157" s="12" t="s">
        <v>229</v>
      </c>
      <c r="AQ157" s="13" t="s">
        <v>230</v>
      </c>
      <c r="AS157" s="62"/>
      <c r="AT157" s="12" t="s">
        <v>224</v>
      </c>
      <c r="AU157" s="12" t="s">
        <v>225</v>
      </c>
      <c r="AV157" s="12" t="s">
        <v>226</v>
      </c>
      <c r="AW157" s="12" t="s">
        <v>227</v>
      </c>
      <c r="AX157" s="63" t="s">
        <v>228</v>
      </c>
      <c r="AY157" s="12" t="s">
        <v>229</v>
      </c>
      <c r="AZ157" s="13" t="s">
        <v>230</v>
      </c>
      <c r="BB157" s="62"/>
      <c r="BC157" s="12" t="s">
        <v>224</v>
      </c>
      <c r="BD157" s="12" t="s">
        <v>225</v>
      </c>
      <c r="BE157" s="12" t="s">
        <v>226</v>
      </c>
      <c r="BF157" s="12" t="s">
        <v>227</v>
      </c>
      <c r="BG157" s="63" t="s">
        <v>228</v>
      </c>
      <c r="BH157" s="12" t="s">
        <v>229</v>
      </c>
      <c r="BI157" s="13" t="s">
        <v>230</v>
      </c>
      <c r="BK157" s="62"/>
      <c r="BL157" s="12" t="s">
        <v>224</v>
      </c>
      <c r="BM157" s="12" t="s">
        <v>225</v>
      </c>
      <c r="BN157" s="12" t="s">
        <v>226</v>
      </c>
      <c r="BO157" s="12" t="s">
        <v>227</v>
      </c>
      <c r="BP157" s="63" t="s">
        <v>228</v>
      </c>
      <c r="BQ157" s="12" t="s">
        <v>229</v>
      </c>
      <c r="BR157" s="13" t="s">
        <v>230</v>
      </c>
      <c r="BT157" s="62"/>
      <c r="BU157" s="12" t="s">
        <v>224</v>
      </c>
      <c r="BV157" s="12" t="s">
        <v>225</v>
      </c>
      <c r="BW157" s="12" t="s">
        <v>226</v>
      </c>
      <c r="BX157" s="12" t="s">
        <v>227</v>
      </c>
      <c r="BY157" s="63" t="s">
        <v>228</v>
      </c>
      <c r="BZ157" s="12" t="s">
        <v>229</v>
      </c>
      <c r="CA157" s="13" t="s">
        <v>230</v>
      </c>
    </row>
    <row r="158" spans="36:79" ht="18" hidden="1" customHeight="1" thickBot="1" x14ac:dyDescent="0.2">
      <c r="AJ158" s="107"/>
      <c r="AK158" s="108" t="e">
        <f>M23+U23</f>
        <v>#VALUE!</v>
      </c>
      <c r="AL158" s="108">
        <f>IF(C33="",L19*(F19/40)^2,C33)</f>
        <v>0</v>
      </c>
      <c r="AM158" s="108">
        <f>F19</f>
        <v>0</v>
      </c>
      <c r="AN158" s="108" t="e">
        <f>AK78*1600/(8*L19)</f>
        <v>#VALUE!</v>
      </c>
      <c r="AO158" s="109">
        <f>V23</f>
        <v>0</v>
      </c>
      <c r="AP158" s="108" t="str">
        <f>L23</f>
        <v/>
      </c>
      <c r="AQ158" s="110">
        <f>W23</f>
        <v>0</v>
      </c>
      <c r="AS158" s="107"/>
      <c r="AT158" s="108" t="str">
        <f>IF(B24="使用電線-2",M24+U24,IF(B25="使用電線-2",M25+U25,IF(B26="使用電線-2",M26+U26,IF(B27="使用電線-2",M27+U27,IF(B28="使用電線-2",M28+U28,IF(B29="使用電線-2",M29+U29,""))))))</f>
        <v/>
      </c>
      <c r="AU158" s="108">
        <f>IF(I33="",L19*(F19/40)^2,I33)</f>
        <v>0</v>
      </c>
      <c r="AV158" s="108">
        <f>F19</f>
        <v>0</v>
      </c>
      <c r="AW158" s="108" t="e">
        <f>AT158*1600/(8*L19)</f>
        <v>#VALUE!</v>
      </c>
      <c r="AX158" s="109" t="str">
        <f>IF(B24="使用電線-2",V24,IF(B25="使用電線-2",V25,IF(B26="使用電線-2",V26,IF(B27="使用電線-2",V27,IF(B28="使用電線-2",V28,IF(B29="使用電線-2",V29,""))))))</f>
        <v/>
      </c>
      <c r="AY158" s="108" t="str">
        <f>IF(B24="使用電線-2",L24,IF(B25="使用電線-2",L25,IF(B26="使用電線-2",L26,IF(B27="使用電線-2",L27,IF(B28="使用電線-2",L28,IF(B29="使用電線-2",L29,""))))))</f>
        <v/>
      </c>
      <c r="AZ158" s="110" t="str">
        <f>IF(B24="使用電線-2",W24,IF(B25="使用電線-2",W25,IF(B26="使用電線-2",W26,IF(B27="使用電線-2",W27,IF(B28="使用電線-2",W28,IF(B29="使用電線-2",W29,""))))))</f>
        <v/>
      </c>
      <c r="BB158" s="107"/>
      <c r="BC158" s="108" t="str">
        <f>IF(B25="使用電線-3",M25+U25,IF(B26="使用電線-3",M26+U26,IF(B27="使用電線-3",M27+U27,IF(B28="使用電線-3",M28+U28,IF(B29="使用電線-3",M29+U29,"")))))</f>
        <v/>
      </c>
      <c r="BD158" s="108">
        <f>IF(N33="",L19*(F19/40)^2,N33)</f>
        <v>0</v>
      </c>
      <c r="BE158" s="108">
        <f>F19</f>
        <v>0</v>
      </c>
      <c r="BF158" s="108" t="e">
        <f>BC158*1600/(8*L19)</f>
        <v>#VALUE!</v>
      </c>
      <c r="BG158" s="109" t="str">
        <f>IF(B25="使用電線-3",V25,IF(B26="使用電線-3",V26,IF(B27="使用電線-3",V27,IF(B28="使用電線-3",V28,IF(B29="使用電線-3",V29,"")))))</f>
        <v/>
      </c>
      <c r="BH158" s="108" t="str">
        <f>IF(B25="使用電線-3",L25,IF(B26="使用電線-3",L26,IF(B27="使用電線-3",L27,IF(B28="使用電線-3",L28,IF(B29="使用電線-3",L29,"")))))</f>
        <v/>
      </c>
      <c r="BI158" s="110" t="str">
        <f>IF(B25="使用電線-3",W25,IF(B26="使用電線-3",W26,IF(B27="使用電線-3",W27,IF(B28="使用電線-3",W28,IF(B29="使用電線-3",W29,"")))))</f>
        <v/>
      </c>
      <c r="BK158" s="107"/>
      <c r="BL158" s="108" t="str">
        <f>IF(B26="使用電線-4",M26+U26,IF(B27="使用電線-4",M27+U27,IF(B28="使用電線-4",M28+U28,IF(B29="使用電線-4",M29+U29,""))))</f>
        <v/>
      </c>
      <c r="BM158" s="108">
        <f>IF(C47="",L19*(F19/40)^2,C47)</f>
        <v>0</v>
      </c>
      <c r="BN158" s="108">
        <f>F19</f>
        <v>0</v>
      </c>
      <c r="BO158" s="127" t="e">
        <f>BL158*1600/(8*L19)</f>
        <v>#VALUE!</v>
      </c>
      <c r="BP158" s="109" t="str">
        <f>IF(B26="使用電線-4",V26,IF(B27="使用電線-4",V27,IF(B28="使用電線-4",V28,IF(B29="使用電線-4",V29,""))))</f>
        <v/>
      </c>
      <c r="BQ158" s="108" t="str">
        <f>IF(B26="使用電線-4",L26,IF(B27="使用電線-4",L27,IF(B28="使用電線-4",L28,IF(B29="使用電線-4",L29,""))))</f>
        <v/>
      </c>
      <c r="BR158" s="110" t="str">
        <f>IF(B26="使用電線-4",W26,IF(B27="使用電線-4",W27,IF(B28="使用電線-4",W28,IF(B29="使用電線-4",W29,""))))</f>
        <v/>
      </c>
      <c r="BT158" s="107"/>
      <c r="BU158" s="108" t="str">
        <f>IF(B27="使用電線-5",M27+U27,IF(B28="使用電線-5",M28+U28,IF(B29="使用電線-5",M29+U29,"")))</f>
        <v/>
      </c>
      <c r="BV158" s="108">
        <f>IF(I47="",L19*(F19/40)^2,I47)</f>
        <v>0</v>
      </c>
      <c r="BW158" s="108">
        <f>F19</f>
        <v>0</v>
      </c>
      <c r="BX158" s="127" t="e">
        <f>BU158*1600/(8*L19)</f>
        <v>#VALUE!</v>
      </c>
      <c r="BY158" s="109" t="str">
        <f>IF(B27="使用電線-5",V27,IF(B28="使用電線-5",V28,IF(B29="使用電線-5",V29,"")))</f>
        <v/>
      </c>
      <c r="BZ158" s="108" t="str">
        <f>IF(B27="使用電線-5",L27,IF(B28="使用電線-5",L28,IF(B29="使用電線-5",L29,"")))</f>
        <v/>
      </c>
      <c r="CA158" s="110" t="str">
        <f>IF(B27="使用電線-5",W27,IF(B28="使用電線-5",W28,IF(B29="使用電線-5",W29,"")))</f>
        <v/>
      </c>
    </row>
    <row r="159" spans="36:79" ht="18" hidden="1" customHeight="1" x14ac:dyDescent="0.15"/>
    <row r="160" spans="36:79" ht="18" hidden="1" customHeight="1" thickBot="1" x14ac:dyDescent="0.2"/>
    <row r="161" spans="36:79" ht="18" hidden="1" customHeight="1" x14ac:dyDescent="0.15">
      <c r="AJ161" s="2" t="s">
        <v>232</v>
      </c>
      <c r="AK161" s="111" t="s">
        <v>233</v>
      </c>
      <c r="AL161" s="12" t="s">
        <v>234</v>
      </c>
      <c r="AM161" s="12" t="s">
        <v>235</v>
      </c>
      <c r="AN161" s="12" t="s">
        <v>236</v>
      </c>
      <c r="AO161" s="12" t="s">
        <v>237</v>
      </c>
      <c r="AP161" s="12" t="s">
        <v>238</v>
      </c>
      <c r="AQ161" s="13" t="s">
        <v>239</v>
      </c>
      <c r="AS161" s="2" t="s">
        <v>232</v>
      </c>
      <c r="AT161" s="111" t="s">
        <v>233</v>
      </c>
      <c r="AU161" s="12" t="s">
        <v>234</v>
      </c>
      <c r="AV161" s="12" t="s">
        <v>235</v>
      </c>
      <c r="AW161" s="12" t="s">
        <v>236</v>
      </c>
      <c r="AX161" s="12" t="s">
        <v>237</v>
      </c>
      <c r="AY161" s="12" t="s">
        <v>238</v>
      </c>
      <c r="AZ161" s="13" t="s">
        <v>239</v>
      </c>
      <c r="BB161" s="2" t="s">
        <v>232</v>
      </c>
      <c r="BC161" s="111" t="s">
        <v>233</v>
      </c>
      <c r="BD161" s="12" t="s">
        <v>234</v>
      </c>
      <c r="BE161" s="12" t="s">
        <v>235</v>
      </c>
      <c r="BF161" s="12" t="s">
        <v>236</v>
      </c>
      <c r="BG161" s="12" t="s">
        <v>237</v>
      </c>
      <c r="BH161" s="12" t="s">
        <v>238</v>
      </c>
      <c r="BI161" s="13" t="s">
        <v>239</v>
      </c>
      <c r="BK161" s="2" t="s">
        <v>232</v>
      </c>
      <c r="BL161" s="111" t="s">
        <v>233</v>
      </c>
      <c r="BM161" s="12" t="s">
        <v>234</v>
      </c>
      <c r="BN161" s="12" t="s">
        <v>235</v>
      </c>
      <c r="BO161" s="12" t="s">
        <v>236</v>
      </c>
      <c r="BP161" s="12" t="s">
        <v>237</v>
      </c>
      <c r="BQ161" s="12" t="s">
        <v>238</v>
      </c>
      <c r="BR161" s="13" t="s">
        <v>239</v>
      </c>
      <c r="BT161" s="2" t="s">
        <v>232</v>
      </c>
      <c r="BU161" s="111" t="s">
        <v>233</v>
      </c>
      <c r="BV161" s="12" t="s">
        <v>234</v>
      </c>
      <c r="BW161" s="12" t="s">
        <v>235</v>
      </c>
      <c r="BX161" s="12" t="s">
        <v>236</v>
      </c>
      <c r="BY161" s="12" t="s">
        <v>237</v>
      </c>
      <c r="BZ161" s="12" t="s">
        <v>238</v>
      </c>
      <c r="CA161" s="13" t="s">
        <v>239</v>
      </c>
    </row>
    <row r="162" spans="36:79" ht="18" hidden="1" customHeight="1" x14ac:dyDescent="0.15">
      <c r="AJ162" s="16" t="e">
        <f>-AJ165+AJ168</f>
        <v>#VALUE!</v>
      </c>
      <c r="AK162" s="17" t="e">
        <f>-AJ171</f>
        <v>#VALUE!</v>
      </c>
      <c r="AL162" s="18" t="e">
        <f>IF(AND(AP165&lt;0,AQ165&lt;0),AQ162*1.2,IF(AND(AP165&gt;0,AQ165&gt;0),AP162*0.8,10))</f>
        <v>#VALUE!</v>
      </c>
      <c r="AM162" s="18" t="e">
        <f>AL162^3+AJ162*AL162+AK162</f>
        <v>#VALUE!</v>
      </c>
      <c r="AN162" s="18" t="e">
        <f>3*AL162^2+AJ162</f>
        <v>#VALUE!</v>
      </c>
      <c r="AO162" s="18" t="e">
        <f t="shared" ref="AO162:AO176" si="58">AL162-AM162/AN162</f>
        <v>#VALUE!</v>
      </c>
      <c r="AP162" s="18" t="e">
        <f>-SQRT(ABS(-4*3*AJ162))/6</f>
        <v>#VALUE!</v>
      </c>
      <c r="AQ162" s="19" t="e">
        <f>SQRT(ABS(-4*3*AJ162))/6</f>
        <v>#VALUE!</v>
      </c>
      <c r="AS162" s="16" t="e">
        <f>-AS165+AS168</f>
        <v>#VALUE!</v>
      </c>
      <c r="AT162" s="17" t="e">
        <f>-AS171</f>
        <v>#VALUE!</v>
      </c>
      <c r="AU162" s="18" t="e">
        <f>IF(AND(AY165&lt;0,AZ165&lt;0),AZ162*1.2,IF(AND(AY165&gt;0,AZ165&gt;0),AY162*0.8,10))</f>
        <v>#VALUE!</v>
      </c>
      <c r="AV162" s="18" t="e">
        <f>AU162^3+AS162*AU162+AT162</f>
        <v>#VALUE!</v>
      </c>
      <c r="AW162" s="18" t="e">
        <f>3*AU162^2+AS162</f>
        <v>#VALUE!</v>
      </c>
      <c r="AX162" s="18" t="e">
        <f t="shared" ref="AX162:AX176" si="59">AU162-AV162/AW162</f>
        <v>#VALUE!</v>
      </c>
      <c r="AY162" s="18" t="e">
        <f>-SQRT(ABS(-4*3*AS162))/6</f>
        <v>#VALUE!</v>
      </c>
      <c r="AZ162" s="19" t="e">
        <f>SQRT(ABS(-4*3*AS162))/6</f>
        <v>#VALUE!</v>
      </c>
      <c r="BB162" s="16" t="e">
        <f>-BB165+BB168</f>
        <v>#VALUE!</v>
      </c>
      <c r="BC162" s="17" t="e">
        <f>-BB171</f>
        <v>#VALUE!</v>
      </c>
      <c r="BD162" s="18" t="e">
        <f>IF(AND(BH165&lt;0,BI165&lt;0),BI162*1.2,IF(AND(BH165&gt;0,BI165&gt;0),BH162*0.8,10))</f>
        <v>#VALUE!</v>
      </c>
      <c r="BE162" s="18" t="e">
        <f>BD162^3+BB162*BD162+BC162</f>
        <v>#VALUE!</v>
      </c>
      <c r="BF162" s="18" t="e">
        <f>3*BD162^2+BB162</f>
        <v>#VALUE!</v>
      </c>
      <c r="BG162" s="18" t="e">
        <f t="shared" ref="BG162:BG176" si="60">BD162-BE162/BF162</f>
        <v>#VALUE!</v>
      </c>
      <c r="BH162" s="18" t="e">
        <f>-SQRT(ABS(-4*3*BB162))/6</f>
        <v>#VALUE!</v>
      </c>
      <c r="BI162" s="19" t="e">
        <f>SQRT(ABS(-4*3*BB162))/6</f>
        <v>#VALUE!</v>
      </c>
      <c r="BK162" s="16" t="e">
        <f>-BK165+BK168</f>
        <v>#VALUE!</v>
      </c>
      <c r="BL162" s="17" t="e">
        <f>-BK171</f>
        <v>#VALUE!</v>
      </c>
      <c r="BM162" s="18" t="e">
        <f>IF(AND(BQ165&lt;0,BR165&lt;0),BR162*1.2,IF(AND(BQ165&gt;0,BR165&gt;0),BQ162*0.8,10))</f>
        <v>#VALUE!</v>
      </c>
      <c r="BN162" s="18" t="e">
        <f>BM162^3+BK162*BM162+BL162</f>
        <v>#VALUE!</v>
      </c>
      <c r="BO162" s="18" t="e">
        <f>3*BM162^2+BK162</f>
        <v>#VALUE!</v>
      </c>
      <c r="BP162" s="18" t="e">
        <f t="shared" ref="BP162:BP176" si="61">BM162-BN162/BO162</f>
        <v>#VALUE!</v>
      </c>
      <c r="BQ162" s="18" t="e">
        <f>-SQRT(ABS(-4*3*BK162))/6</f>
        <v>#VALUE!</v>
      </c>
      <c r="BR162" s="19" t="e">
        <f>SQRT(ABS(-4*3*BK162))/6</f>
        <v>#VALUE!</v>
      </c>
      <c r="BT162" s="16" t="e">
        <f>-BT165+BT168</f>
        <v>#VALUE!</v>
      </c>
      <c r="BU162" s="17" t="e">
        <f>-BT171</f>
        <v>#VALUE!</v>
      </c>
      <c r="BV162" s="18" t="e">
        <f>IF(AND(BZ165&lt;0,CA165&lt;0),CA162*1.2,IF(AND(BZ165&gt;0,CA165&gt;0),BZ162*0.8,10))</f>
        <v>#VALUE!</v>
      </c>
      <c r="BW162" s="18" t="e">
        <f>BV162^3+BT162*BV162+BU162</f>
        <v>#VALUE!</v>
      </c>
      <c r="BX162" s="18" t="e">
        <f>3*BV162^2+BT162</f>
        <v>#VALUE!</v>
      </c>
      <c r="BY162" s="18" t="e">
        <f t="shared" ref="BY162:BY176" si="62">BV162-BW162/BX162</f>
        <v>#VALUE!</v>
      </c>
      <c r="BZ162" s="18" t="e">
        <f>-SQRT(ABS(-4*3*BT162))/6</f>
        <v>#VALUE!</v>
      </c>
      <c r="CA162" s="19" t="e">
        <f>SQRT(ABS(-4*3*BT162))/6</f>
        <v>#VALUE!</v>
      </c>
    </row>
    <row r="163" spans="36:79" ht="18" hidden="1" customHeight="1" x14ac:dyDescent="0.15">
      <c r="AJ163" s="267"/>
      <c r="AK163" s="268"/>
      <c r="AL163" s="18" t="e">
        <f t="shared" ref="AL163:AL176" si="63">AO162</f>
        <v>#VALUE!</v>
      </c>
      <c r="AM163" s="18" t="e">
        <f>AL163^3+AJ162*AL163+AK162</f>
        <v>#VALUE!</v>
      </c>
      <c r="AN163" s="18" t="e">
        <f>3*AL163^2+AJ162</f>
        <v>#VALUE!</v>
      </c>
      <c r="AO163" s="18" t="e">
        <f t="shared" si="58"/>
        <v>#VALUE!</v>
      </c>
      <c r="AP163" s="6"/>
      <c r="AQ163" s="7"/>
      <c r="AS163" s="267"/>
      <c r="AT163" s="268"/>
      <c r="AU163" s="18" t="e">
        <f t="shared" ref="AU163:AU176" si="64">AX162</f>
        <v>#VALUE!</v>
      </c>
      <c r="AV163" s="18" t="e">
        <f>AU163^3+AS162*AU163+AT162</f>
        <v>#VALUE!</v>
      </c>
      <c r="AW163" s="18" t="e">
        <f>3*AU163^2+AS162</f>
        <v>#VALUE!</v>
      </c>
      <c r="AX163" s="18" t="e">
        <f t="shared" si="59"/>
        <v>#VALUE!</v>
      </c>
      <c r="AY163" s="6"/>
      <c r="AZ163" s="7"/>
      <c r="BB163" s="267"/>
      <c r="BC163" s="268"/>
      <c r="BD163" s="18" t="e">
        <f t="shared" ref="BD163:BD176" si="65">BG162</f>
        <v>#VALUE!</v>
      </c>
      <c r="BE163" s="18" t="e">
        <f>BD163^3+BB162*BD163+BC162</f>
        <v>#VALUE!</v>
      </c>
      <c r="BF163" s="18" t="e">
        <f>3*BD163^2+BB162</f>
        <v>#VALUE!</v>
      </c>
      <c r="BG163" s="18" t="e">
        <f t="shared" si="60"/>
        <v>#VALUE!</v>
      </c>
      <c r="BH163" s="6"/>
      <c r="BI163" s="7"/>
      <c r="BK163" s="267"/>
      <c r="BL163" s="268"/>
      <c r="BM163" s="18" t="e">
        <f t="shared" ref="BM163:BM176" si="66">BP162</f>
        <v>#VALUE!</v>
      </c>
      <c r="BN163" s="18" t="e">
        <f>BM163^3+BK162*BM163+BL162</f>
        <v>#VALUE!</v>
      </c>
      <c r="BO163" s="18" t="e">
        <f>3*BM163^2+BK162</f>
        <v>#VALUE!</v>
      </c>
      <c r="BP163" s="18" t="e">
        <f t="shared" si="61"/>
        <v>#VALUE!</v>
      </c>
      <c r="BQ163" s="6"/>
      <c r="BR163" s="7"/>
      <c r="BT163" s="267"/>
      <c r="BU163" s="268"/>
      <c r="BV163" s="18" t="e">
        <f t="shared" ref="BV163:BV176" si="67">BY162</f>
        <v>#VALUE!</v>
      </c>
      <c r="BW163" s="18" t="e">
        <f>BV163^3+BT162*BV163+BU162</f>
        <v>#VALUE!</v>
      </c>
      <c r="BX163" s="18" t="e">
        <f>3*BV163^2+BT162</f>
        <v>#VALUE!</v>
      </c>
      <c r="BY163" s="18" t="e">
        <f t="shared" si="62"/>
        <v>#VALUE!</v>
      </c>
      <c r="BZ163" s="6"/>
      <c r="CA163" s="7"/>
    </row>
    <row r="164" spans="36:79" ht="18" hidden="1" customHeight="1" x14ac:dyDescent="0.15">
      <c r="AJ164" s="269" t="s">
        <v>240</v>
      </c>
      <c r="AK164" s="270"/>
      <c r="AL164" s="18" t="e">
        <f t="shared" si="63"/>
        <v>#VALUE!</v>
      </c>
      <c r="AM164" s="18" t="e">
        <f>AL164^3+AJ162*AL164+AK162</f>
        <v>#VALUE!</v>
      </c>
      <c r="AN164" s="18" t="e">
        <f>3*AL164^2+AJ162</f>
        <v>#VALUE!</v>
      </c>
      <c r="AO164" s="18" t="e">
        <f t="shared" si="58"/>
        <v>#VALUE!</v>
      </c>
      <c r="AP164" s="14" t="s">
        <v>241</v>
      </c>
      <c r="AQ164" s="15" t="s">
        <v>242</v>
      </c>
      <c r="AS164" s="269" t="s">
        <v>240</v>
      </c>
      <c r="AT164" s="270"/>
      <c r="AU164" s="18" t="e">
        <f t="shared" si="64"/>
        <v>#VALUE!</v>
      </c>
      <c r="AV164" s="18" t="e">
        <f>AU164^3+AS162*AU164+AT162</f>
        <v>#VALUE!</v>
      </c>
      <c r="AW164" s="18" t="e">
        <f>3*AU164^2+AS162</f>
        <v>#VALUE!</v>
      </c>
      <c r="AX164" s="18" t="e">
        <f t="shared" si="59"/>
        <v>#VALUE!</v>
      </c>
      <c r="AY164" s="14" t="s">
        <v>241</v>
      </c>
      <c r="AZ164" s="15" t="s">
        <v>242</v>
      </c>
      <c r="BB164" s="269" t="s">
        <v>240</v>
      </c>
      <c r="BC164" s="270"/>
      <c r="BD164" s="18" t="e">
        <f t="shared" si="65"/>
        <v>#VALUE!</v>
      </c>
      <c r="BE164" s="18" t="e">
        <f>BD164^3+BB162*BD164+BC162</f>
        <v>#VALUE!</v>
      </c>
      <c r="BF164" s="18" t="e">
        <f>3*BD164^2+BB162</f>
        <v>#VALUE!</v>
      </c>
      <c r="BG164" s="18" t="e">
        <f t="shared" si="60"/>
        <v>#VALUE!</v>
      </c>
      <c r="BH164" s="14" t="s">
        <v>241</v>
      </c>
      <c r="BI164" s="15" t="s">
        <v>242</v>
      </c>
      <c r="BK164" s="269" t="s">
        <v>240</v>
      </c>
      <c r="BL164" s="270"/>
      <c r="BM164" s="18" t="e">
        <f t="shared" si="66"/>
        <v>#VALUE!</v>
      </c>
      <c r="BN164" s="18" t="e">
        <f>BM164^3+BK162*BM164+BL162</f>
        <v>#VALUE!</v>
      </c>
      <c r="BO164" s="18" t="e">
        <f>3*BM164^2+BK162</f>
        <v>#VALUE!</v>
      </c>
      <c r="BP164" s="18" t="e">
        <f t="shared" si="61"/>
        <v>#VALUE!</v>
      </c>
      <c r="BQ164" s="14" t="s">
        <v>241</v>
      </c>
      <c r="BR164" s="15" t="s">
        <v>242</v>
      </c>
      <c r="BT164" s="269" t="s">
        <v>240</v>
      </c>
      <c r="BU164" s="270"/>
      <c r="BV164" s="18" t="e">
        <f t="shared" si="67"/>
        <v>#VALUE!</v>
      </c>
      <c r="BW164" s="18" t="e">
        <f>BV164^3+BT162*BV164+BU162</f>
        <v>#VALUE!</v>
      </c>
      <c r="BX164" s="18" t="e">
        <f>3*BV164^2+BT162</f>
        <v>#VALUE!</v>
      </c>
      <c r="BY164" s="18" t="e">
        <f t="shared" si="62"/>
        <v>#VALUE!</v>
      </c>
      <c r="BZ164" s="14" t="s">
        <v>241</v>
      </c>
      <c r="CA164" s="15" t="s">
        <v>242</v>
      </c>
    </row>
    <row r="165" spans="36:79" ht="18" hidden="1" customHeight="1" x14ac:dyDescent="0.15">
      <c r="AJ165" s="269">
        <f>(AL178^2)+3*(AM178^2)*AQ178*(AQ173-15)/(8*10^7)</f>
        <v>0</v>
      </c>
      <c r="AK165" s="270"/>
      <c r="AL165" s="18" t="e">
        <f t="shared" si="63"/>
        <v>#VALUE!</v>
      </c>
      <c r="AM165" s="18" t="e">
        <f>AL165^3+AJ162*AL165+AK162</f>
        <v>#VALUE!</v>
      </c>
      <c r="AN165" s="18" t="e">
        <f>3*AL165^2+AJ162</f>
        <v>#VALUE!</v>
      </c>
      <c r="AO165" s="18" t="e">
        <f t="shared" si="58"/>
        <v>#VALUE!</v>
      </c>
      <c r="AP165" s="18" t="e">
        <f>AP162^3+AJ162*AP162+AK162</f>
        <v>#VALUE!</v>
      </c>
      <c r="AQ165" s="19" t="e">
        <f>AQ162^3+AJ162*AQ162+AK162</f>
        <v>#VALUE!</v>
      </c>
      <c r="AS165" s="269" t="e">
        <f>(AU178^2)+3*(AV178^2)*AZ178*(AZ173-15)/(8*10^7)</f>
        <v>#VALUE!</v>
      </c>
      <c r="AT165" s="270"/>
      <c r="AU165" s="18" t="e">
        <f t="shared" si="64"/>
        <v>#VALUE!</v>
      </c>
      <c r="AV165" s="18" t="e">
        <f>AU165^3+AS162*AU165+AT162</f>
        <v>#VALUE!</v>
      </c>
      <c r="AW165" s="18" t="e">
        <f>3*AU165^2+AS162</f>
        <v>#VALUE!</v>
      </c>
      <c r="AX165" s="18" t="e">
        <f t="shared" si="59"/>
        <v>#VALUE!</v>
      </c>
      <c r="AY165" s="18" t="e">
        <f>AY162^3+AS162*AY162+AT162</f>
        <v>#VALUE!</v>
      </c>
      <c r="AZ165" s="19" t="e">
        <f>AZ162^3+AS162*AZ162+AT162</f>
        <v>#VALUE!</v>
      </c>
      <c r="BB165" s="269" t="e">
        <f>(BD178^2)+3*(BE178^2)*BI178*(BI173-15)/(8*10^7)</f>
        <v>#VALUE!</v>
      </c>
      <c r="BC165" s="270"/>
      <c r="BD165" s="18" t="e">
        <f t="shared" si="65"/>
        <v>#VALUE!</v>
      </c>
      <c r="BE165" s="18" t="e">
        <f>BD165^3+BB162*BD165+BC162</f>
        <v>#VALUE!</v>
      </c>
      <c r="BF165" s="18" t="e">
        <f>3*BD165^2+BB162</f>
        <v>#VALUE!</v>
      </c>
      <c r="BG165" s="18" t="e">
        <f t="shared" si="60"/>
        <v>#VALUE!</v>
      </c>
      <c r="BH165" s="18" t="e">
        <f>BH162^3+BB162*BH162+BC162</f>
        <v>#VALUE!</v>
      </c>
      <c r="BI165" s="19" t="e">
        <f>BI162^3+BB162*BI162+BC162</f>
        <v>#VALUE!</v>
      </c>
      <c r="BK165" s="269" t="e">
        <f>(BM178^2)+3*(BN178^2)*BR178*(BR173-15)/(8*10^7)</f>
        <v>#VALUE!</v>
      </c>
      <c r="BL165" s="270"/>
      <c r="BM165" s="18" t="e">
        <f t="shared" si="66"/>
        <v>#VALUE!</v>
      </c>
      <c r="BN165" s="18" t="e">
        <f>BM165^3+BK162*BM165+BL162</f>
        <v>#VALUE!</v>
      </c>
      <c r="BO165" s="18" t="e">
        <f>3*BM165^2+BK162</f>
        <v>#VALUE!</v>
      </c>
      <c r="BP165" s="18" t="e">
        <f t="shared" si="61"/>
        <v>#VALUE!</v>
      </c>
      <c r="BQ165" s="18" t="e">
        <f>BQ162^3+BK162*BQ162+BL162</f>
        <v>#VALUE!</v>
      </c>
      <c r="BR165" s="19" t="e">
        <f>BR162^3+BK162*BR162+BL162</f>
        <v>#VALUE!</v>
      </c>
      <c r="BT165" s="269" t="e">
        <f>(BV178^2)+3*(BW178^2)*CA178*(CA173-15)/(8*10^7)</f>
        <v>#VALUE!</v>
      </c>
      <c r="BU165" s="270"/>
      <c r="BV165" s="18" t="e">
        <f t="shared" si="67"/>
        <v>#VALUE!</v>
      </c>
      <c r="BW165" s="18" t="e">
        <f>BV165^3+BT162*BV165+BU162</f>
        <v>#VALUE!</v>
      </c>
      <c r="BX165" s="18" t="e">
        <f>3*BV165^2+BT162</f>
        <v>#VALUE!</v>
      </c>
      <c r="BY165" s="18" t="e">
        <f t="shared" si="62"/>
        <v>#VALUE!</v>
      </c>
      <c r="BZ165" s="18" t="e">
        <f>BZ162^3+BT162*BZ162+BU162</f>
        <v>#VALUE!</v>
      </c>
      <c r="CA165" s="19" t="e">
        <f>CA162^3+BT162*CA162+BU162</f>
        <v>#VALUE!</v>
      </c>
    </row>
    <row r="166" spans="36:79" ht="18" hidden="1" customHeight="1" x14ac:dyDescent="0.15">
      <c r="AJ166" s="267"/>
      <c r="AK166" s="268"/>
      <c r="AL166" s="18" t="e">
        <f t="shared" si="63"/>
        <v>#VALUE!</v>
      </c>
      <c r="AM166" s="18" t="e">
        <f>AL166^3+AJ162*AL166+AK162</f>
        <v>#VALUE!</v>
      </c>
      <c r="AN166" s="18" t="e">
        <f>3*AL166^2+AJ162</f>
        <v>#VALUE!</v>
      </c>
      <c r="AO166" s="18" t="e">
        <f t="shared" si="58"/>
        <v>#VALUE!</v>
      </c>
      <c r="AP166" s="31"/>
      <c r="AQ166" s="32"/>
      <c r="AS166" s="267"/>
      <c r="AT166" s="268"/>
      <c r="AU166" s="18" t="e">
        <f t="shared" si="64"/>
        <v>#VALUE!</v>
      </c>
      <c r="AV166" s="18" t="e">
        <f>AU166^3+AS162*AU166+AT162</f>
        <v>#VALUE!</v>
      </c>
      <c r="AW166" s="18" t="e">
        <f>3*AU166^2+AS162</f>
        <v>#VALUE!</v>
      </c>
      <c r="AX166" s="18" t="e">
        <f t="shared" si="59"/>
        <v>#VALUE!</v>
      </c>
      <c r="AY166" s="31"/>
      <c r="AZ166" s="32"/>
      <c r="BB166" s="267"/>
      <c r="BC166" s="268"/>
      <c r="BD166" s="18" t="e">
        <f t="shared" si="65"/>
        <v>#VALUE!</v>
      </c>
      <c r="BE166" s="18" t="e">
        <f>BD166^3+BB162*BD166+BC162</f>
        <v>#VALUE!</v>
      </c>
      <c r="BF166" s="18" t="e">
        <f>3*BD166^2+BB162</f>
        <v>#VALUE!</v>
      </c>
      <c r="BG166" s="18" t="e">
        <f t="shared" si="60"/>
        <v>#VALUE!</v>
      </c>
      <c r="BH166" s="31"/>
      <c r="BI166" s="32"/>
      <c r="BK166" s="267"/>
      <c r="BL166" s="268"/>
      <c r="BM166" s="18" t="e">
        <f t="shared" si="66"/>
        <v>#VALUE!</v>
      </c>
      <c r="BN166" s="18" t="e">
        <f>BM166^3+BK162*BM166+BL162</f>
        <v>#VALUE!</v>
      </c>
      <c r="BO166" s="18" t="e">
        <f>3*BM166^2+BK162</f>
        <v>#VALUE!</v>
      </c>
      <c r="BP166" s="18" t="e">
        <f t="shared" si="61"/>
        <v>#VALUE!</v>
      </c>
      <c r="BQ166" s="31"/>
      <c r="BR166" s="32"/>
      <c r="BT166" s="267"/>
      <c r="BU166" s="268"/>
      <c r="BV166" s="18" t="e">
        <f t="shared" si="67"/>
        <v>#VALUE!</v>
      </c>
      <c r="BW166" s="18" t="e">
        <f>BV166^3+BT162*BV166+BU162</f>
        <v>#VALUE!</v>
      </c>
      <c r="BX166" s="18" t="e">
        <f>3*BV166^2+BT162</f>
        <v>#VALUE!</v>
      </c>
      <c r="BY166" s="18" t="e">
        <f t="shared" si="62"/>
        <v>#VALUE!</v>
      </c>
      <c r="BZ166" s="31"/>
      <c r="CA166" s="32"/>
    </row>
    <row r="167" spans="36:79" ht="18" hidden="1" customHeight="1" x14ac:dyDescent="0.15">
      <c r="AJ167" s="269" t="s">
        <v>243</v>
      </c>
      <c r="AK167" s="270"/>
      <c r="AL167" s="18" t="e">
        <f t="shared" si="63"/>
        <v>#VALUE!</v>
      </c>
      <c r="AM167" s="18" t="e">
        <f>AL167^3+AJ162*AL167+AK162</f>
        <v>#VALUE!</v>
      </c>
      <c r="AN167" s="18" t="e">
        <f>3*AL167^2+AJ162</f>
        <v>#VALUE!</v>
      </c>
      <c r="AO167" s="18" t="e">
        <f t="shared" si="58"/>
        <v>#VALUE!</v>
      </c>
      <c r="AP167" s="31"/>
      <c r="AQ167" s="32"/>
      <c r="AS167" s="269" t="s">
        <v>243</v>
      </c>
      <c r="AT167" s="270"/>
      <c r="AU167" s="18" t="e">
        <f t="shared" si="64"/>
        <v>#VALUE!</v>
      </c>
      <c r="AV167" s="18" t="e">
        <f>AU167^3+AS162*AU167+AT162</f>
        <v>#VALUE!</v>
      </c>
      <c r="AW167" s="18" t="e">
        <f>3*AU167^2+AS162</f>
        <v>#VALUE!</v>
      </c>
      <c r="AX167" s="18" t="e">
        <f t="shared" si="59"/>
        <v>#VALUE!</v>
      </c>
      <c r="AY167" s="31"/>
      <c r="AZ167" s="32"/>
      <c r="BB167" s="269" t="s">
        <v>243</v>
      </c>
      <c r="BC167" s="270"/>
      <c r="BD167" s="18" t="e">
        <f t="shared" si="65"/>
        <v>#VALUE!</v>
      </c>
      <c r="BE167" s="18" t="e">
        <f>BD167^3+BB162*BD167+BC162</f>
        <v>#VALUE!</v>
      </c>
      <c r="BF167" s="18" t="e">
        <f>3*BD167^2+BB162</f>
        <v>#VALUE!</v>
      </c>
      <c r="BG167" s="18" t="e">
        <f t="shared" si="60"/>
        <v>#VALUE!</v>
      </c>
      <c r="BH167" s="31"/>
      <c r="BI167" s="32"/>
      <c r="BK167" s="269" t="s">
        <v>243</v>
      </c>
      <c r="BL167" s="270"/>
      <c r="BM167" s="18" t="e">
        <f t="shared" si="66"/>
        <v>#VALUE!</v>
      </c>
      <c r="BN167" s="18" t="e">
        <f>BM167^3+BK162*BM167+BL162</f>
        <v>#VALUE!</v>
      </c>
      <c r="BO167" s="18" t="e">
        <f>3*BM167^2+BK162</f>
        <v>#VALUE!</v>
      </c>
      <c r="BP167" s="18" t="e">
        <f t="shared" si="61"/>
        <v>#VALUE!</v>
      </c>
      <c r="BQ167" s="31"/>
      <c r="BR167" s="32"/>
      <c r="BT167" s="269" t="s">
        <v>243</v>
      </c>
      <c r="BU167" s="270"/>
      <c r="BV167" s="18" t="e">
        <f t="shared" si="67"/>
        <v>#VALUE!</v>
      </c>
      <c r="BW167" s="18" t="e">
        <f>BV167^3+BT162*BV167+BU162</f>
        <v>#VALUE!</v>
      </c>
      <c r="BX167" s="18" t="e">
        <f>3*BV167^2+BT162</f>
        <v>#VALUE!</v>
      </c>
      <c r="BY167" s="18" t="e">
        <f t="shared" si="62"/>
        <v>#VALUE!</v>
      </c>
      <c r="BZ167" s="31"/>
      <c r="CA167" s="32"/>
    </row>
    <row r="168" spans="36:79" ht="18" hidden="1" customHeight="1" x14ac:dyDescent="0.15">
      <c r="AJ168" s="277" t="e">
        <f>3*(AM178^2)*AN178/(8*AO178*AP178)</f>
        <v>#VALUE!</v>
      </c>
      <c r="AK168" s="278"/>
      <c r="AL168" s="118" t="e">
        <f t="shared" si="63"/>
        <v>#VALUE!</v>
      </c>
      <c r="AM168" s="118" t="e">
        <f>AL168^3+AJ162*AL168+AK162</f>
        <v>#VALUE!</v>
      </c>
      <c r="AN168" s="118" t="e">
        <f>3*AL168^2+AJ162</f>
        <v>#VALUE!</v>
      </c>
      <c r="AO168" s="118" t="e">
        <f t="shared" si="58"/>
        <v>#VALUE!</v>
      </c>
      <c r="AP168" s="116"/>
      <c r="AQ168" s="117"/>
      <c r="AS168" s="277" t="e">
        <f>3*(AV178^2)*AW178/(8*AX178*AY178)</f>
        <v>#VALUE!</v>
      </c>
      <c r="AT168" s="278"/>
      <c r="AU168" s="118" t="e">
        <f t="shared" si="64"/>
        <v>#VALUE!</v>
      </c>
      <c r="AV168" s="118" t="e">
        <f>AU168^3+AS162*AU168+AT162</f>
        <v>#VALUE!</v>
      </c>
      <c r="AW168" s="118" t="e">
        <f>3*AU168^2+AS162</f>
        <v>#VALUE!</v>
      </c>
      <c r="AX168" s="118" t="e">
        <f t="shared" si="59"/>
        <v>#VALUE!</v>
      </c>
      <c r="AY168" s="116"/>
      <c r="AZ168" s="117"/>
      <c r="BB168" s="277" t="e">
        <f>3*(BE178^2)*BF178/(8*BG178*BH178)</f>
        <v>#VALUE!</v>
      </c>
      <c r="BC168" s="278"/>
      <c r="BD168" s="118" t="e">
        <f t="shared" si="65"/>
        <v>#VALUE!</v>
      </c>
      <c r="BE168" s="118" t="e">
        <f>BD168^3+BB162*BD168+BC162</f>
        <v>#VALUE!</v>
      </c>
      <c r="BF168" s="118" t="e">
        <f>3*BD168^2+BB162</f>
        <v>#VALUE!</v>
      </c>
      <c r="BG168" s="118" t="e">
        <f t="shared" si="60"/>
        <v>#VALUE!</v>
      </c>
      <c r="BH168" s="116"/>
      <c r="BI168" s="117"/>
      <c r="BK168" s="277" t="e">
        <f>3*(BN178^2)*BO178/(8*BP178*BQ178)</f>
        <v>#VALUE!</v>
      </c>
      <c r="BL168" s="278"/>
      <c r="BM168" s="118" t="e">
        <f t="shared" si="66"/>
        <v>#VALUE!</v>
      </c>
      <c r="BN168" s="118" t="e">
        <f>BM168^3+BK162*BM168+BL162</f>
        <v>#VALUE!</v>
      </c>
      <c r="BO168" s="118" t="e">
        <f>3*BM168^2+BK162</f>
        <v>#VALUE!</v>
      </c>
      <c r="BP168" s="118" t="e">
        <f t="shared" si="61"/>
        <v>#VALUE!</v>
      </c>
      <c r="BQ168" s="116"/>
      <c r="BR168" s="117"/>
      <c r="BT168" s="277" t="e">
        <f>3*(BW178^2)*BX178/(8*BY178*BZ178)</f>
        <v>#VALUE!</v>
      </c>
      <c r="BU168" s="278"/>
      <c r="BV168" s="118" t="e">
        <f t="shared" si="67"/>
        <v>#VALUE!</v>
      </c>
      <c r="BW168" s="118" t="e">
        <f>BV168^3+BT162*BV168+BU162</f>
        <v>#VALUE!</v>
      </c>
      <c r="BX168" s="118" t="e">
        <f>3*BV168^2+BT162</f>
        <v>#VALUE!</v>
      </c>
      <c r="BY168" s="118" t="e">
        <f t="shared" si="62"/>
        <v>#VALUE!</v>
      </c>
      <c r="BZ168" s="116"/>
      <c r="CA168" s="117"/>
    </row>
    <row r="169" spans="36:79" ht="18" hidden="1" customHeight="1" x14ac:dyDescent="0.15">
      <c r="AJ169" s="121"/>
      <c r="AK169" s="122"/>
      <c r="AL169" s="118" t="e">
        <f t="shared" si="63"/>
        <v>#VALUE!</v>
      </c>
      <c r="AM169" s="118" t="e">
        <f>AL169^3+AJ162*AL169+AK162</f>
        <v>#VALUE!</v>
      </c>
      <c r="AN169" s="118" t="e">
        <f>3*AL169^2+AJ162</f>
        <v>#VALUE!</v>
      </c>
      <c r="AO169" s="118" t="e">
        <f t="shared" si="58"/>
        <v>#VALUE!</v>
      </c>
      <c r="AP169" s="119"/>
      <c r="AQ169" s="120"/>
      <c r="AS169" s="121"/>
      <c r="AT169" s="122"/>
      <c r="AU169" s="118" t="e">
        <f t="shared" si="64"/>
        <v>#VALUE!</v>
      </c>
      <c r="AV169" s="118" t="e">
        <f>AU169^3+AS162*AU169+AT162</f>
        <v>#VALUE!</v>
      </c>
      <c r="AW169" s="118" t="e">
        <f>3*AU169^2+AS162</f>
        <v>#VALUE!</v>
      </c>
      <c r="AX169" s="118" t="e">
        <f t="shared" si="59"/>
        <v>#VALUE!</v>
      </c>
      <c r="AY169" s="119"/>
      <c r="AZ169" s="120"/>
      <c r="BB169" s="121"/>
      <c r="BC169" s="122"/>
      <c r="BD169" s="118" t="e">
        <f t="shared" si="65"/>
        <v>#VALUE!</v>
      </c>
      <c r="BE169" s="118" t="e">
        <f>BD169^3+BB162*BD169+BC162</f>
        <v>#VALUE!</v>
      </c>
      <c r="BF169" s="118" t="e">
        <f>3*BD169^2+BB162</f>
        <v>#VALUE!</v>
      </c>
      <c r="BG169" s="118" t="e">
        <f t="shared" si="60"/>
        <v>#VALUE!</v>
      </c>
      <c r="BH169" s="119"/>
      <c r="BI169" s="120"/>
      <c r="BK169" s="121"/>
      <c r="BL169" s="122"/>
      <c r="BM169" s="118" t="e">
        <f t="shared" si="66"/>
        <v>#VALUE!</v>
      </c>
      <c r="BN169" s="118" t="e">
        <f>BM169^3+BK162*BM169+BL162</f>
        <v>#VALUE!</v>
      </c>
      <c r="BO169" s="118" t="e">
        <f>3*BM169^2+BK162</f>
        <v>#VALUE!</v>
      </c>
      <c r="BP169" s="118" t="e">
        <f t="shared" si="61"/>
        <v>#VALUE!</v>
      </c>
      <c r="BQ169" s="119"/>
      <c r="BR169" s="120"/>
      <c r="BT169" s="121"/>
      <c r="BU169" s="122"/>
      <c r="BV169" s="118" t="e">
        <f t="shared" si="67"/>
        <v>#VALUE!</v>
      </c>
      <c r="BW169" s="118" t="e">
        <f>BV169^3+BT162*BV169+BU162</f>
        <v>#VALUE!</v>
      </c>
      <c r="BX169" s="118" t="e">
        <f>3*BV169^2+BT162</f>
        <v>#VALUE!</v>
      </c>
      <c r="BY169" s="118" t="e">
        <f t="shared" si="62"/>
        <v>#VALUE!</v>
      </c>
      <c r="BZ169" s="119"/>
      <c r="CA169" s="120"/>
    </row>
    <row r="170" spans="36:79" ht="18" hidden="1" customHeight="1" x14ac:dyDescent="0.15">
      <c r="AJ170" s="269" t="s">
        <v>244</v>
      </c>
      <c r="AK170" s="270"/>
      <c r="AL170" s="118" t="e">
        <f t="shared" si="63"/>
        <v>#VALUE!</v>
      </c>
      <c r="AM170" s="118" t="e">
        <f>AL170^3+AJ162*AL170+AK162</f>
        <v>#VALUE!</v>
      </c>
      <c r="AN170" s="118" t="e">
        <f>3*AL170^2+AJ162</f>
        <v>#VALUE!</v>
      </c>
      <c r="AO170" s="118" t="e">
        <f t="shared" si="58"/>
        <v>#VALUE!</v>
      </c>
      <c r="AP170" s="14" t="s">
        <v>245</v>
      </c>
      <c r="AQ170" s="123" t="e">
        <f>AO176</f>
        <v>#VALUE!</v>
      </c>
      <c r="AS170" s="269" t="s">
        <v>244</v>
      </c>
      <c r="AT170" s="270"/>
      <c r="AU170" s="118" t="e">
        <f t="shared" si="64"/>
        <v>#VALUE!</v>
      </c>
      <c r="AV170" s="118" t="e">
        <f>AU170^3+AS162*AU170+AT162</f>
        <v>#VALUE!</v>
      </c>
      <c r="AW170" s="118" t="e">
        <f>3*AU170^2+AS162</f>
        <v>#VALUE!</v>
      </c>
      <c r="AX170" s="118" t="e">
        <f t="shared" si="59"/>
        <v>#VALUE!</v>
      </c>
      <c r="AY170" s="14" t="s">
        <v>245</v>
      </c>
      <c r="AZ170" s="123" t="e">
        <f>AX176</f>
        <v>#VALUE!</v>
      </c>
      <c r="BB170" s="269" t="s">
        <v>244</v>
      </c>
      <c r="BC170" s="270"/>
      <c r="BD170" s="118" t="e">
        <f t="shared" si="65"/>
        <v>#VALUE!</v>
      </c>
      <c r="BE170" s="118" t="e">
        <f>BD170^3+BB162*BD170+BC162</f>
        <v>#VALUE!</v>
      </c>
      <c r="BF170" s="118" t="e">
        <f>3*BD170^2+BB162</f>
        <v>#VALUE!</v>
      </c>
      <c r="BG170" s="118" t="e">
        <f t="shared" si="60"/>
        <v>#VALUE!</v>
      </c>
      <c r="BH170" s="14" t="s">
        <v>245</v>
      </c>
      <c r="BI170" s="123" t="e">
        <f>BG176</f>
        <v>#VALUE!</v>
      </c>
      <c r="BK170" s="269" t="s">
        <v>244</v>
      </c>
      <c r="BL170" s="270"/>
      <c r="BM170" s="118" t="e">
        <f t="shared" si="66"/>
        <v>#VALUE!</v>
      </c>
      <c r="BN170" s="118" t="e">
        <f>BM170^3+BK162*BM170+BL162</f>
        <v>#VALUE!</v>
      </c>
      <c r="BO170" s="118" t="e">
        <f>3*BM170^2+BK162</f>
        <v>#VALUE!</v>
      </c>
      <c r="BP170" s="118" t="e">
        <f t="shared" si="61"/>
        <v>#VALUE!</v>
      </c>
      <c r="BQ170" s="14" t="s">
        <v>245</v>
      </c>
      <c r="BR170" s="123" t="e">
        <f>BP176</f>
        <v>#VALUE!</v>
      </c>
      <c r="BT170" s="269" t="s">
        <v>244</v>
      </c>
      <c r="BU170" s="270"/>
      <c r="BV170" s="118" t="e">
        <f t="shared" si="67"/>
        <v>#VALUE!</v>
      </c>
      <c r="BW170" s="118" t="e">
        <f>BV170^3+BT162*BV170+BU162</f>
        <v>#VALUE!</v>
      </c>
      <c r="BX170" s="118" t="e">
        <f>3*BV170^2+BT162</f>
        <v>#VALUE!</v>
      </c>
      <c r="BY170" s="118" t="e">
        <f t="shared" si="62"/>
        <v>#VALUE!</v>
      </c>
      <c r="BZ170" s="14" t="s">
        <v>245</v>
      </c>
      <c r="CA170" s="123" t="e">
        <f>BY176</f>
        <v>#VALUE!</v>
      </c>
    </row>
    <row r="171" spans="36:79" ht="18" hidden="1" customHeight="1" x14ac:dyDescent="0.15">
      <c r="AJ171" s="271" t="e">
        <f>AJ168*AL178*AK178/AK178</f>
        <v>#VALUE!</v>
      </c>
      <c r="AK171" s="272"/>
      <c r="AL171" s="118" t="e">
        <f t="shared" si="63"/>
        <v>#VALUE!</v>
      </c>
      <c r="AM171" s="118" t="e">
        <f>AL171^3+AJ162*AL171+AK162</f>
        <v>#VALUE!</v>
      </c>
      <c r="AN171" s="118" t="e">
        <f>3*AL171^2+AJ162</f>
        <v>#VALUE!</v>
      </c>
      <c r="AO171" s="118" t="e">
        <f t="shared" si="58"/>
        <v>#VALUE!</v>
      </c>
      <c r="AP171" s="14" t="s">
        <v>246</v>
      </c>
      <c r="AQ171" s="124" t="e">
        <f>AK178*AM178^2/(8*AO176)</f>
        <v>#VALUE!</v>
      </c>
      <c r="AS171" s="271" t="e">
        <f>AS168*AU178*AT178/AT178</f>
        <v>#VALUE!</v>
      </c>
      <c r="AT171" s="272"/>
      <c r="AU171" s="118" t="e">
        <f t="shared" si="64"/>
        <v>#VALUE!</v>
      </c>
      <c r="AV171" s="118" t="e">
        <f>AU171^3+AS162*AU171+AT162</f>
        <v>#VALUE!</v>
      </c>
      <c r="AW171" s="118" t="e">
        <f>3*AU171^2+AS162</f>
        <v>#VALUE!</v>
      </c>
      <c r="AX171" s="118" t="e">
        <f t="shared" si="59"/>
        <v>#VALUE!</v>
      </c>
      <c r="AY171" s="14" t="s">
        <v>246</v>
      </c>
      <c r="AZ171" s="124" t="e">
        <f>AT178*AV178^2/(8*AX176)</f>
        <v>#VALUE!</v>
      </c>
      <c r="BB171" s="271" t="e">
        <f>BB168*BD178*BC178/BC178</f>
        <v>#VALUE!</v>
      </c>
      <c r="BC171" s="272"/>
      <c r="BD171" s="118" t="e">
        <f t="shared" si="65"/>
        <v>#VALUE!</v>
      </c>
      <c r="BE171" s="118" t="e">
        <f>BD171^3+BB162*BD171+BC162</f>
        <v>#VALUE!</v>
      </c>
      <c r="BF171" s="118" t="e">
        <f>3*BD171^2+BB162</f>
        <v>#VALUE!</v>
      </c>
      <c r="BG171" s="118" t="e">
        <f t="shared" si="60"/>
        <v>#VALUE!</v>
      </c>
      <c r="BH171" s="14" t="s">
        <v>246</v>
      </c>
      <c r="BI171" s="124" t="e">
        <f>BC178*BE178^2/(8*BG176)</f>
        <v>#VALUE!</v>
      </c>
      <c r="BK171" s="271" t="e">
        <f>BK168*BM178*BL178/BL178</f>
        <v>#VALUE!</v>
      </c>
      <c r="BL171" s="272"/>
      <c r="BM171" s="118" t="e">
        <f t="shared" si="66"/>
        <v>#VALUE!</v>
      </c>
      <c r="BN171" s="118" t="e">
        <f>BM171^3+BK162*BM171+BL162</f>
        <v>#VALUE!</v>
      </c>
      <c r="BO171" s="118" t="e">
        <f>3*BM171^2+BK162</f>
        <v>#VALUE!</v>
      </c>
      <c r="BP171" s="118" t="e">
        <f t="shared" si="61"/>
        <v>#VALUE!</v>
      </c>
      <c r="BQ171" s="14" t="s">
        <v>246</v>
      </c>
      <c r="BR171" s="124" t="e">
        <f>BL178*BN178^2/(8*BP176)</f>
        <v>#VALUE!</v>
      </c>
      <c r="BT171" s="271" t="e">
        <f>BT168*BV178*BU178/BU178</f>
        <v>#VALUE!</v>
      </c>
      <c r="BU171" s="272"/>
      <c r="BV171" s="118" t="e">
        <f t="shared" si="67"/>
        <v>#VALUE!</v>
      </c>
      <c r="BW171" s="118" t="e">
        <f>BV171^3+BT162*BV171+BU162</f>
        <v>#VALUE!</v>
      </c>
      <c r="BX171" s="118" t="e">
        <f>3*BV171^2+BT162</f>
        <v>#VALUE!</v>
      </c>
      <c r="BY171" s="118" t="e">
        <f t="shared" si="62"/>
        <v>#VALUE!</v>
      </c>
      <c r="BZ171" s="14" t="s">
        <v>246</v>
      </c>
      <c r="CA171" s="124" t="e">
        <f>BU178*BW178^2/(8*BY176)</f>
        <v>#VALUE!</v>
      </c>
    </row>
    <row r="172" spans="36:79" ht="18" hidden="1" customHeight="1" x14ac:dyDescent="0.15">
      <c r="AJ172" s="125"/>
      <c r="AK172" s="126"/>
      <c r="AL172" s="118" t="e">
        <f t="shared" si="63"/>
        <v>#VALUE!</v>
      </c>
      <c r="AM172" s="118" t="e">
        <f>AL172^3+AJ162*AL172+AK162</f>
        <v>#VALUE!</v>
      </c>
      <c r="AN172" s="118" t="e">
        <f>3*AL172^2+AJ162</f>
        <v>#VALUE!</v>
      </c>
      <c r="AO172" s="118" t="e">
        <f t="shared" si="58"/>
        <v>#VALUE!</v>
      </c>
      <c r="AP172" s="116"/>
      <c r="AQ172" s="117"/>
      <c r="AS172" s="125"/>
      <c r="AT172" s="126"/>
      <c r="AU172" s="118" t="e">
        <f t="shared" si="64"/>
        <v>#VALUE!</v>
      </c>
      <c r="AV172" s="118" t="e">
        <f>AU172^3+AS162*AU172+AT162</f>
        <v>#VALUE!</v>
      </c>
      <c r="AW172" s="118" t="e">
        <f>3*AU172^2+AS162</f>
        <v>#VALUE!</v>
      </c>
      <c r="AX172" s="118" t="e">
        <f t="shared" si="59"/>
        <v>#VALUE!</v>
      </c>
      <c r="AY172" s="116"/>
      <c r="AZ172" s="117"/>
      <c r="BB172" s="125"/>
      <c r="BC172" s="126"/>
      <c r="BD172" s="118" t="e">
        <f t="shared" si="65"/>
        <v>#VALUE!</v>
      </c>
      <c r="BE172" s="118" t="e">
        <f>BD172^3+BB162*BD172+BC162</f>
        <v>#VALUE!</v>
      </c>
      <c r="BF172" s="118" t="e">
        <f>3*BD172^2+BB162</f>
        <v>#VALUE!</v>
      </c>
      <c r="BG172" s="118" t="e">
        <f t="shared" si="60"/>
        <v>#VALUE!</v>
      </c>
      <c r="BH172" s="116"/>
      <c r="BI172" s="117"/>
      <c r="BK172" s="125"/>
      <c r="BL172" s="126"/>
      <c r="BM172" s="118" t="e">
        <f t="shared" si="66"/>
        <v>#VALUE!</v>
      </c>
      <c r="BN172" s="118" t="e">
        <f>BM172^3+BK162*BM172+BL162</f>
        <v>#VALUE!</v>
      </c>
      <c r="BO172" s="118" t="e">
        <f>3*BM172^2+BK162</f>
        <v>#VALUE!</v>
      </c>
      <c r="BP172" s="118" t="e">
        <f t="shared" si="61"/>
        <v>#VALUE!</v>
      </c>
      <c r="BQ172" s="116"/>
      <c r="BR172" s="117"/>
      <c r="BT172" s="125"/>
      <c r="BU172" s="126"/>
      <c r="BV172" s="118" t="e">
        <f t="shared" si="67"/>
        <v>#VALUE!</v>
      </c>
      <c r="BW172" s="118" t="e">
        <f>BV172^3+BT162*BV172+BU162</f>
        <v>#VALUE!</v>
      </c>
      <c r="BX172" s="118" t="e">
        <f>3*BV172^2+BT162</f>
        <v>#VALUE!</v>
      </c>
      <c r="BY172" s="118" t="e">
        <f t="shared" si="62"/>
        <v>#VALUE!</v>
      </c>
      <c r="BZ172" s="116"/>
      <c r="CA172" s="117"/>
    </row>
    <row r="173" spans="36:79" ht="18" hidden="1" customHeight="1" x14ac:dyDescent="0.15">
      <c r="AJ173" s="125"/>
      <c r="AK173" s="126"/>
      <c r="AL173" s="118" t="e">
        <f t="shared" si="63"/>
        <v>#VALUE!</v>
      </c>
      <c r="AM173" s="118" t="e">
        <f>AL173^3+AJ162*AL173+AK162</f>
        <v>#VALUE!</v>
      </c>
      <c r="AN173" s="118" t="e">
        <f>3*AL173^2+AJ162</f>
        <v>#VALUE!</v>
      </c>
      <c r="AO173" s="118" t="e">
        <f t="shared" si="58"/>
        <v>#VALUE!</v>
      </c>
      <c r="AP173" s="112" t="s">
        <v>147</v>
      </c>
      <c r="AQ173" s="113">
        <v>30</v>
      </c>
      <c r="AS173" s="125"/>
      <c r="AT173" s="126"/>
      <c r="AU173" s="118" t="e">
        <f t="shared" si="64"/>
        <v>#VALUE!</v>
      </c>
      <c r="AV173" s="118" t="e">
        <f>AU173^3+AS162*AU173+AT162</f>
        <v>#VALUE!</v>
      </c>
      <c r="AW173" s="118" t="e">
        <f>3*AU173^2+AS162</f>
        <v>#VALUE!</v>
      </c>
      <c r="AX173" s="118" t="e">
        <f t="shared" si="59"/>
        <v>#VALUE!</v>
      </c>
      <c r="AY173" s="112" t="s">
        <v>147</v>
      </c>
      <c r="AZ173" s="113">
        <v>30</v>
      </c>
      <c r="BB173" s="125"/>
      <c r="BC173" s="126"/>
      <c r="BD173" s="118" t="e">
        <f t="shared" si="65"/>
        <v>#VALUE!</v>
      </c>
      <c r="BE173" s="118" t="e">
        <f>BD173^3+BB162*BD173+BC162</f>
        <v>#VALUE!</v>
      </c>
      <c r="BF173" s="118" t="e">
        <f>3*BD173^2+BB162</f>
        <v>#VALUE!</v>
      </c>
      <c r="BG173" s="118" t="e">
        <f t="shared" si="60"/>
        <v>#VALUE!</v>
      </c>
      <c r="BH173" s="112" t="s">
        <v>147</v>
      </c>
      <c r="BI173" s="113">
        <v>30</v>
      </c>
      <c r="BK173" s="125"/>
      <c r="BL173" s="126"/>
      <c r="BM173" s="118" t="e">
        <f t="shared" si="66"/>
        <v>#VALUE!</v>
      </c>
      <c r="BN173" s="118" t="e">
        <f>BM173^3+BK162*BM173+BL162</f>
        <v>#VALUE!</v>
      </c>
      <c r="BO173" s="118" t="e">
        <f>3*BM173^2+BK162</f>
        <v>#VALUE!</v>
      </c>
      <c r="BP173" s="118" t="e">
        <f t="shared" si="61"/>
        <v>#VALUE!</v>
      </c>
      <c r="BQ173" s="112" t="s">
        <v>147</v>
      </c>
      <c r="BR173" s="113">
        <v>30</v>
      </c>
      <c r="BT173" s="125"/>
      <c r="BU173" s="126"/>
      <c r="BV173" s="118" t="e">
        <f t="shared" si="67"/>
        <v>#VALUE!</v>
      </c>
      <c r="BW173" s="118" t="e">
        <f>BV173^3+BT162*BV173+BU162</f>
        <v>#VALUE!</v>
      </c>
      <c r="BX173" s="118" t="e">
        <f>3*BV173^2+BT162</f>
        <v>#VALUE!</v>
      </c>
      <c r="BY173" s="118" t="e">
        <f t="shared" si="62"/>
        <v>#VALUE!</v>
      </c>
      <c r="BZ173" s="112" t="s">
        <v>147</v>
      </c>
      <c r="CA173" s="113">
        <v>30</v>
      </c>
    </row>
    <row r="174" spans="36:79" ht="18" hidden="1" customHeight="1" x14ac:dyDescent="0.15">
      <c r="AJ174" s="125"/>
      <c r="AK174" s="126"/>
      <c r="AL174" s="118" t="e">
        <f t="shared" si="63"/>
        <v>#VALUE!</v>
      </c>
      <c r="AM174" s="118" t="e">
        <f>AL174^3+AJ162*AL174+AK162</f>
        <v>#VALUE!</v>
      </c>
      <c r="AN174" s="118" t="e">
        <f>3*AL174^2+AJ162</f>
        <v>#VALUE!</v>
      </c>
      <c r="AO174" s="118" t="e">
        <f t="shared" si="58"/>
        <v>#VALUE!</v>
      </c>
      <c r="AP174" s="128" t="s">
        <v>218</v>
      </c>
      <c r="AQ174" s="32"/>
      <c r="AS174" s="125"/>
      <c r="AT174" s="126"/>
      <c r="AU174" s="118" t="e">
        <f t="shared" si="64"/>
        <v>#VALUE!</v>
      </c>
      <c r="AV174" s="118" t="e">
        <f>AU174^3+AS162*AU174+AT162</f>
        <v>#VALUE!</v>
      </c>
      <c r="AW174" s="118" t="e">
        <f>3*AU174^2+AS162</f>
        <v>#VALUE!</v>
      </c>
      <c r="AX174" s="118" t="e">
        <f t="shared" si="59"/>
        <v>#VALUE!</v>
      </c>
      <c r="AY174" s="128" t="s">
        <v>219</v>
      </c>
      <c r="AZ174" s="32"/>
      <c r="BB174" s="125"/>
      <c r="BC174" s="126"/>
      <c r="BD174" s="118" t="e">
        <f t="shared" si="65"/>
        <v>#VALUE!</v>
      </c>
      <c r="BE174" s="118" t="e">
        <f>BD174^3+BB162*BD174+BC162</f>
        <v>#VALUE!</v>
      </c>
      <c r="BF174" s="118" t="e">
        <f>3*BD174^2+BB162</f>
        <v>#VALUE!</v>
      </c>
      <c r="BG174" s="118" t="e">
        <f t="shared" si="60"/>
        <v>#VALUE!</v>
      </c>
      <c r="BH174" s="128" t="s">
        <v>220</v>
      </c>
      <c r="BI174" s="32"/>
      <c r="BK174" s="125"/>
      <c r="BL174" s="126"/>
      <c r="BM174" s="118" t="e">
        <f t="shared" si="66"/>
        <v>#VALUE!</v>
      </c>
      <c r="BN174" s="118" t="e">
        <f>BM174^3+BK162*BM174+BL162</f>
        <v>#VALUE!</v>
      </c>
      <c r="BO174" s="118" t="e">
        <f>3*BM174^2+BK162</f>
        <v>#VALUE!</v>
      </c>
      <c r="BP174" s="118" t="e">
        <f t="shared" si="61"/>
        <v>#VALUE!</v>
      </c>
      <c r="BQ174" s="128" t="s">
        <v>221</v>
      </c>
      <c r="BR174" s="32"/>
      <c r="BT174" s="125"/>
      <c r="BU174" s="126"/>
      <c r="BV174" s="118" t="e">
        <f t="shared" si="67"/>
        <v>#VALUE!</v>
      </c>
      <c r="BW174" s="118" t="e">
        <f>BV174^3+BT162*BV174+BU162</f>
        <v>#VALUE!</v>
      </c>
      <c r="BX174" s="118" t="e">
        <f>3*BV174^2+BT162</f>
        <v>#VALUE!</v>
      </c>
      <c r="BY174" s="118" t="e">
        <f t="shared" si="62"/>
        <v>#VALUE!</v>
      </c>
      <c r="BZ174" s="128" t="s">
        <v>222</v>
      </c>
      <c r="CA174" s="32"/>
    </row>
    <row r="175" spans="36:79" ht="18" hidden="1" customHeight="1" x14ac:dyDescent="0.15">
      <c r="AJ175" s="125"/>
      <c r="AK175" s="126"/>
      <c r="AL175" s="18" t="e">
        <f t="shared" si="63"/>
        <v>#VALUE!</v>
      </c>
      <c r="AM175" s="18" t="e">
        <f>AL175^3+AJ162*AL175+AK162</f>
        <v>#VALUE!</v>
      </c>
      <c r="AN175" s="18" t="e">
        <f>3*AL175^2+AJ162</f>
        <v>#VALUE!</v>
      </c>
      <c r="AO175" s="18" t="e">
        <f t="shared" si="58"/>
        <v>#VALUE!</v>
      </c>
      <c r="AP175" s="273" t="str">
        <f>M56</f>
        <v>無 風 時　30[℃]</v>
      </c>
      <c r="AQ175" s="274"/>
      <c r="AS175" s="125"/>
      <c r="AT175" s="126"/>
      <c r="AU175" s="18" t="e">
        <f t="shared" si="64"/>
        <v>#VALUE!</v>
      </c>
      <c r="AV175" s="18" t="e">
        <f>AU175^3+AS162*AU175+AT162</f>
        <v>#VALUE!</v>
      </c>
      <c r="AW175" s="18" t="e">
        <f>3*AU175^2+AS162</f>
        <v>#VALUE!</v>
      </c>
      <c r="AX175" s="18" t="e">
        <f t="shared" si="59"/>
        <v>#VALUE!</v>
      </c>
      <c r="AY175" s="273" t="str">
        <f>M56</f>
        <v>無 風 時　30[℃]</v>
      </c>
      <c r="AZ175" s="274"/>
      <c r="BB175" s="125"/>
      <c r="BC175" s="126"/>
      <c r="BD175" s="18" t="e">
        <f t="shared" si="65"/>
        <v>#VALUE!</v>
      </c>
      <c r="BE175" s="18" t="e">
        <f>BD175^3+BB162*BD175+BC162</f>
        <v>#VALUE!</v>
      </c>
      <c r="BF175" s="18" t="e">
        <f>3*BD175^2+BB162</f>
        <v>#VALUE!</v>
      </c>
      <c r="BG175" s="18" t="e">
        <f t="shared" si="60"/>
        <v>#VALUE!</v>
      </c>
      <c r="BH175" s="273" t="str">
        <f>M56</f>
        <v>無 風 時　30[℃]</v>
      </c>
      <c r="BI175" s="274"/>
      <c r="BK175" s="125"/>
      <c r="BL175" s="126"/>
      <c r="BM175" s="18" t="e">
        <f t="shared" si="66"/>
        <v>#VALUE!</v>
      </c>
      <c r="BN175" s="18" t="e">
        <f>BM175^3+BK162*BM175+BL162</f>
        <v>#VALUE!</v>
      </c>
      <c r="BO175" s="18" t="e">
        <f>3*BM175^2+BK162</f>
        <v>#VALUE!</v>
      </c>
      <c r="BP175" s="18" t="e">
        <f t="shared" si="61"/>
        <v>#VALUE!</v>
      </c>
      <c r="BQ175" s="273" t="str">
        <f>M56</f>
        <v>無 風 時　30[℃]</v>
      </c>
      <c r="BR175" s="274"/>
      <c r="BT175" s="125"/>
      <c r="BU175" s="126"/>
      <c r="BV175" s="18" t="e">
        <f t="shared" si="67"/>
        <v>#VALUE!</v>
      </c>
      <c r="BW175" s="18" t="e">
        <f>BV175^3+BT162*BV175+BU162</f>
        <v>#VALUE!</v>
      </c>
      <c r="BX175" s="18" t="e">
        <f>3*BV175^2+BT162</f>
        <v>#VALUE!</v>
      </c>
      <c r="BY175" s="18" t="e">
        <f t="shared" si="62"/>
        <v>#VALUE!</v>
      </c>
      <c r="BZ175" s="273" t="str">
        <f>M56</f>
        <v>無 風 時　30[℃]</v>
      </c>
      <c r="CA175" s="274"/>
    </row>
    <row r="176" spans="36:79" ht="18" hidden="1" customHeight="1" thickBot="1" x14ac:dyDescent="0.2">
      <c r="AJ176" s="125"/>
      <c r="AK176" s="126"/>
      <c r="AL176" s="114" t="e">
        <f t="shared" si="63"/>
        <v>#VALUE!</v>
      </c>
      <c r="AM176" s="115" t="e">
        <f>AL176^3+AJ162*AL176+AK162</f>
        <v>#VALUE!</v>
      </c>
      <c r="AN176" s="115" t="e">
        <f>3*AL176^2+AJ162</f>
        <v>#VALUE!</v>
      </c>
      <c r="AO176" s="115" t="e">
        <f t="shared" si="58"/>
        <v>#VALUE!</v>
      </c>
      <c r="AP176" s="275"/>
      <c r="AQ176" s="276"/>
      <c r="AS176" s="125"/>
      <c r="AT176" s="126"/>
      <c r="AU176" s="114" t="e">
        <f t="shared" si="64"/>
        <v>#VALUE!</v>
      </c>
      <c r="AV176" s="115" t="e">
        <f>AU176^3+AS162*AU176+AT162</f>
        <v>#VALUE!</v>
      </c>
      <c r="AW176" s="115" t="e">
        <f>3*AU176^2+AS162</f>
        <v>#VALUE!</v>
      </c>
      <c r="AX176" s="115" t="e">
        <f t="shared" si="59"/>
        <v>#VALUE!</v>
      </c>
      <c r="AY176" s="275"/>
      <c r="AZ176" s="276"/>
      <c r="BB176" s="125"/>
      <c r="BC176" s="126"/>
      <c r="BD176" s="114" t="e">
        <f t="shared" si="65"/>
        <v>#VALUE!</v>
      </c>
      <c r="BE176" s="115" t="e">
        <f>BD176^3+BB162*BD176+BC162</f>
        <v>#VALUE!</v>
      </c>
      <c r="BF176" s="115" t="e">
        <f>3*BD176^2+BB162</f>
        <v>#VALUE!</v>
      </c>
      <c r="BG176" s="115" t="e">
        <f t="shared" si="60"/>
        <v>#VALUE!</v>
      </c>
      <c r="BH176" s="275"/>
      <c r="BI176" s="276"/>
      <c r="BK176" s="125"/>
      <c r="BL176" s="126"/>
      <c r="BM176" s="114" t="e">
        <f t="shared" si="66"/>
        <v>#VALUE!</v>
      </c>
      <c r="BN176" s="115" t="e">
        <f>BM176^3+BK162*BM176+BL162</f>
        <v>#VALUE!</v>
      </c>
      <c r="BO176" s="115" t="e">
        <f>3*BM176^2+BK162</f>
        <v>#VALUE!</v>
      </c>
      <c r="BP176" s="115" t="e">
        <f t="shared" si="61"/>
        <v>#VALUE!</v>
      </c>
      <c r="BQ176" s="275"/>
      <c r="BR176" s="276"/>
      <c r="BT176" s="125"/>
      <c r="BU176" s="126"/>
      <c r="BV176" s="114" t="e">
        <f t="shared" si="67"/>
        <v>#VALUE!</v>
      </c>
      <c r="BW176" s="115" t="e">
        <f>BV176^3+BT162*BV176+BU162</f>
        <v>#VALUE!</v>
      </c>
      <c r="BX176" s="115" t="e">
        <f>3*BV176^2+BT162</f>
        <v>#VALUE!</v>
      </c>
      <c r="BY176" s="115" t="e">
        <f t="shared" si="62"/>
        <v>#VALUE!</v>
      </c>
      <c r="BZ176" s="275"/>
      <c r="CA176" s="276"/>
    </row>
    <row r="177" spans="36:79" ht="18" hidden="1" customHeight="1" x14ac:dyDescent="0.15">
      <c r="AJ177" s="62"/>
      <c r="AK177" s="12" t="s">
        <v>224</v>
      </c>
      <c r="AL177" s="12" t="s">
        <v>225</v>
      </c>
      <c r="AM177" s="12" t="s">
        <v>226</v>
      </c>
      <c r="AN177" s="12" t="s">
        <v>227</v>
      </c>
      <c r="AO177" s="63" t="s">
        <v>228</v>
      </c>
      <c r="AP177" s="12" t="s">
        <v>229</v>
      </c>
      <c r="AQ177" s="13" t="s">
        <v>230</v>
      </c>
      <c r="AS177" s="62"/>
      <c r="AT177" s="12" t="s">
        <v>224</v>
      </c>
      <c r="AU177" s="12" t="s">
        <v>225</v>
      </c>
      <c r="AV177" s="12" t="s">
        <v>226</v>
      </c>
      <c r="AW177" s="12" t="s">
        <v>227</v>
      </c>
      <c r="AX177" s="63" t="s">
        <v>228</v>
      </c>
      <c r="AY177" s="12" t="s">
        <v>229</v>
      </c>
      <c r="AZ177" s="13" t="s">
        <v>230</v>
      </c>
      <c r="BB177" s="62"/>
      <c r="BC177" s="12" t="s">
        <v>224</v>
      </c>
      <c r="BD177" s="12" t="s">
        <v>225</v>
      </c>
      <c r="BE177" s="12" t="s">
        <v>226</v>
      </c>
      <c r="BF177" s="12" t="s">
        <v>227</v>
      </c>
      <c r="BG177" s="63" t="s">
        <v>228</v>
      </c>
      <c r="BH177" s="12" t="s">
        <v>229</v>
      </c>
      <c r="BI177" s="13" t="s">
        <v>230</v>
      </c>
      <c r="BK177" s="62"/>
      <c r="BL177" s="12" t="s">
        <v>224</v>
      </c>
      <c r="BM177" s="12" t="s">
        <v>225</v>
      </c>
      <c r="BN177" s="12" t="s">
        <v>226</v>
      </c>
      <c r="BO177" s="12" t="s">
        <v>227</v>
      </c>
      <c r="BP177" s="63" t="s">
        <v>228</v>
      </c>
      <c r="BQ177" s="12" t="s">
        <v>229</v>
      </c>
      <c r="BR177" s="13" t="s">
        <v>230</v>
      </c>
      <c r="BT177" s="62"/>
      <c r="BU177" s="12" t="s">
        <v>224</v>
      </c>
      <c r="BV177" s="12" t="s">
        <v>225</v>
      </c>
      <c r="BW177" s="12" t="s">
        <v>226</v>
      </c>
      <c r="BX177" s="12" t="s">
        <v>227</v>
      </c>
      <c r="BY177" s="63" t="s">
        <v>228</v>
      </c>
      <c r="BZ177" s="12" t="s">
        <v>229</v>
      </c>
      <c r="CA177" s="13" t="s">
        <v>230</v>
      </c>
    </row>
    <row r="178" spans="36:79" ht="18" hidden="1" customHeight="1" thickBot="1" x14ac:dyDescent="0.2">
      <c r="AJ178" s="107"/>
      <c r="AK178" s="108" t="e">
        <f>M23+U23</f>
        <v>#VALUE!</v>
      </c>
      <c r="AL178" s="108">
        <f>IF(C33="",L19*(F19/40)^2,C33)</f>
        <v>0</v>
      </c>
      <c r="AM178" s="108">
        <f>F19</f>
        <v>0</v>
      </c>
      <c r="AN178" s="108" t="e">
        <f>AK78*1600/(8*L19)</f>
        <v>#VALUE!</v>
      </c>
      <c r="AO178" s="109">
        <f>V23</f>
        <v>0</v>
      </c>
      <c r="AP178" s="108" t="str">
        <f>L23</f>
        <v/>
      </c>
      <c r="AQ178" s="110">
        <f>W23</f>
        <v>0</v>
      </c>
      <c r="AS178" s="107"/>
      <c r="AT178" s="108" t="str">
        <f>IF(B24="使用電線-2",M24+U24,IF(B25="使用電線-2",M25+U25,IF(B26="使用電線-2",M26+U26,IF(B27="使用電線-2",M27+U27,IF(B28="使用電線-2",M28+U28,IF(B29="使用電線-2",M29+U29,""))))))</f>
        <v/>
      </c>
      <c r="AU178" s="108">
        <f>IF(I33="",L19*(F19/40)^2,I33)</f>
        <v>0</v>
      </c>
      <c r="AV178" s="108">
        <f>F19</f>
        <v>0</v>
      </c>
      <c r="AW178" s="108" t="e">
        <f>AT178*1600/(8*L19)</f>
        <v>#VALUE!</v>
      </c>
      <c r="AX178" s="109" t="str">
        <f>IF(B24="使用電線-2",V24,IF(B25="使用電線-2",V25,IF(B26="使用電線-2",V26,IF(B27="使用電線-2",V27,IF(B28="使用電線-2",V28,IF(B29="使用電線-2",V29,""))))))</f>
        <v/>
      </c>
      <c r="AY178" s="108" t="str">
        <f>IF(B24="使用電線-2",L24,IF(B25="使用電線-2",L25,IF(B26="使用電線-2",L26,IF(B27="使用電線-2",L27,IF(B28="使用電線-2",L28,IF(B29="使用電線-2",L29,""))))))</f>
        <v/>
      </c>
      <c r="AZ178" s="110" t="str">
        <f>IF(B24="使用電線-2",W24,IF(B25="使用電線-2",W25,IF(B26="使用電線-2",W26,IF(B27="使用電線-2",W27,IF(B28="使用電線-2",W28,IF(B29="使用電線-2",W29,""))))))</f>
        <v/>
      </c>
      <c r="BB178" s="107"/>
      <c r="BC178" s="108" t="str">
        <f>IF(B25="使用電線-3",M25+U25,IF(B26="使用電線-3",M26+U26,IF(B27="使用電線-3",M27+U27,IF(B28="使用電線-3",M28+U28,IF(B29="使用電線-3",M29+U29,"")))))</f>
        <v/>
      </c>
      <c r="BD178" s="108">
        <f>IF(N33="",L19*(F19/40)^2,N33)</f>
        <v>0</v>
      </c>
      <c r="BE178" s="108">
        <f>F19</f>
        <v>0</v>
      </c>
      <c r="BF178" s="108" t="e">
        <f>BC178*1600/(8*L19)</f>
        <v>#VALUE!</v>
      </c>
      <c r="BG178" s="109" t="str">
        <f>IF(B25="使用電線-3",V25,IF(B26="使用電線-3",V26,IF(B27="使用電線-3",V27,IF(B28="使用電線-3",V28,IF(B29="使用電線-3",V29,"")))))</f>
        <v/>
      </c>
      <c r="BH178" s="108" t="str">
        <f>IF(B25="使用電線-3",L25,IF(B26="使用電線-3",L26,IF(B27="使用電線-3",L27,IF(B28="使用電線-3",L28,IF(B29="使用電線-3",L29,"")))))</f>
        <v/>
      </c>
      <c r="BI178" s="110" t="str">
        <f>IF(B25="使用電線-3",W25,IF(B26="使用電線-3",W26,IF(B27="使用電線-3",W27,IF(B28="使用電線-3",W28,IF(B29="使用電線-3",W29,"")))))</f>
        <v/>
      </c>
      <c r="BK178" s="107"/>
      <c r="BL178" s="108" t="str">
        <f>IF(B26="使用電線-4",M26+U26,IF(B27="使用電線-4",M27+U27,IF(B28="使用電線-4",M28+U28,IF(B29="使用電線-4",M29+U29,""))))</f>
        <v/>
      </c>
      <c r="BM178" s="108">
        <f>IF(C47="",L19*(F19/40)^2,C47)</f>
        <v>0</v>
      </c>
      <c r="BN178" s="108">
        <f>F19</f>
        <v>0</v>
      </c>
      <c r="BO178" s="127" t="e">
        <f>BL178*1600/(8*L19)</f>
        <v>#VALUE!</v>
      </c>
      <c r="BP178" s="109" t="str">
        <f>IF(B26="使用電線-4",V26,IF(B27="使用電線-4",V27,IF(B28="使用電線-4",V28,IF(B29="使用電線-4",V29,""))))</f>
        <v/>
      </c>
      <c r="BQ178" s="108" t="str">
        <f>IF(B26="使用電線-4",L26,IF(B27="使用電線-4",L27,IF(B28="使用電線-4",L28,IF(B29="使用電線-4",L29,""))))</f>
        <v/>
      </c>
      <c r="BR178" s="110" t="str">
        <f>IF(B26="使用電線-4",W26,IF(B27="使用電線-4",W27,IF(B28="使用電線-4",W28,IF(B29="使用電線-4",W29,""))))</f>
        <v/>
      </c>
      <c r="BT178" s="107"/>
      <c r="BU178" s="108" t="str">
        <f>IF(B27="使用電線-5",M27+U27,IF(B28="使用電線-5",M28+U28,IF(B29="使用電線-5",M29+U29,"")))</f>
        <v/>
      </c>
      <c r="BV178" s="108">
        <f>IF(I47="",L19*(F19/40)^2,I47)</f>
        <v>0</v>
      </c>
      <c r="BW178" s="108">
        <f>F19</f>
        <v>0</v>
      </c>
      <c r="BX178" s="127" t="e">
        <f>BU178*1600/(8*L19)</f>
        <v>#VALUE!</v>
      </c>
      <c r="BY178" s="109" t="str">
        <f>IF(B27="使用電線-5",V27,IF(B28="使用電線-5",V28,IF(B29="使用電線-5",V29,"")))</f>
        <v/>
      </c>
      <c r="BZ178" s="108" t="str">
        <f>IF(B27="使用電線-5",L27,IF(B28="使用電線-5",L28,IF(B29="使用電線-5",L29,"")))</f>
        <v/>
      </c>
      <c r="CA178" s="110" t="str">
        <f>IF(B27="使用電線-5",W27,IF(B28="使用電線-5",W28,IF(B29="使用電線-5",W29,"")))</f>
        <v/>
      </c>
    </row>
    <row r="179" spans="36:79" ht="18" hidden="1" customHeight="1" x14ac:dyDescent="0.15"/>
    <row r="180" spans="36:79" ht="18" hidden="1" customHeight="1" thickBot="1" x14ac:dyDescent="0.2"/>
    <row r="181" spans="36:79" ht="18" hidden="1" customHeight="1" x14ac:dyDescent="0.15">
      <c r="AJ181" s="2" t="s">
        <v>232</v>
      </c>
      <c r="AK181" s="111" t="s">
        <v>233</v>
      </c>
      <c r="AL181" s="12" t="s">
        <v>234</v>
      </c>
      <c r="AM181" s="12" t="s">
        <v>235</v>
      </c>
      <c r="AN181" s="12" t="s">
        <v>236</v>
      </c>
      <c r="AO181" s="12" t="s">
        <v>237</v>
      </c>
      <c r="AP181" s="12" t="s">
        <v>238</v>
      </c>
      <c r="AQ181" s="13" t="s">
        <v>239</v>
      </c>
      <c r="AS181" s="2" t="s">
        <v>232</v>
      </c>
      <c r="AT181" s="111" t="s">
        <v>233</v>
      </c>
      <c r="AU181" s="12" t="s">
        <v>234</v>
      </c>
      <c r="AV181" s="12" t="s">
        <v>235</v>
      </c>
      <c r="AW181" s="12" t="s">
        <v>236</v>
      </c>
      <c r="AX181" s="12" t="s">
        <v>237</v>
      </c>
      <c r="AY181" s="12" t="s">
        <v>238</v>
      </c>
      <c r="AZ181" s="13" t="s">
        <v>239</v>
      </c>
      <c r="BB181" s="2" t="s">
        <v>232</v>
      </c>
      <c r="BC181" s="111" t="s">
        <v>233</v>
      </c>
      <c r="BD181" s="12" t="s">
        <v>234</v>
      </c>
      <c r="BE181" s="12" t="s">
        <v>235</v>
      </c>
      <c r="BF181" s="12" t="s">
        <v>236</v>
      </c>
      <c r="BG181" s="12" t="s">
        <v>237</v>
      </c>
      <c r="BH181" s="12" t="s">
        <v>238</v>
      </c>
      <c r="BI181" s="13" t="s">
        <v>239</v>
      </c>
      <c r="BK181" s="2" t="s">
        <v>232</v>
      </c>
      <c r="BL181" s="111" t="s">
        <v>233</v>
      </c>
      <c r="BM181" s="12" t="s">
        <v>234</v>
      </c>
      <c r="BN181" s="12" t="s">
        <v>235</v>
      </c>
      <c r="BO181" s="12" t="s">
        <v>236</v>
      </c>
      <c r="BP181" s="12" t="s">
        <v>237</v>
      </c>
      <c r="BQ181" s="12" t="s">
        <v>238</v>
      </c>
      <c r="BR181" s="13" t="s">
        <v>239</v>
      </c>
      <c r="BT181" s="2" t="s">
        <v>232</v>
      </c>
      <c r="BU181" s="111" t="s">
        <v>233</v>
      </c>
      <c r="BV181" s="12" t="s">
        <v>234</v>
      </c>
      <c r="BW181" s="12" t="s">
        <v>235</v>
      </c>
      <c r="BX181" s="12" t="s">
        <v>236</v>
      </c>
      <c r="BY181" s="12" t="s">
        <v>237</v>
      </c>
      <c r="BZ181" s="12" t="s">
        <v>238</v>
      </c>
      <c r="CA181" s="13" t="s">
        <v>239</v>
      </c>
    </row>
    <row r="182" spans="36:79" ht="18" hidden="1" customHeight="1" x14ac:dyDescent="0.15">
      <c r="AJ182" s="16" t="e">
        <f>-AJ185+AJ188</f>
        <v>#VALUE!</v>
      </c>
      <c r="AK182" s="17" t="e">
        <f>-AJ191</f>
        <v>#VALUE!</v>
      </c>
      <c r="AL182" s="18" t="e">
        <f>IF(AND(AP185&lt;0,AQ185&lt;0),AQ182*1.2,IF(AND(AP185&gt;0,AQ185&gt;0),AP182*0.8,10))</f>
        <v>#VALUE!</v>
      </c>
      <c r="AM182" s="18" t="e">
        <f>AL182^3+AJ182*AL182+AK182</f>
        <v>#VALUE!</v>
      </c>
      <c r="AN182" s="18" t="e">
        <f>3*AL182^2+AJ182</f>
        <v>#VALUE!</v>
      </c>
      <c r="AO182" s="18" t="e">
        <f t="shared" ref="AO182:AO196" si="68">AL182-AM182/AN182</f>
        <v>#VALUE!</v>
      </c>
      <c r="AP182" s="18" t="e">
        <f>-SQRT(ABS(-4*3*AJ182))/6</f>
        <v>#VALUE!</v>
      </c>
      <c r="AQ182" s="19" t="e">
        <f>SQRT(ABS(-4*3*AJ182))/6</f>
        <v>#VALUE!</v>
      </c>
      <c r="AS182" s="16" t="e">
        <f>-AS185+AS188</f>
        <v>#VALUE!</v>
      </c>
      <c r="AT182" s="17" t="e">
        <f>-AS191</f>
        <v>#VALUE!</v>
      </c>
      <c r="AU182" s="18" t="e">
        <f>IF(AND(AY185&lt;0,AZ185&lt;0),AZ182*1.2,IF(AND(AY185&gt;0,AZ185&gt;0),AY182*0.8,10))</f>
        <v>#VALUE!</v>
      </c>
      <c r="AV182" s="18" t="e">
        <f>AU182^3+AS182*AU182+AT182</f>
        <v>#VALUE!</v>
      </c>
      <c r="AW182" s="18" t="e">
        <f>3*AU182^2+AS182</f>
        <v>#VALUE!</v>
      </c>
      <c r="AX182" s="18" t="e">
        <f t="shared" ref="AX182:AX196" si="69">AU182-AV182/AW182</f>
        <v>#VALUE!</v>
      </c>
      <c r="AY182" s="18" t="e">
        <f>-SQRT(ABS(-4*3*AS182))/6</f>
        <v>#VALUE!</v>
      </c>
      <c r="AZ182" s="19" t="e">
        <f>SQRT(ABS(-4*3*AS182))/6</f>
        <v>#VALUE!</v>
      </c>
      <c r="BB182" s="16" t="e">
        <f>-BB185+BB188</f>
        <v>#VALUE!</v>
      </c>
      <c r="BC182" s="17" t="e">
        <f>-BB191</f>
        <v>#VALUE!</v>
      </c>
      <c r="BD182" s="18" t="e">
        <f>IF(AND(BH185&lt;0,BI185&lt;0),BI182*1.2,IF(AND(BH185&gt;0,BI185&gt;0),BH182*0.8,10))</f>
        <v>#VALUE!</v>
      </c>
      <c r="BE182" s="18" t="e">
        <f>BD182^3+BB182*BD182+BC182</f>
        <v>#VALUE!</v>
      </c>
      <c r="BF182" s="18" t="e">
        <f>3*BD182^2+BB182</f>
        <v>#VALUE!</v>
      </c>
      <c r="BG182" s="18" t="e">
        <f t="shared" ref="BG182:BG196" si="70">BD182-BE182/BF182</f>
        <v>#VALUE!</v>
      </c>
      <c r="BH182" s="18" t="e">
        <f>-SQRT(ABS(-4*3*BB182))/6</f>
        <v>#VALUE!</v>
      </c>
      <c r="BI182" s="19" t="e">
        <f>SQRT(ABS(-4*3*BB182))/6</f>
        <v>#VALUE!</v>
      </c>
      <c r="BK182" s="16" t="e">
        <f>-BK185+BK188</f>
        <v>#VALUE!</v>
      </c>
      <c r="BL182" s="17" t="e">
        <f>-BK191</f>
        <v>#VALUE!</v>
      </c>
      <c r="BM182" s="18" t="e">
        <f>IF(AND(BQ185&lt;0,BR185&lt;0),BR182*1.2,IF(AND(BQ185&gt;0,BR185&gt;0),BQ182*0.8,10))</f>
        <v>#VALUE!</v>
      </c>
      <c r="BN182" s="18" t="e">
        <f>BM182^3+BK182*BM182+BL182</f>
        <v>#VALUE!</v>
      </c>
      <c r="BO182" s="18" t="e">
        <f>3*BM182^2+BK182</f>
        <v>#VALUE!</v>
      </c>
      <c r="BP182" s="18" t="e">
        <f t="shared" ref="BP182:BP196" si="71">BM182-BN182/BO182</f>
        <v>#VALUE!</v>
      </c>
      <c r="BQ182" s="18" t="e">
        <f>-SQRT(ABS(-4*3*BK182))/6</f>
        <v>#VALUE!</v>
      </c>
      <c r="BR182" s="19" t="e">
        <f>SQRT(ABS(-4*3*BK182))/6</f>
        <v>#VALUE!</v>
      </c>
      <c r="BT182" s="16" t="e">
        <f>-BT185+BT188</f>
        <v>#VALUE!</v>
      </c>
      <c r="BU182" s="17" t="e">
        <f>-BT191</f>
        <v>#VALUE!</v>
      </c>
      <c r="BV182" s="18" t="e">
        <f>IF(AND(BZ185&lt;0,CA185&lt;0),CA182*1.2,IF(AND(BZ185&gt;0,CA185&gt;0),BZ182*0.8,10))</f>
        <v>#VALUE!</v>
      </c>
      <c r="BW182" s="18" t="e">
        <f>BV182^3+BT182*BV182+BU182</f>
        <v>#VALUE!</v>
      </c>
      <c r="BX182" s="18" t="e">
        <f>3*BV182^2+BT182</f>
        <v>#VALUE!</v>
      </c>
      <c r="BY182" s="18" t="e">
        <f t="shared" ref="BY182:BY196" si="72">BV182-BW182/BX182</f>
        <v>#VALUE!</v>
      </c>
      <c r="BZ182" s="18" t="e">
        <f>-SQRT(ABS(-4*3*BT182))/6</f>
        <v>#VALUE!</v>
      </c>
      <c r="CA182" s="19" t="e">
        <f>SQRT(ABS(-4*3*BT182))/6</f>
        <v>#VALUE!</v>
      </c>
    </row>
    <row r="183" spans="36:79" ht="18" hidden="1" customHeight="1" x14ac:dyDescent="0.15">
      <c r="AJ183" s="267"/>
      <c r="AK183" s="268"/>
      <c r="AL183" s="18" t="e">
        <f t="shared" ref="AL183:AL196" si="73">AO182</f>
        <v>#VALUE!</v>
      </c>
      <c r="AM183" s="18" t="e">
        <f>AL183^3+AJ182*AL183+AK182</f>
        <v>#VALUE!</v>
      </c>
      <c r="AN183" s="18" t="e">
        <f>3*AL183^2+AJ182</f>
        <v>#VALUE!</v>
      </c>
      <c r="AO183" s="18" t="e">
        <f t="shared" si="68"/>
        <v>#VALUE!</v>
      </c>
      <c r="AP183" s="6"/>
      <c r="AQ183" s="7"/>
      <c r="AS183" s="267"/>
      <c r="AT183" s="268"/>
      <c r="AU183" s="18" t="e">
        <f t="shared" ref="AU183:AU196" si="74">AX182</f>
        <v>#VALUE!</v>
      </c>
      <c r="AV183" s="18" t="e">
        <f>AU183^3+AS182*AU183+AT182</f>
        <v>#VALUE!</v>
      </c>
      <c r="AW183" s="18" t="e">
        <f>3*AU183^2+AS182</f>
        <v>#VALUE!</v>
      </c>
      <c r="AX183" s="18" t="e">
        <f t="shared" si="69"/>
        <v>#VALUE!</v>
      </c>
      <c r="AY183" s="6"/>
      <c r="AZ183" s="7"/>
      <c r="BB183" s="267"/>
      <c r="BC183" s="268"/>
      <c r="BD183" s="18" t="e">
        <f t="shared" ref="BD183:BD196" si="75">BG182</f>
        <v>#VALUE!</v>
      </c>
      <c r="BE183" s="18" t="e">
        <f>BD183^3+BB182*BD183+BC182</f>
        <v>#VALUE!</v>
      </c>
      <c r="BF183" s="18" t="e">
        <f>3*BD183^2+BB182</f>
        <v>#VALUE!</v>
      </c>
      <c r="BG183" s="18" t="e">
        <f t="shared" si="70"/>
        <v>#VALUE!</v>
      </c>
      <c r="BH183" s="6"/>
      <c r="BI183" s="7"/>
      <c r="BK183" s="267"/>
      <c r="BL183" s="268"/>
      <c r="BM183" s="18" t="e">
        <f t="shared" ref="BM183:BM196" si="76">BP182</f>
        <v>#VALUE!</v>
      </c>
      <c r="BN183" s="18" t="e">
        <f>BM183^3+BK182*BM183+BL182</f>
        <v>#VALUE!</v>
      </c>
      <c r="BO183" s="18" t="e">
        <f>3*BM183^2+BK182</f>
        <v>#VALUE!</v>
      </c>
      <c r="BP183" s="18" t="e">
        <f t="shared" si="71"/>
        <v>#VALUE!</v>
      </c>
      <c r="BQ183" s="6"/>
      <c r="BR183" s="7"/>
      <c r="BT183" s="267"/>
      <c r="BU183" s="268"/>
      <c r="BV183" s="18" t="e">
        <f t="shared" ref="BV183:BV196" si="77">BY182</f>
        <v>#VALUE!</v>
      </c>
      <c r="BW183" s="18" t="e">
        <f>BV183^3+BT182*BV183+BU182</f>
        <v>#VALUE!</v>
      </c>
      <c r="BX183" s="18" t="e">
        <f>3*BV183^2+BT182</f>
        <v>#VALUE!</v>
      </c>
      <c r="BY183" s="18" t="e">
        <f t="shared" si="72"/>
        <v>#VALUE!</v>
      </c>
      <c r="BZ183" s="6"/>
      <c r="CA183" s="7"/>
    </row>
    <row r="184" spans="36:79" ht="18" hidden="1" customHeight="1" x14ac:dyDescent="0.15">
      <c r="AJ184" s="269" t="s">
        <v>240</v>
      </c>
      <c r="AK184" s="270"/>
      <c r="AL184" s="18" t="e">
        <f t="shared" si="73"/>
        <v>#VALUE!</v>
      </c>
      <c r="AM184" s="18" t="e">
        <f>AL184^3+AJ182*AL184+AK182</f>
        <v>#VALUE!</v>
      </c>
      <c r="AN184" s="18" t="e">
        <f>3*AL184^2+AJ182</f>
        <v>#VALUE!</v>
      </c>
      <c r="AO184" s="18" t="e">
        <f t="shared" si="68"/>
        <v>#VALUE!</v>
      </c>
      <c r="AP184" s="14" t="s">
        <v>241</v>
      </c>
      <c r="AQ184" s="15" t="s">
        <v>242</v>
      </c>
      <c r="AS184" s="269" t="s">
        <v>240</v>
      </c>
      <c r="AT184" s="270"/>
      <c r="AU184" s="18" t="e">
        <f t="shared" si="74"/>
        <v>#VALUE!</v>
      </c>
      <c r="AV184" s="18" t="e">
        <f>AU184^3+AS182*AU184+AT182</f>
        <v>#VALUE!</v>
      </c>
      <c r="AW184" s="18" t="e">
        <f>3*AU184^2+AS182</f>
        <v>#VALUE!</v>
      </c>
      <c r="AX184" s="18" t="e">
        <f t="shared" si="69"/>
        <v>#VALUE!</v>
      </c>
      <c r="AY184" s="14" t="s">
        <v>241</v>
      </c>
      <c r="AZ184" s="15" t="s">
        <v>242</v>
      </c>
      <c r="BB184" s="269" t="s">
        <v>240</v>
      </c>
      <c r="BC184" s="270"/>
      <c r="BD184" s="18" t="e">
        <f t="shared" si="75"/>
        <v>#VALUE!</v>
      </c>
      <c r="BE184" s="18" t="e">
        <f>BD184^3+BB182*BD184+BC182</f>
        <v>#VALUE!</v>
      </c>
      <c r="BF184" s="18" t="e">
        <f>3*BD184^2+BB182</f>
        <v>#VALUE!</v>
      </c>
      <c r="BG184" s="18" t="e">
        <f t="shared" si="70"/>
        <v>#VALUE!</v>
      </c>
      <c r="BH184" s="14" t="s">
        <v>241</v>
      </c>
      <c r="BI184" s="15" t="s">
        <v>242</v>
      </c>
      <c r="BK184" s="269" t="s">
        <v>240</v>
      </c>
      <c r="BL184" s="270"/>
      <c r="BM184" s="18" t="e">
        <f t="shared" si="76"/>
        <v>#VALUE!</v>
      </c>
      <c r="BN184" s="18" t="e">
        <f>BM184^3+BK182*BM184+BL182</f>
        <v>#VALUE!</v>
      </c>
      <c r="BO184" s="18" t="e">
        <f>3*BM184^2+BK182</f>
        <v>#VALUE!</v>
      </c>
      <c r="BP184" s="18" t="e">
        <f t="shared" si="71"/>
        <v>#VALUE!</v>
      </c>
      <c r="BQ184" s="14" t="s">
        <v>241</v>
      </c>
      <c r="BR184" s="15" t="s">
        <v>242</v>
      </c>
      <c r="BT184" s="269" t="s">
        <v>240</v>
      </c>
      <c r="BU184" s="270"/>
      <c r="BV184" s="18" t="e">
        <f t="shared" si="77"/>
        <v>#VALUE!</v>
      </c>
      <c r="BW184" s="18" t="e">
        <f>BV184^3+BT182*BV184+BU182</f>
        <v>#VALUE!</v>
      </c>
      <c r="BX184" s="18" t="e">
        <f>3*BV184^2+BT182</f>
        <v>#VALUE!</v>
      </c>
      <c r="BY184" s="18" t="e">
        <f t="shared" si="72"/>
        <v>#VALUE!</v>
      </c>
      <c r="BZ184" s="14" t="s">
        <v>241</v>
      </c>
      <c r="CA184" s="15" t="s">
        <v>242</v>
      </c>
    </row>
    <row r="185" spans="36:79" ht="18" hidden="1" customHeight="1" x14ac:dyDescent="0.15">
      <c r="AJ185" s="269">
        <f>(AL198^2)+3*(AM198^2)*AQ198*(AQ193-15)/(8*10^7)</f>
        <v>0</v>
      </c>
      <c r="AK185" s="270"/>
      <c r="AL185" s="18" t="e">
        <f t="shared" si="73"/>
        <v>#VALUE!</v>
      </c>
      <c r="AM185" s="18" t="e">
        <f>AL185^3+AJ182*AL185+AK182</f>
        <v>#VALUE!</v>
      </c>
      <c r="AN185" s="18" t="e">
        <f>3*AL185^2+AJ182</f>
        <v>#VALUE!</v>
      </c>
      <c r="AO185" s="18" t="e">
        <f t="shared" si="68"/>
        <v>#VALUE!</v>
      </c>
      <c r="AP185" s="18" t="e">
        <f>AP182^3+AJ182*AP182+AK182</f>
        <v>#VALUE!</v>
      </c>
      <c r="AQ185" s="19" t="e">
        <f>AQ182^3+AJ182*AQ182+AK182</f>
        <v>#VALUE!</v>
      </c>
      <c r="AS185" s="269" t="e">
        <f>(AU198^2)+3*(AV198^2)*AZ198*(AZ193-15)/(8*10^7)</f>
        <v>#VALUE!</v>
      </c>
      <c r="AT185" s="270"/>
      <c r="AU185" s="18" t="e">
        <f t="shared" si="74"/>
        <v>#VALUE!</v>
      </c>
      <c r="AV185" s="18" t="e">
        <f>AU185^3+AS182*AU185+AT182</f>
        <v>#VALUE!</v>
      </c>
      <c r="AW185" s="18" t="e">
        <f>3*AU185^2+AS182</f>
        <v>#VALUE!</v>
      </c>
      <c r="AX185" s="18" t="e">
        <f t="shared" si="69"/>
        <v>#VALUE!</v>
      </c>
      <c r="AY185" s="18" t="e">
        <f>AY182^3+AS182*AY182+AT182</f>
        <v>#VALUE!</v>
      </c>
      <c r="AZ185" s="19" t="e">
        <f>AZ182^3+AS182*AZ182+AT182</f>
        <v>#VALUE!</v>
      </c>
      <c r="BB185" s="269" t="e">
        <f>(BD198^2)+3*(BE198^2)*BI198*(BI193-15)/(8*10^7)</f>
        <v>#VALUE!</v>
      </c>
      <c r="BC185" s="270"/>
      <c r="BD185" s="18" t="e">
        <f t="shared" si="75"/>
        <v>#VALUE!</v>
      </c>
      <c r="BE185" s="18" t="e">
        <f>BD185^3+BB182*BD185+BC182</f>
        <v>#VALUE!</v>
      </c>
      <c r="BF185" s="18" t="e">
        <f>3*BD185^2+BB182</f>
        <v>#VALUE!</v>
      </c>
      <c r="BG185" s="18" t="e">
        <f t="shared" si="70"/>
        <v>#VALUE!</v>
      </c>
      <c r="BH185" s="18" t="e">
        <f>BH182^3+BB182*BH182+BC182</f>
        <v>#VALUE!</v>
      </c>
      <c r="BI185" s="19" t="e">
        <f>BI182^3+BB182*BI182+BC182</f>
        <v>#VALUE!</v>
      </c>
      <c r="BK185" s="269" t="e">
        <f>(BM198^2)+3*(BN198^2)*BR198*(BR193-15)/(8*10^7)</f>
        <v>#VALUE!</v>
      </c>
      <c r="BL185" s="270"/>
      <c r="BM185" s="18" t="e">
        <f t="shared" si="76"/>
        <v>#VALUE!</v>
      </c>
      <c r="BN185" s="18" t="e">
        <f>BM185^3+BK182*BM185+BL182</f>
        <v>#VALUE!</v>
      </c>
      <c r="BO185" s="18" t="e">
        <f>3*BM185^2+BK182</f>
        <v>#VALUE!</v>
      </c>
      <c r="BP185" s="18" t="e">
        <f t="shared" si="71"/>
        <v>#VALUE!</v>
      </c>
      <c r="BQ185" s="18" t="e">
        <f>BQ182^3+BK182*BQ182+BL182</f>
        <v>#VALUE!</v>
      </c>
      <c r="BR185" s="19" t="e">
        <f>BR182^3+BK182*BR182+BL182</f>
        <v>#VALUE!</v>
      </c>
      <c r="BT185" s="269" t="e">
        <f>(BV198^2)+3*(BW198^2)*CA198*(CA193-15)/(8*10^7)</f>
        <v>#VALUE!</v>
      </c>
      <c r="BU185" s="270"/>
      <c r="BV185" s="18" t="e">
        <f t="shared" si="77"/>
        <v>#VALUE!</v>
      </c>
      <c r="BW185" s="18" t="e">
        <f>BV185^3+BT182*BV185+BU182</f>
        <v>#VALUE!</v>
      </c>
      <c r="BX185" s="18" t="e">
        <f>3*BV185^2+BT182</f>
        <v>#VALUE!</v>
      </c>
      <c r="BY185" s="18" t="e">
        <f t="shared" si="72"/>
        <v>#VALUE!</v>
      </c>
      <c r="BZ185" s="18" t="e">
        <f>BZ182^3+BT182*BZ182+BU182</f>
        <v>#VALUE!</v>
      </c>
      <c r="CA185" s="19" t="e">
        <f>CA182^3+BT182*CA182+BU182</f>
        <v>#VALUE!</v>
      </c>
    </row>
    <row r="186" spans="36:79" ht="18" hidden="1" customHeight="1" x14ac:dyDescent="0.15">
      <c r="AJ186" s="267"/>
      <c r="AK186" s="268"/>
      <c r="AL186" s="18" t="e">
        <f t="shared" si="73"/>
        <v>#VALUE!</v>
      </c>
      <c r="AM186" s="18" t="e">
        <f>AL186^3+AJ182*AL186+AK182</f>
        <v>#VALUE!</v>
      </c>
      <c r="AN186" s="18" t="e">
        <f>3*AL186^2+AJ182</f>
        <v>#VALUE!</v>
      </c>
      <c r="AO186" s="18" t="e">
        <f t="shared" si="68"/>
        <v>#VALUE!</v>
      </c>
      <c r="AP186" s="31"/>
      <c r="AQ186" s="32"/>
      <c r="AS186" s="267"/>
      <c r="AT186" s="268"/>
      <c r="AU186" s="18" t="e">
        <f t="shared" si="74"/>
        <v>#VALUE!</v>
      </c>
      <c r="AV186" s="18" t="e">
        <f>AU186^3+AS182*AU186+AT182</f>
        <v>#VALUE!</v>
      </c>
      <c r="AW186" s="18" t="e">
        <f>3*AU186^2+AS182</f>
        <v>#VALUE!</v>
      </c>
      <c r="AX186" s="18" t="e">
        <f t="shared" si="69"/>
        <v>#VALUE!</v>
      </c>
      <c r="AY186" s="31"/>
      <c r="AZ186" s="32"/>
      <c r="BB186" s="267"/>
      <c r="BC186" s="268"/>
      <c r="BD186" s="18" t="e">
        <f t="shared" si="75"/>
        <v>#VALUE!</v>
      </c>
      <c r="BE186" s="18" t="e">
        <f>BD186^3+BB182*BD186+BC182</f>
        <v>#VALUE!</v>
      </c>
      <c r="BF186" s="18" t="e">
        <f>3*BD186^2+BB182</f>
        <v>#VALUE!</v>
      </c>
      <c r="BG186" s="18" t="e">
        <f t="shared" si="70"/>
        <v>#VALUE!</v>
      </c>
      <c r="BH186" s="31"/>
      <c r="BI186" s="32"/>
      <c r="BK186" s="267"/>
      <c r="BL186" s="268"/>
      <c r="BM186" s="18" t="e">
        <f t="shared" si="76"/>
        <v>#VALUE!</v>
      </c>
      <c r="BN186" s="18" t="e">
        <f>BM186^3+BK182*BM186+BL182</f>
        <v>#VALUE!</v>
      </c>
      <c r="BO186" s="18" t="e">
        <f>3*BM186^2+BK182</f>
        <v>#VALUE!</v>
      </c>
      <c r="BP186" s="18" t="e">
        <f t="shared" si="71"/>
        <v>#VALUE!</v>
      </c>
      <c r="BQ186" s="31"/>
      <c r="BR186" s="32"/>
      <c r="BT186" s="267"/>
      <c r="BU186" s="268"/>
      <c r="BV186" s="18" t="e">
        <f t="shared" si="77"/>
        <v>#VALUE!</v>
      </c>
      <c r="BW186" s="18" t="e">
        <f>BV186^3+BT182*BV186+BU182</f>
        <v>#VALUE!</v>
      </c>
      <c r="BX186" s="18" t="e">
        <f>3*BV186^2+BT182</f>
        <v>#VALUE!</v>
      </c>
      <c r="BY186" s="18" t="e">
        <f t="shared" si="72"/>
        <v>#VALUE!</v>
      </c>
      <c r="BZ186" s="31"/>
      <c r="CA186" s="32"/>
    </row>
    <row r="187" spans="36:79" ht="18" hidden="1" customHeight="1" x14ac:dyDescent="0.15">
      <c r="AJ187" s="269" t="s">
        <v>243</v>
      </c>
      <c r="AK187" s="270"/>
      <c r="AL187" s="18" t="e">
        <f t="shared" si="73"/>
        <v>#VALUE!</v>
      </c>
      <c r="AM187" s="18" t="e">
        <f>AL187^3+AJ182*AL187+AK182</f>
        <v>#VALUE!</v>
      </c>
      <c r="AN187" s="18" t="e">
        <f>3*AL187^2+AJ182</f>
        <v>#VALUE!</v>
      </c>
      <c r="AO187" s="18" t="e">
        <f t="shared" si="68"/>
        <v>#VALUE!</v>
      </c>
      <c r="AP187" s="31"/>
      <c r="AQ187" s="32"/>
      <c r="AS187" s="269" t="s">
        <v>243</v>
      </c>
      <c r="AT187" s="270"/>
      <c r="AU187" s="18" t="e">
        <f t="shared" si="74"/>
        <v>#VALUE!</v>
      </c>
      <c r="AV187" s="18" t="e">
        <f>AU187^3+AS182*AU187+AT182</f>
        <v>#VALUE!</v>
      </c>
      <c r="AW187" s="18" t="e">
        <f>3*AU187^2+AS182</f>
        <v>#VALUE!</v>
      </c>
      <c r="AX187" s="18" t="e">
        <f t="shared" si="69"/>
        <v>#VALUE!</v>
      </c>
      <c r="AY187" s="31"/>
      <c r="AZ187" s="32"/>
      <c r="BB187" s="269" t="s">
        <v>243</v>
      </c>
      <c r="BC187" s="270"/>
      <c r="BD187" s="18" t="e">
        <f t="shared" si="75"/>
        <v>#VALUE!</v>
      </c>
      <c r="BE187" s="18" t="e">
        <f>BD187^3+BB182*BD187+BC182</f>
        <v>#VALUE!</v>
      </c>
      <c r="BF187" s="18" t="e">
        <f>3*BD187^2+BB182</f>
        <v>#VALUE!</v>
      </c>
      <c r="BG187" s="18" t="e">
        <f t="shared" si="70"/>
        <v>#VALUE!</v>
      </c>
      <c r="BH187" s="31"/>
      <c r="BI187" s="32"/>
      <c r="BK187" s="269" t="s">
        <v>243</v>
      </c>
      <c r="BL187" s="270"/>
      <c r="BM187" s="18" t="e">
        <f t="shared" si="76"/>
        <v>#VALUE!</v>
      </c>
      <c r="BN187" s="18" t="e">
        <f>BM187^3+BK182*BM187+BL182</f>
        <v>#VALUE!</v>
      </c>
      <c r="BO187" s="18" t="e">
        <f>3*BM187^2+BK182</f>
        <v>#VALUE!</v>
      </c>
      <c r="BP187" s="18" t="e">
        <f t="shared" si="71"/>
        <v>#VALUE!</v>
      </c>
      <c r="BQ187" s="31"/>
      <c r="BR187" s="32"/>
      <c r="BT187" s="269" t="s">
        <v>243</v>
      </c>
      <c r="BU187" s="270"/>
      <c r="BV187" s="18" t="e">
        <f t="shared" si="77"/>
        <v>#VALUE!</v>
      </c>
      <c r="BW187" s="18" t="e">
        <f>BV187^3+BT182*BV187+BU182</f>
        <v>#VALUE!</v>
      </c>
      <c r="BX187" s="18" t="e">
        <f>3*BV187^2+BT182</f>
        <v>#VALUE!</v>
      </c>
      <c r="BY187" s="18" t="e">
        <f t="shared" si="72"/>
        <v>#VALUE!</v>
      </c>
      <c r="BZ187" s="31"/>
      <c r="CA187" s="32"/>
    </row>
    <row r="188" spans="36:79" ht="18" hidden="1" customHeight="1" x14ac:dyDescent="0.15">
      <c r="AJ188" s="277" t="e">
        <f>3*(AM198^2)*AN198/(8*AO198*AP198)</f>
        <v>#VALUE!</v>
      </c>
      <c r="AK188" s="278"/>
      <c r="AL188" s="118" t="e">
        <f t="shared" si="73"/>
        <v>#VALUE!</v>
      </c>
      <c r="AM188" s="118" t="e">
        <f>AL188^3+AJ182*AL188+AK182</f>
        <v>#VALUE!</v>
      </c>
      <c r="AN188" s="118" t="e">
        <f>3*AL188^2+AJ182</f>
        <v>#VALUE!</v>
      </c>
      <c r="AO188" s="118" t="e">
        <f t="shared" si="68"/>
        <v>#VALUE!</v>
      </c>
      <c r="AP188" s="116"/>
      <c r="AQ188" s="117"/>
      <c r="AS188" s="277" t="e">
        <f>3*(AV198^2)*AW198/(8*AX198*AY198)</f>
        <v>#VALUE!</v>
      </c>
      <c r="AT188" s="278"/>
      <c r="AU188" s="118" t="e">
        <f t="shared" si="74"/>
        <v>#VALUE!</v>
      </c>
      <c r="AV188" s="118" t="e">
        <f>AU188^3+AS182*AU188+AT182</f>
        <v>#VALUE!</v>
      </c>
      <c r="AW188" s="118" t="e">
        <f>3*AU188^2+AS182</f>
        <v>#VALUE!</v>
      </c>
      <c r="AX188" s="118" t="e">
        <f t="shared" si="69"/>
        <v>#VALUE!</v>
      </c>
      <c r="AY188" s="116"/>
      <c r="AZ188" s="117"/>
      <c r="BB188" s="277" t="e">
        <f>3*(BE198^2)*BF198/(8*BG198*BH198)</f>
        <v>#VALUE!</v>
      </c>
      <c r="BC188" s="278"/>
      <c r="BD188" s="118" t="e">
        <f t="shared" si="75"/>
        <v>#VALUE!</v>
      </c>
      <c r="BE188" s="118" t="e">
        <f>BD188^3+BB182*BD188+BC182</f>
        <v>#VALUE!</v>
      </c>
      <c r="BF188" s="118" t="e">
        <f>3*BD188^2+BB182</f>
        <v>#VALUE!</v>
      </c>
      <c r="BG188" s="118" t="e">
        <f t="shared" si="70"/>
        <v>#VALUE!</v>
      </c>
      <c r="BH188" s="116"/>
      <c r="BI188" s="117"/>
      <c r="BK188" s="277" t="e">
        <f>3*(BN198^2)*BO198/(8*BP198*BQ198)</f>
        <v>#VALUE!</v>
      </c>
      <c r="BL188" s="278"/>
      <c r="BM188" s="118" t="e">
        <f t="shared" si="76"/>
        <v>#VALUE!</v>
      </c>
      <c r="BN188" s="118" t="e">
        <f>BM188^3+BK182*BM188+BL182</f>
        <v>#VALUE!</v>
      </c>
      <c r="BO188" s="118" t="e">
        <f>3*BM188^2+BK182</f>
        <v>#VALUE!</v>
      </c>
      <c r="BP188" s="118" t="e">
        <f t="shared" si="71"/>
        <v>#VALUE!</v>
      </c>
      <c r="BQ188" s="116"/>
      <c r="BR188" s="117"/>
      <c r="BT188" s="277" t="e">
        <f>3*(BW198^2)*BX198/(8*BY198*BZ198)</f>
        <v>#VALUE!</v>
      </c>
      <c r="BU188" s="278"/>
      <c r="BV188" s="118" t="e">
        <f t="shared" si="77"/>
        <v>#VALUE!</v>
      </c>
      <c r="BW188" s="118" t="e">
        <f>BV188^3+BT182*BV188+BU182</f>
        <v>#VALUE!</v>
      </c>
      <c r="BX188" s="118" t="e">
        <f>3*BV188^2+BT182</f>
        <v>#VALUE!</v>
      </c>
      <c r="BY188" s="118" t="e">
        <f t="shared" si="72"/>
        <v>#VALUE!</v>
      </c>
      <c r="BZ188" s="116"/>
      <c r="CA188" s="117"/>
    </row>
    <row r="189" spans="36:79" ht="18" hidden="1" customHeight="1" x14ac:dyDescent="0.15">
      <c r="AJ189" s="121"/>
      <c r="AK189" s="122"/>
      <c r="AL189" s="118" t="e">
        <f t="shared" si="73"/>
        <v>#VALUE!</v>
      </c>
      <c r="AM189" s="118" t="e">
        <f>AL189^3+AJ182*AL189+AK182</f>
        <v>#VALUE!</v>
      </c>
      <c r="AN189" s="118" t="e">
        <f>3*AL189^2+AJ182</f>
        <v>#VALUE!</v>
      </c>
      <c r="AO189" s="118" t="e">
        <f t="shared" si="68"/>
        <v>#VALUE!</v>
      </c>
      <c r="AP189" s="119"/>
      <c r="AQ189" s="120"/>
      <c r="AS189" s="121"/>
      <c r="AT189" s="122"/>
      <c r="AU189" s="118" t="e">
        <f t="shared" si="74"/>
        <v>#VALUE!</v>
      </c>
      <c r="AV189" s="118" t="e">
        <f>AU189^3+AS182*AU189+AT182</f>
        <v>#VALUE!</v>
      </c>
      <c r="AW189" s="118" t="e">
        <f>3*AU189^2+AS182</f>
        <v>#VALUE!</v>
      </c>
      <c r="AX189" s="118" t="e">
        <f t="shared" si="69"/>
        <v>#VALUE!</v>
      </c>
      <c r="AY189" s="119"/>
      <c r="AZ189" s="120"/>
      <c r="BB189" s="121"/>
      <c r="BC189" s="122"/>
      <c r="BD189" s="118" t="e">
        <f t="shared" si="75"/>
        <v>#VALUE!</v>
      </c>
      <c r="BE189" s="118" t="e">
        <f>BD189^3+BB182*BD189+BC182</f>
        <v>#VALUE!</v>
      </c>
      <c r="BF189" s="118" t="e">
        <f>3*BD189^2+BB182</f>
        <v>#VALUE!</v>
      </c>
      <c r="BG189" s="118" t="e">
        <f t="shared" si="70"/>
        <v>#VALUE!</v>
      </c>
      <c r="BH189" s="119"/>
      <c r="BI189" s="120"/>
      <c r="BK189" s="121"/>
      <c r="BL189" s="122"/>
      <c r="BM189" s="118" t="e">
        <f t="shared" si="76"/>
        <v>#VALUE!</v>
      </c>
      <c r="BN189" s="118" t="e">
        <f>BM189^3+BK182*BM189+BL182</f>
        <v>#VALUE!</v>
      </c>
      <c r="BO189" s="118" t="e">
        <f>3*BM189^2+BK182</f>
        <v>#VALUE!</v>
      </c>
      <c r="BP189" s="118" t="e">
        <f t="shared" si="71"/>
        <v>#VALUE!</v>
      </c>
      <c r="BQ189" s="119"/>
      <c r="BR189" s="120"/>
      <c r="BT189" s="121"/>
      <c r="BU189" s="122"/>
      <c r="BV189" s="118" t="e">
        <f t="shared" si="77"/>
        <v>#VALUE!</v>
      </c>
      <c r="BW189" s="118" t="e">
        <f>BV189^3+BT182*BV189+BU182</f>
        <v>#VALUE!</v>
      </c>
      <c r="BX189" s="118" t="e">
        <f>3*BV189^2+BT182</f>
        <v>#VALUE!</v>
      </c>
      <c r="BY189" s="118" t="e">
        <f t="shared" si="72"/>
        <v>#VALUE!</v>
      </c>
      <c r="BZ189" s="119"/>
      <c r="CA189" s="120"/>
    </row>
    <row r="190" spans="36:79" ht="18" hidden="1" customHeight="1" x14ac:dyDescent="0.15">
      <c r="AJ190" s="269" t="s">
        <v>244</v>
      </c>
      <c r="AK190" s="270"/>
      <c r="AL190" s="118" t="e">
        <f t="shared" si="73"/>
        <v>#VALUE!</v>
      </c>
      <c r="AM190" s="118" t="e">
        <f>AL190^3+AJ182*AL190+AK182</f>
        <v>#VALUE!</v>
      </c>
      <c r="AN190" s="118" t="e">
        <f>3*AL190^2+AJ182</f>
        <v>#VALUE!</v>
      </c>
      <c r="AO190" s="118" t="e">
        <f t="shared" si="68"/>
        <v>#VALUE!</v>
      </c>
      <c r="AP190" s="14" t="s">
        <v>245</v>
      </c>
      <c r="AQ190" s="123" t="e">
        <f>AO196</f>
        <v>#VALUE!</v>
      </c>
      <c r="AS190" s="269" t="s">
        <v>244</v>
      </c>
      <c r="AT190" s="270"/>
      <c r="AU190" s="118" t="e">
        <f t="shared" si="74"/>
        <v>#VALUE!</v>
      </c>
      <c r="AV190" s="118" t="e">
        <f>AU190^3+AS182*AU190+AT182</f>
        <v>#VALUE!</v>
      </c>
      <c r="AW190" s="118" t="e">
        <f>3*AU190^2+AS182</f>
        <v>#VALUE!</v>
      </c>
      <c r="AX190" s="118" t="e">
        <f t="shared" si="69"/>
        <v>#VALUE!</v>
      </c>
      <c r="AY190" s="14" t="s">
        <v>245</v>
      </c>
      <c r="AZ190" s="123" t="e">
        <f>AX196</f>
        <v>#VALUE!</v>
      </c>
      <c r="BB190" s="269" t="s">
        <v>244</v>
      </c>
      <c r="BC190" s="270"/>
      <c r="BD190" s="118" t="e">
        <f t="shared" si="75"/>
        <v>#VALUE!</v>
      </c>
      <c r="BE190" s="118" t="e">
        <f>BD190^3+BB182*BD190+BC182</f>
        <v>#VALUE!</v>
      </c>
      <c r="BF190" s="118" t="e">
        <f>3*BD190^2+BB182</f>
        <v>#VALUE!</v>
      </c>
      <c r="BG190" s="118" t="e">
        <f t="shared" si="70"/>
        <v>#VALUE!</v>
      </c>
      <c r="BH190" s="14" t="s">
        <v>245</v>
      </c>
      <c r="BI190" s="123" t="e">
        <f>BG196</f>
        <v>#VALUE!</v>
      </c>
      <c r="BK190" s="269" t="s">
        <v>244</v>
      </c>
      <c r="BL190" s="270"/>
      <c r="BM190" s="118" t="e">
        <f t="shared" si="76"/>
        <v>#VALUE!</v>
      </c>
      <c r="BN190" s="118" t="e">
        <f>BM190^3+BK182*BM190+BL182</f>
        <v>#VALUE!</v>
      </c>
      <c r="BO190" s="118" t="e">
        <f>3*BM190^2+BK182</f>
        <v>#VALUE!</v>
      </c>
      <c r="BP190" s="118" t="e">
        <f t="shared" si="71"/>
        <v>#VALUE!</v>
      </c>
      <c r="BQ190" s="14" t="s">
        <v>245</v>
      </c>
      <c r="BR190" s="123" t="e">
        <f>BP196</f>
        <v>#VALUE!</v>
      </c>
      <c r="BT190" s="269" t="s">
        <v>244</v>
      </c>
      <c r="BU190" s="270"/>
      <c r="BV190" s="118" t="e">
        <f t="shared" si="77"/>
        <v>#VALUE!</v>
      </c>
      <c r="BW190" s="118" t="e">
        <f>BV190^3+BT182*BV190+BU182</f>
        <v>#VALUE!</v>
      </c>
      <c r="BX190" s="118" t="e">
        <f>3*BV190^2+BT182</f>
        <v>#VALUE!</v>
      </c>
      <c r="BY190" s="118" t="e">
        <f t="shared" si="72"/>
        <v>#VALUE!</v>
      </c>
      <c r="BZ190" s="14" t="s">
        <v>245</v>
      </c>
      <c r="CA190" s="123" t="e">
        <f>BY196</f>
        <v>#VALUE!</v>
      </c>
    </row>
    <row r="191" spans="36:79" ht="18" hidden="1" customHeight="1" x14ac:dyDescent="0.15">
      <c r="AJ191" s="271" t="e">
        <f>AJ188*AL198*AK198/AK198</f>
        <v>#VALUE!</v>
      </c>
      <c r="AK191" s="272"/>
      <c r="AL191" s="118" t="e">
        <f t="shared" si="73"/>
        <v>#VALUE!</v>
      </c>
      <c r="AM191" s="118" t="e">
        <f>AL191^3+AJ182*AL191+AK182</f>
        <v>#VALUE!</v>
      </c>
      <c r="AN191" s="118" t="e">
        <f>3*AL191^2+AJ182</f>
        <v>#VALUE!</v>
      </c>
      <c r="AO191" s="118" t="e">
        <f t="shared" si="68"/>
        <v>#VALUE!</v>
      </c>
      <c r="AP191" s="14" t="s">
        <v>246</v>
      </c>
      <c r="AQ191" s="124" t="e">
        <f>AK198*AM198^2/(8*AO196)</f>
        <v>#VALUE!</v>
      </c>
      <c r="AS191" s="271" t="e">
        <f>AS188*AU198*AT198/AT198</f>
        <v>#VALUE!</v>
      </c>
      <c r="AT191" s="272"/>
      <c r="AU191" s="118" t="e">
        <f t="shared" si="74"/>
        <v>#VALUE!</v>
      </c>
      <c r="AV191" s="118" t="e">
        <f>AU191^3+AS182*AU191+AT182</f>
        <v>#VALUE!</v>
      </c>
      <c r="AW191" s="118" t="e">
        <f>3*AU191^2+AS182</f>
        <v>#VALUE!</v>
      </c>
      <c r="AX191" s="118" t="e">
        <f t="shared" si="69"/>
        <v>#VALUE!</v>
      </c>
      <c r="AY191" s="14" t="s">
        <v>246</v>
      </c>
      <c r="AZ191" s="124" t="e">
        <f>AT198*AV198^2/(8*AX196)</f>
        <v>#VALUE!</v>
      </c>
      <c r="BB191" s="271" t="e">
        <f>BB188*BD198*BC198/BC198</f>
        <v>#VALUE!</v>
      </c>
      <c r="BC191" s="272"/>
      <c r="BD191" s="118" t="e">
        <f t="shared" si="75"/>
        <v>#VALUE!</v>
      </c>
      <c r="BE191" s="118" t="e">
        <f>BD191^3+BB182*BD191+BC182</f>
        <v>#VALUE!</v>
      </c>
      <c r="BF191" s="118" t="e">
        <f>3*BD191^2+BB182</f>
        <v>#VALUE!</v>
      </c>
      <c r="BG191" s="118" t="e">
        <f t="shared" si="70"/>
        <v>#VALUE!</v>
      </c>
      <c r="BH191" s="14" t="s">
        <v>246</v>
      </c>
      <c r="BI191" s="124" t="e">
        <f>BC198*BE198^2/(8*BG196)</f>
        <v>#VALUE!</v>
      </c>
      <c r="BK191" s="271" t="e">
        <f>BK188*BM198*BL198/BL198</f>
        <v>#VALUE!</v>
      </c>
      <c r="BL191" s="272"/>
      <c r="BM191" s="118" t="e">
        <f t="shared" si="76"/>
        <v>#VALUE!</v>
      </c>
      <c r="BN191" s="118" t="e">
        <f>BM191^3+BK182*BM191+BL182</f>
        <v>#VALUE!</v>
      </c>
      <c r="BO191" s="118" t="e">
        <f>3*BM191^2+BK182</f>
        <v>#VALUE!</v>
      </c>
      <c r="BP191" s="118" t="e">
        <f t="shared" si="71"/>
        <v>#VALUE!</v>
      </c>
      <c r="BQ191" s="14" t="s">
        <v>246</v>
      </c>
      <c r="BR191" s="124" t="e">
        <f>BL198*BN198^2/(8*BP196)</f>
        <v>#VALUE!</v>
      </c>
      <c r="BT191" s="271" t="e">
        <f>BT188*BV198*BU198/BU198</f>
        <v>#VALUE!</v>
      </c>
      <c r="BU191" s="272"/>
      <c r="BV191" s="118" t="e">
        <f t="shared" si="77"/>
        <v>#VALUE!</v>
      </c>
      <c r="BW191" s="118" t="e">
        <f>BV191^3+BT182*BV191+BU182</f>
        <v>#VALUE!</v>
      </c>
      <c r="BX191" s="118" t="e">
        <f>3*BV191^2+BT182</f>
        <v>#VALUE!</v>
      </c>
      <c r="BY191" s="118" t="e">
        <f t="shared" si="72"/>
        <v>#VALUE!</v>
      </c>
      <c r="BZ191" s="14" t="s">
        <v>246</v>
      </c>
      <c r="CA191" s="124" t="e">
        <f>BU198*BW198^2/(8*BY196)</f>
        <v>#VALUE!</v>
      </c>
    </row>
    <row r="192" spans="36:79" ht="18" hidden="1" customHeight="1" x14ac:dyDescent="0.15">
      <c r="AJ192" s="125"/>
      <c r="AK192" s="126"/>
      <c r="AL192" s="118" t="e">
        <f t="shared" si="73"/>
        <v>#VALUE!</v>
      </c>
      <c r="AM192" s="118" t="e">
        <f>AL192^3+AJ182*AL192+AK182</f>
        <v>#VALUE!</v>
      </c>
      <c r="AN192" s="118" t="e">
        <f>3*AL192^2+AJ182</f>
        <v>#VALUE!</v>
      </c>
      <c r="AO192" s="118" t="e">
        <f t="shared" si="68"/>
        <v>#VALUE!</v>
      </c>
      <c r="AP192" s="116"/>
      <c r="AQ192" s="117"/>
      <c r="AS192" s="125"/>
      <c r="AT192" s="126"/>
      <c r="AU192" s="118" t="e">
        <f t="shared" si="74"/>
        <v>#VALUE!</v>
      </c>
      <c r="AV192" s="118" t="e">
        <f>AU192^3+AS182*AU192+AT182</f>
        <v>#VALUE!</v>
      </c>
      <c r="AW192" s="118" t="e">
        <f>3*AU192^2+AS182</f>
        <v>#VALUE!</v>
      </c>
      <c r="AX192" s="118" t="e">
        <f t="shared" si="69"/>
        <v>#VALUE!</v>
      </c>
      <c r="AY192" s="116"/>
      <c r="AZ192" s="117"/>
      <c r="BB192" s="125"/>
      <c r="BC192" s="126"/>
      <c r="BD192" s="118" t="e">
        <f t="shared" si="75"/>
        <v>#VALUE!</v>
      </c>
      <c r="BE192" s="118" t="e">
        <f>BD192^3+BB182*BD192+BC182</f>
        <v>#VALUE!</v>
      </c>
      <c r="BF192" s="118" t="e">
        <f>3*BD192^2+BB182</f>
        <v>#VALUE!</v>
      </c>
      <c r="BG192" s="118" t="e">
        <f t="shared" si="70"/>
        <v>#VALUE!</v>
      </c>
      <c r="BH192" s="116"/>
      <c r="BI192" s="117"/>
      <c r="BK192" s="125"/>
      <c r="BL192" s="126"/>
      <c r="BM192" s="118" t="e">
        <f t="shared" si="76"/>
        <v>#VALUE!</v>
      </c>
      <c r="BN192" s="118" t="e">
        <f>BM192^3+BK182*BM192+BL182</f>
        <v>#VALUE!</v>
      </c>
      <c r="BO192" s="118" t="e">
        <f>3*BM192^2+BK182</f>
        <v>#VALUE!</v>
      </c>
      <c r="BP192" s="118" t="e">
        <f t="shared" si="71"/>
        <v>#VALUE!</v>
      </c>
      <c r="BQ192" s="116"/>
      <c r="BR192" s="117"/>
      <c r="BT192" s="125"/>
      <c r="BU192" s="126"/>
      <c r="BV192" s="118" t="e">
        <f t="shared" si="77"/>
        <v>#VALUE!</v>
      </c>
      <c r="BW192" s="118" t="e">
        <f>BV192^3+BT182*BV192+BU182</f>
        <v>#VALUE!</v>
      </c>
      <c r="BX192" s="118" t="e">
        <f>3*BV192^2+BT182</f>
        <v>#VALUE!</v>
      </c>
      <c r="BY192" s="118" t="e">
        <f t="shared" si="72"/>
        <v>#VALUE!</v>
      </c>
      <c r="BZ192" s="116"/>
      <c r="CA192" s="117"/>
    </row>
    <row r="193" spans="36:79" ht="18" hidden="1" customHeight="1" x14ac:dyDescent="0.15">
      <c r="AJ193" s="125"/>
      <c r="AK193" s="126"/>
      <c r="AL193" s="118" t="e">
        <f t="shared" si="73"/>
        <v>#VALUE!</v>
      </c>
      <c r="AM193" s="118" t="e">
        <f>AL193^3+AJ182*AL193+AK182</f>
        <v>#VALUE!</v>
      </c>
      <c r="AN193" s="118" t="e">
        <f>3*AL193^2+AJ182</f>
        <v>#VALUE!</v>
      </c>
      <c r="AO193" s="118" t="e">
        <f t="shared" si="68"/>
        <v>#VALUE!</v>
      </c>
      <c r="AP193" s="112" t="s">
        <v>147</v>
      </c>
      <c r="AQ193" s="113">
        <v>60</v>
      </c>
      <c r="AS193" s="125"/>
      <c r="AT193" s="126"/>
      <c r="AU193" s="118" t="e">
        <f t="shared" si="74"/>
        <v>#VALUE!</v>
      </c>
      <c r="AV193" s="118" t="e">
        <f>AU193^3+AS182*AU193+AT182</f>
        <v>#VALUE!</v>
      </c>
      <c r="AW193" s="118" t="e">
        <f>3*AU193^2+AS182</f>
        <v>#VALUE!</v>
      </c>
      <c r="AX193" s="118" t="e">
        <f t="shared" si="69"/>
        <v>#VALUE!</v>
      </c>
      <c r="AY193" s="112" t="s">
        <v>147</v>
      </c>
      <c r="AZ193" s="113">
        <v>60</v>
      </c>
      <c r="BB193" s="125"/>
      <c r="BC193" s="126"/>
      <c r="BD193" s="118" t="e">
        <f t="shared" si="75"/>
        <v>#VALUE!</v>
      </c>
      <c r="BE193" s="118" t="e">
        <f>BD193^3+BB182*BD193+BC182</f>
        <v>#VALUE!</v>
      </c>
      <c r="BF193" s="118" t="e">
        <f>3*BD193^2+BB182</f>
        <v>#VALUE!</v>
      </c>
      <c r="BG193" s="118" t="e">
        <f t="shared" si="70"/>
        <v>#VALUE!</v>
      </c>
      <c r="BH193" s="112" t="s">
        <v>147</v>
      </c>
      <c r="BI193" s="113">
        <v>60</v>
      </c>
      <c r="BK193" s="125"/>
      <c r="BL193" s="126"/>
      <c r="BM193" s="118" t="e">
        <f t="shared" si="76"/>
        <v>#VALUE!</v>
      </c>
      <c r="BN193" s="118" t="e">
        <f>BM193^3+BK182*BM193+BL182</f>
        <v>#VALUE!</v>
      </c>
      <c r="BO193" s="118" t="e">
        <f>3*BM193^2+BK182</f>
        <v>#VALUE!</v>
      </c>
      <c r="BP193" s="118" t="e">
        <f t="shared" si="71"/>
        <v>#VALUE!</v>
      </c>
      <c r="BQ193" s="112" t="s">
        <v>147</v>
      </c>
      <c r="BR193" s="113">
        <v>60</v>
      </c>
      <c r="BT193" s="125"/>
      <c r="BU193" s="126"/>
      <c r="BV193" s="118" t="e">
        <f t="shared" si="77"/>
        <v>#VALUE!</v>
      </c>
      <c r="BW193" s="118" t="e">
        <f>BV193^3+BT182*BV193+BU182</f>
        <v>#VALUE!</v>
      </c>
      <c r="BX193" s="118" t="e">
        <f>3*BV193^2+BT182</f>
        <v>#VALUE!</v>
      </c>
      <c r="BY193" s="118" t="e">
        <f t="shared" si="72"/>
        <v>#VALUE!</v>
      </c>
      <c r="BZ193" s="112" t="s">
        <v>147</v>
      </c>
      <c r="CA193" s="113">
        <v>60</v>
      </c>
    </row>
    <row r="194" spans="36:79" ht="18" hidden="1" customHeight="1" x14ac:dyDescent="0.15">
      <c r="AJ194" s="125"/>
      <c r="AK194" s="126"/>
      <c r="AL194" s="118" t="e">
        <f t="shared" si="73"/>
        <v>#VALUE!</v>
      </c>
      <c r="AM194" s="118" t="e">
        <f>AL194^3+AJ182*AL194+AK182</f>
        <v>#VALUE!</v>
      </c>
      <c r="AN194" s="118" t="e">
        <f>3*AL194^2+AJ182</f>
        <v>#VALUE!</v>
      </c>
      <c r="AO194" s="118" t="e">
        <f t="shared" si="68"/>
        <v>#VALUE!</v>
      </c>
      <c r="AP194" s="128" t="s">
        <v>218</v>
      </c>
      <c r="AQ194" s="32"/>
      <c r="AS194" s="125"/>
      <c r="AT194" s="126"/>
      <c r="AU194" s="118" t="e">
        <f t="shared" si="74"/>
        <v>#VALUE!</v>
      </c>
      <c r="AV194" s="118" t="e">
        <f>AU194^3+AS182*AU194+AT182</f>
        <v>#VALUE!</v>
      </c>
      <c r="AW194" s="118" t="e">
        <f>3*AU194^2+AS182</f>
        <v>#VALUE!</v>
      </c>
      <c r="AX194" s="118" t="e">
        <f t="shared" si="69"/>
        <v>#VALUE!</v>
      </c>
      <c r="AY194" s="128" t="s">
        <v>219</v>
      </c>
      <c r="AZ194" s="32"/>
      <c r="BB194" s="125"/>
      <c r="BC194" s="126"/>
      <c r="BD194" s="118" t="e">
        <f t="shared" si="75"/>
        <v>#VALUE!</v>
      </c>
      <c r="BE194" s="118" t="e">
        <f>BD194^3+BB182*BD194+BC182</f>
        <v>#VALUE!</v>
      </c>
      <c r="BF194" s="118" t="e">
        <f>3*BD194^2+BB182</f>
        <v>#VALUE!</v>
      </c>
      <c r="BG194" s="118" t="e">
        <f t="shared" si="70"/>
        <v>#VALUE!</v>
      </c>
      <c r="BH194" s="128" t="s">
        <v>220</v>
      </c>
      <c r="BI194" s="32"/>
      <c r="BK194" s="125"/>
      <c r="BL194" s="126"/>
      <c r="BM194" s="118" t="e">
        <f t="shared" si="76"/>
        <v>#VALUE!</v>
      </c>
      <c r="BN194" s="118" t="e">
        <f>BM194^3+BK182*BM194+BL182</f>
        <v>#VALUE!</v>
      </c>
      <c r="BO194" s="118" t="e">
        <f>3*BM194^2+BK182</f>
        <v>#VALUE!</v>
      </c>
      <c r="BP194" s="118" t="e">
        <f t="shared" si="71"/>
        <v>#VALUE!</v>
      </c>
      <c r="BQ194" s="128" t="s">
        <v>221</v>
      </c>
      <c r="BR194" s="32"/>
      <c r="BT194" s="125"/>
      <c r="BU194" s="126"/>
      <c r="BV194" s="118" t="e">
        <f t="shared" si="77"/>
        <v>#VALUE!</v>
      </c>
      <c r="BW194" s="118" t="e">
        <f>BV194^3+BT182*BV194+BU182</f>
        <v>#VALUE!</v>
      </c>
      <c r="BX194" s="118" t="e">
        <f>3*BV194^2+BT182</f>
        <v>#VALUE!</v>
      </c>
      <c r="BY194" s="118" t="e">
        <f t="shared" si="72"/>
        <v>#VALUE!</v>
      </c>
      <c r="BZ194" s="128" t="s">
        <v>222</v>
      </c>
      <c r="CA194" s="32"/>
    </row>
    <row r="195" spans="36:79" ht="18" hidden="1" customHeight="1" x14ac:dyDescent="0.15">
      <c r="AJ195" s="125"/>
      <c r="AK195" s="126"/>
      <c r="AL195" s="18" t="e">
        <f t="shared" si="73"/>
        <v>#VALUE!</v>
      </c>
      <c r="AM195" s="18" t="e">
        <f>AL195^3+AJ182*AL195+AK182</f>
        <v>#VALUE!</v>
      </c>
      <c r="AN195" s="18" t="e">
        <f>3*AL195^2+AJ182</f>
        <v>#VALUE!</v>
      </c>
      <c r="AO195" s="18" t="e">
        <f t="shared" si="68"/>
        <v>#VALUE!</v>
      </c>
      <c r="AP195" s="273" t="str">
        <f>M57</f>
        <v>無 風 時　60[℃]</v>
      </c>
      <c r="AQ195" s="274"/>
      <c r="AS195" s="125"/>
      <c r="AT195" s="126"/>
      <c r="AU195" s="18" t="e">
        <f t="shared" si="74"/>
        <v>#VALUE!</v>
      </c>
      <c r="AV195" s="18" t="e">
        <f>AU195^3+AS182*AU195+AT182</f>
        <v>#VALUE!</v>
      </c>
      <c r="AW195" s="18" t="e">
        <f>3*AU195^2+AS182</f>
        <v>#VALUE!</v>
      </c>
      <c r="AX195" s="18" t="e">
        <f t="shared" si="69"/>
        <v>#VALUE!</v>
      </c>
      <c r="AY195" s="273" t="str">
        <f>M57</f>
        <v>無 風 時　60[℃]</v>
      </c>
      <c r="AZ195" s="274"/>
      <c r="BB195" s="125"/>
      <c r="BC195" s="126"/>
      <c r="BD195" s="18" t="e">
        <f t="shared" si="75"/>
        <v>#VALUE!</v>
      </c>
      <c r="BE195" s="18" t="e">
        <f>BD195^3+BB182*BD195+BC182</f>
        <v>#VALUE!</v>
      </c>
      <c r="BF195" s="18" t="e">
        <f>3*BD195^2+BB182</f>
        <v>#VALUE!</v>
      </c>
      <c r="BG195" s="18" t="e">
        <f t="shared" si="70"/>
        <v>#VALUE!</v>
      </c>
      <c r="BH195" s="273" t="str">
        <f>M57</f>
        <v>無 風 時　60[℃]</v>
      </c>
      <c r="BI195" s="274"/>
      <c r="BK195" s="125"/>
      <c r="BL195" s="126"/>
      <c r="BM195" s="18" t="e">
        <f t="shared" si="76"/>
        <v>#VALUE!</v>
      </c>
      <c r="BN195" s="18" t="e">
        <f>BM195^3+BK182*BM195+BL182</f>
        <v>#VALUE!</v>
      </c>
      <c r="BO195" s="18" t="e">
        <f>3*BM195^2+BK182</f>
        <v>#VALUE!</v>
      </c>
      <c r="BP195" s="18" t="e">
        <f t="shared" si="71"/>
        <v>#VALUE!</v>
      </c>
      <c r="BQ195" s="273" t="str">
        <f>M57</f>
        <v>無 風 時　60[℃]</v>
      </c>
      <c r="BR195" s="274"/>
      <c r="BT195" s="125"/>
      <c r="BU195" s="126"/>
      <c r="BV195" s="18" t="e">
        <f t="shared" si="77"/>
        <v>#VALUE!</v>
      </c>
      <c r="BW195" s="18" t="e">
        <f>BV195^3+BT182*BV195+BU182</f>
        <v>#VALUE!</v>
      </c>
      <c r="BX195" s="18" t="e">
        <f>3*BV195^2+BT182</f>
        <v>#VALUE!</v>
      </c>
      <c r="BY195" s="18" t="e">
        <f t="shared" si="72"/>
        <v>#VALUE!</v>
      </c>
      <c r="BZ195" s="273" t="str">
        <f>M57</f>
        <v>無 風 時　60[℃]</v>
      </c>
      <c r="CA195" s="274"/>
    </row>
    <row r="196" spans="36:79" ht="18" hidden="1" customHeight="1" thickBot="1" x14ac:dyDescent="0.2">
      <c r="AJ196" s="125"/>
      <c r="AK196" s="126"/>
      <c r="AL196" s="114" t="e">
        <f t="shared" si="73"/>
        <v>#VALUE!</v>
      </c>
      <c r="AM196" s="115" t="e">
        <f>AL196^3+AJ182*AL196+AK182</f>
        <v>#VALUE!</v>
      </c>
      <c r="AN196" s="115" t="e">
        <f>3*AL196^2+AJ182</f>
        <v>#VALUE!</v>
      </c>
      <c r="AO196" s="115" t="e">
        <f t="shared" si="68"/>
        <v>#VALUE!</v>
      </c>
      <c r="AP196" s="275"/>
      <c r="AQ196" s="276"/>
      <c r="AS196" s="125"/>
      <c r="AT196" s="126"/>
      <c r="AU196" s="114" t="e">
        <f t="shared" si="74"/>
        <v>#VALUE!</v>
      </c>
      <c r="AV196" s="115" t="e">
        <f>AU196^3+AS182*AU196+AT182</f>
        <v>#VALUE!</v>
      </c>
      <c r="AW196" s="115" t="e">
        <f>3*AU196^2+AS182</f>
        <v>#VALUE!</v>
      </c>
      <c r="AX196" s="115" t="e">
        <f t="shared" si="69"/>
        <v>#VALUE!</v>
      </c>
      <c r="AY196" s="275"/>
      <c r="AZ196" s="276"/>
      <c r="BB196" s="125"/>
      <c r="BC196" s="126"/>
      <c r="BD196" s="114" t="e">
        <f t="shared" si="75"/>
        <v>#VALUE!</v>
      </c>
      <c r="BE196" s="115" t="e">
        <f>BD196^3+BB182*BD196+BC182</f>
        <v>#VALUE!</v>
      </c>
      <c r="BF196" s="115" t="e">
        <f>3*BD196^2+BB182</f>
        <v>#VALUE!</v>
      </c>
      <c r="BG196" s="115" t="e">
        <f t="shared" si="70"/>
        <v>#VALUE!</v>
      </c>
      <c r="BH196" s="275"/>
      <c r="BI196" s="276"/>
      <c r="BK196" s="125"/>
      <c r="BL196" s="126"/>
      <c r="BM196" s="114" t="e">
        <f t="shared" si="76"/>
        <v>#VALUE!</v>
      </c>
      <c r="BN196" s="115" t="e">
        <f>BM196^3+BK182*BM196+BL182</f>
        <v>#VALUE!</v>
      </c>
      <c r="BO196" s="115" t="e">
        <f>3*BM196^2+BK182</f>
        <v>#VALUE!</v>
      </c>
      <c r="BP196" s="115" t="e">
        <f t="shared" si="71"/>
        <v>#VALUE!</v>
      </c>
      <c r="BQ196" s="275"/>
      <c r="BR196" s="276"/>
      <c r="BT196" s="125"/>
      <c r="BU196" s="126"/>
      <c r="BV196" s="114" t="e">
        <f t="shared" si="77"/>
        <v>#VALUE!</v>
      </c>
      <c r="BW196" s="115" t="e">
        <f>BV196^3+BT182*BV196+BU182</f>
        <v>#VALUE!</v>
      </c>
      <c r="BX196" s="115" t="e">
        <f>3*BV196^2+BT182</f>
        <v>#VALUE!</v>
      </c>
      <c r="BY196" s="115" t="e">
        <f t="shared" si="72"/>
        <v>#VALUE!</v>
      </c>
      <c r="BZ196" s="275"/>
      <c r="CA196" s="276"/>
    </row>
    <row r="197" spans="36:79" ht="18" hidden="1" customHeight="1" x14ac:dyDescent="0.15">
      <c r="AJ197" s="62"/>
      <c r="AK197" s="12" t="s">
        <v>224</v>
      </c>
      <c r="AL197" s="12" t="s">
        <v>225</v>
      </c>
      <c r="AM197" s="12" t="s">
        <v>226</v>
      </c>
      <c r="AN197" s="12" t="s">
        <v>227</v>
      </c>
      <c r="AO197" s="63" t="s">
        <v>228</v>
      </c>
      <c r="AP197" s="12" t="s">
        <v>229</v>
      </c>
      <c r="AQ197" s="13" t="s">
        <v>230</v>
      </c>
      <c r="AS197" s="62"/>
      <c r="AT197" s="12" t="s">
        <v>224</v>
      </c>
      <c r="AU197" s="12" t="s">
        <v>225</v>
      </c>
      <c r="AV197" s="12" t="s">
        <v>226</v>
      </c>
      <c r="AW197" s="12" t="s">
        <v>227</v>
      </c>
      <c r="AX197" s="63" t="s">
        <v>228</v>
      </c>
      <c r="AY197" s="12" t="s">
        <v>229</v>
      </c>
      <c r="AZ197" s="13" t="s">
        <v>230</v>
      </c>
      <c r="BB197" s="62"/>
      <c r="BC197" s="12" t="s">
        <v>224</v>
      </c>
      <c r="BD197" s="12" t="s">
        <v>225</v>
      </c>
      <c r="BE197" s="12" t="s">
        <v>226</v>
      </c>
      <c r="BF197" s="12" t="s">
        <v>227</v>
      </c>
      <c r="BG197" s="63" t="s">
        <v>228</v>
      </c>
      <c r="BH197" s="12" t="s">
        <v>229</v>
      </c>
      <c r="BI197" s="13" t="s">
        <v>230</v>
      </c>
      <c r="BK197" s="62"/>
      <c r="BL197" s="12" t="s">
        <v>224</v>
      </c>
      <c r="BM197" s="12" t="s">
        <v>225</v>
      </c>
      <c r="BN197" s="12" t="s">
        <v>226</v>
      </c>
      <c r="BO197" s="12" t="s">
        <v>227</v>
      </c>
      <c r="BP197" s="63" t="s">
        <v>228</v>
      </c>
      <c r="BQ197" s="12" t="s">
        <v>229</v>
      </c>
      <c r="BR197" s="13" t="s">
        <v>230</v>
      </c>
      <c r="BT197" s="62"/>
      <c r="BU197" s="12" t="s">
        <v>224</v>
      </c>
      <c r="BV197" s="12" t="s">
        <v>225</v>
      </c>
      <c r="BW197" s="12" t="s">
        <v>226</v>
      </c>
      <c r="BX197" s="12" t="s">
        <v>227</v>
      </c>
      <c r="BY197" s="63" t="s">
        <v>228</v>
      </c>
      <c r="BZ197" s="12" t="s">
        <v>229</v>
      </c>
      <c r="CA197" s="13" t="s">
        <v>230</v>
      </c>
    </row>
    <row r="198" spans="36:79" ht="18" hidden="1" customHeight="1" thickBot="1" x14ac:dyDescent="0.2">
      <c r="AJ198" s="107"/>
      <c r="AK198" s="108" t="e">
        <f>M23+U23</f>
        <v>#VALUE!</v>
      </c>
      <c r="AL198" s="108">
        <f>IF(C33="",L19*(F19/40)^2,C33)</f>
        <v>0</v>
      </c>
      <c r="AM198" s="108">
        <f>F19</f>
        <v>0</v>
      </c>
      <c r="AN198" s="108" t="e">
        <f>AK78*1600/(8*L19)</f>
        <v>#VALUE!</v>
      </c>
      <c r="AO198" s="109">
        <f>V23</f>
        <v>0</v>
      </c>
      <c r="AP198" s="108" t="str">
        <f>L23</f>
        <v/>
      </c>
      <c r="AQ198" s="110">
        <f>W23</f>
        <v>0</v>
      </c>
      <c r="AS198" s="107"/>
      <c r="AT198" s="108" t="str">
        <f>IF(B24="使用電線-2",M24+U24,IF(B25="使用電線-2",M25+U25,IF(B26="使用電線-2",M26+U26,IF(B27="使用電線-2",M27+U27,IF(B28="使用電線-2",M28+U28,IF(B29="使用電線-2",M29+U29,""))))))</f>
        <v/>
      </c>
      <c r="AU198" s="108">
        <f>IF(I33="",L19*(F19/40)^2,I33)</f>
        <v>0</v>
      </c>
      <c r="AV198" s="108">
        <f>F19</f>
        <v>0</v>
      </c>
      <c r="AW198" s="108" t="e">
        <f>AT198*1600/(8*L19)</f>
        <v>#VALUE!</v>
      </c>
      <c r="AX198" s="109" t="str">
        <f>IF(B24="使用電線-2",V24,IF(B25="使用電線-2",V25,IF(B26="使用電線-2",V26,IF(B27="使用電線-2",V27,IF(B28="使用電線-2",V28,IF(B29="使用電線-2",V29,""))))))</f>
        <v/>
      </c>
      <c r="AY198" s="108" t="str">
        <f>IF(B24="使用電線-2",L24,IF(B25="使用電線-2",L25,IF(B26="使用電線-2",L26,IF(B27="使用電線-2",L27,IF(B28="使用電線-2",L28,IF(B29="使用電線-2",L29,""))))))</f>
        <v/>
      </c>
      <c r="AZ198" s="110" t="str">
        <f>IF(B24="使用電線-2",W24,IF(B25="使用電線-2",W25,IF(B26="使用電線-2",W26,IF(B27="使用電線-2",W27,IF(B28="使用電線-2",W28,IF(B29="使用電線-2",W29,""))))))</f>
        <v/>
      </c>
      <c r="BB198" s="107"/>
      <c r="BC198" s="108" t="str">
        <f>IF(B25="使用電線-3",M25+U25,IF(B26="使用電線-3",M26+U26,IF(B27="使用電線-3",M27+U27,IF(B28="使用電線-3",M28+U28,IF(B29="使用電線-3",M29+U29,"")))))</f>
        <v/>
      </c>
      <c r="BD198" s="108">
        <f>IF(N33="",L19*(F19/40)^2,N33)</f>
        <v>0</v>
      </c>
      <c r="BE198" s="108">
        <f>F19</f>
        <v>0</v>
      </c>
      <c r="BF198" s="108" t="e">
        <f>BC198*1600/(8*L19)</f>
        <v>#VALUE!</v>
      </c>
      <c r="BG198" s="109" t="str">
        <f>IF(B25="使用電線-3",V25,IF(B26="使用電線-3",V26,IF(B27="使用電線-3",V27,IF(B28="使用電線-3",V28,IF(B29="使用電線-3",V29,"")))))</f>
        <v/>
      </c>
      <c r="BH198" s="108" t="str">
        <f>IF(B25="使用電線-3",L25,IF(B26="使用電線-3",L26,IF(B27="使用電線-3",L27,IF(B28="使用電線-3",L28,IF(B29="使用電線-3",L29,"")))))</f>
        <v/>
      </c>
      <c r="BI198" s="110" t="str">
        <f>IF(B25="使用電線-3",W25,IF(B26="使用電線-3",W26,IF(B27="使用電線-3",W27,IF(B28="使用電線-3",W28,IF(B29="使用電線-3",W29,"")))))</f>
        <v/>
      </c>
      <c r="BK198" s="107"/>
      <c r="BL198" s="108" t="str">
        <f>IF(B26="使用電線-4",M26+U26,IF(B27="使用電線-4",M27+U27,IF(B28="使用電線-4",M28+U28,IF(B29="使用電線-4",M29+U29,""))))</f>
        <v/>
      </c>
      <c r="BM198" s="108">
        <f>IF(C47="",L19*(F19/40)^2,C47)</f>
        <v>0</v>
      </c>
      <c r="BN198" s="108">
        <f>F19</f>
        <v>0</v>
      </c>
      <c r="BO198" s="127" t="e">
        <f>BL198*1600/(8*L19)</f>
        <v>#VALUE!</v>
      </c>
      <c r="BP198" s="109" t="str">
        <f>IF(B26="使用電線-4",V26,IF(B27="使用電線-4",V27,IF(B28="使用電線-4",V28,IF(B29="使用電線-4",V29,""))))</f>
        <v/>
      </c>
      <c r="BQ198" s="108" t="str">
        <f>IF(B26="使用電線-4",L26,IF(B27="使用電線-4",L27,IF(B28="使用電線-4",L28,IF(B29="使用電線-4",L29,""))))</f>
        <v/>
      </c>
      <c r="BR198" s="110" t="str">
        <f>IF(B26="使用電線-4",W26,IF(B27="使用電線-4",W27,IF(B28="使用電線-4",W28,IF(B29="使用電線-4",W29,""))))</f>
        <v/>
      </c>
      <c r="BT198" s="107"/>
      <c r="BU198" s="108" t="str">
        <f>IF(B27="使用電線-5",M27+U27,IF(B28="使用電線-5",M28+U28,IF(B29="使用電線-5",M29+U29,"")))</f>
        <v/>
      </c>
      <c r="BV198" s="108">
        <f>IF(I47="",L19*(F19/40)^2,I47)</f>
        <v>0</v>
      </c>
      <c r="BW198" s="108">
        <f>F19</f>
        <v>0</v>
      </c>
      <c r="BX198" s="127" t="e">
        <f>BU198*1600/(8*L19)</f>
        <v>#VALUE!</v>
      </c>
      <c r="BY198" s="109" t="str">
        <f>IF(B27="使用電線-5",V27,IF(B28="使用電線-5",V28,IF(B29="使用電線-5",V29,"")))</f>
        <v/>
      </c>
      <c r="BZ198" s="108" t="str">
        <f>IF(B27="使用電線-5",L27,IF(B28="使用電線-5",L28,IF(B29="使用電線-5",L29,"")))</f>
        <v/>
      </c>
      <c r="CA198" s="110" t="str">
        <f>IF(B27="使用電線-5",W27,IF(B28="使用電線-5",W28,IF(B29="使用電線-5",W29,"")))</f>
        <v/>
      </c>
    </row>
    <row r="199" spans="36:79" ht="18" hidden="1" customHeight="1" x14ac:dyDescent="0.15"/>
    <row r="200" spans="36:79" ht="18" hidden="1" customHeight="1" thickBot="1" x14ac:dyDescent="0.2"/>
    <row r="201" spans="36:79" ht="18" hidden="1" customHeight="1" x14ac:dyDescent="0.15">
      <c r="AJ201" s="2" t="s">
        <v>232</v>
      </c>
      <c r="AK201" s="111" t="s">
        <v>233</v>
      </c>
      <c r="AL201" s="12" t="s">
        <v>234</v>
      </c>
      <c r="AM201" s="12" t="s">
        <v>235</v>
      </c>
      <c r="AN201" s="12" t="s">
        <v>236</v>
      </c>
      <c r="AO201" s="12" t="s">
        <v>237</v>
      </c>
      <c r="AP201" s="12" t="s">
        <v>238</v>
      </c>
      <c r="AQ201" s="13" t="s">
        <v>239</v>
      </c>
      <c r="AS201" s="2" t="s">
        <v>232</v>
      </c>
      <c r="AT201" s="111" t="s">
        <v>233</v>
      </c>
      <c r="AU201" s="12" t="s">
        <v>234</v>
      </c>
      <c r="AV201" s="12" t="s">
        <v>235</v>
      </c>
      <c r="AW201" s="12" t="s">
        <v>236</v>
      </c>
      <c r="AX201" s="12" t="s">
        <v>237</v>
      </c>
      <c r="AY201" s="12" t="s">
        <v>238</v>
      </c>
      <c r="AZ201" s="13" t="s">
        <v>239</v>
      </c>
      <c r="BB201" s="2" t="s">
        <v>232</v>
      </c>
      <c r="BC201" s="111" t="s">
        <v>233</v>
      </c>
      <c r="BD201" s="12" t="s">
        <v>234</v>
      </c>
      <c r="BE201" s="12" t="s">
        <v>235</v>
      </c>
      <c r="BF201" s="12" t="s">
        <v>236</v>
      </c>
      <c r="BG201" s="12" t="s">
        <v>237</v>
      </c>
      <c r="BH201" s="12" t="s">
        <v>238</v>
      </c>
      <c r="BI201" s="13" t="s">
        <v>239</v>
      </c>
      <c r="BK201" s="2" t="s">
        <v>232</v>
      </c>
      <c r="BL201" s="111" t="s">
        <v>233</v>
      </c>
      <c r="BM201" s="12" t="s">
        <v>234</v>
      </c>
      <c r="BN201" s="12" t="s">
        <v>235</v>
      </c>
      <c r="BO201" s="12" t="s">
        <v>236</v>
      </c>
      <c r="BP201" s="12" t="s">
        <v>237</v>
      </c>
      <c r="BQ201" s="12" t="s">
        <v>238</v>
      </c>
      <c r="BR201" s="13" t="s">
        <v>239</v>
      </c>
      <c r="BT201" s="2" t="s">
        <v>232</v>
      </c>
      <c r="BU201" s="111" t="s">
        <v>233</v>
      </c>
      <c r="BV201" s="12" t="s">
        <v>234</v>
      </c>
      <c r="BW201" s="12" t="s">
        <v>235</v>
      </c>
      <c r="BX201" s="12" t="s">
        <v>236</v>
      </c>
      <c r="BY201" s="12" t="s">
        <v>237</v>
      </c>
      <c r="BZ201" s="12" t="s">
        <v>238</v>
      </c>
      <c r="CA201" s="13" t="s">
        <v>239</v>
      </c>
    </row>
    <row r="202" spans="36:79" ht="18" hidden="1" customHeight="1" x14ac:dyDescent="0.15">
      <c r="AJ202" s="16" t="e">
        <f>-AJ205+AJ208</f>
        <v>#VALUE!</v>
      </c>
      <c r="AK202" s="17" t="e">
        <f>-AJ211</f>
        <v>#VALUE!</v>
      </c>
      <c r="AL202" s="18" t="e">
        <f>IF(AND(AP205&lt;0,AQ205&lt;0),AQ202*1.2,IF(AND(AP205&gt;0,AQ205&gt;0),AP202*0.8,10))</f>
        <v>#VALUE!</v>
      </c>
      <c r="AM202" s="18" t="e">
        <f>AL202^3+AJ202*AL202+AK202</f>
        <v>#VALUE!</v>
      </c>
      <c r="AN202" s="18" t="e">
        <f>3*AL202^2+AJ202</f>
        <v>#VALUE!</v>
      </c>
      <c r="AO202" s="18" t="e">
        <f t="shared" ref="AO202:AO216" si="78">AL202-AM202/AN202</f>
        <v>#VALUE!</v>
      </c>
      <c r="AP202" s="18" t="e">
        <f>-SQRT(ABS(-4*3*AJ202))/6</f>
        <v>#VALUE!</v>
      </c>
      <c r="AQ202" s="19" t="e">
        <f>SQRT(ABS(-4*3*AJ202))/6</f>
        <v>#VALUE!</v>
      </c>
      <c r="AS202" s="16" t="e">
        <f>-AS205+AS208</f>
        <v>#VALUE!</v>
      </c>
      <c r="AT202" s="17" t="e">
        <f>-AS211</f>
        <v>#VALUE!</v>
      </c>
      <c r="AU202" s="18" t="e">
        <f>IF(AND(AY205&lt;0,AZ205&lt;0),AZ202*1.2,IF(AND(AY205&gt;0,AZ205&gt;0),AY202*0.8,10))</f>
        <v>#VALUE!</v>
      </c>
      <c r="AV202" s="18" t="e">
        <f>AU202^3+AS202*AU202+AT202</f>
        <v>#VALUE!</v>
      </c>
      <c r="AW202" s="18" t="e">
        <f>3*AU202^2+AS202</f>
        <v>#VALUE!</v>
      </c>
      <c r="AX202" s="18" t="e">
        <f t="shared" ref="AX202:AX216" si="79">AU202-AV202/AW202</f>
        <v>#VALUE!</v>
      </c>
      <c r="AY202" s="18" t="e">
        <f>-SQRT(ABS(-4*3*AS202))/6</f>
        <v>#VALUE!</v>
      </c>
      <c r="AZ202" s="19" t="e">
        <f>SQRT(ABS(-4*3*AS202))/6</f>
        <v>#VALUE!</v>
      </c>
      <c r="BB202" s="16" t="e">
        <f>-BB205+BB208</f>
        <v>#VALUE!</v>
      </c>
      <c r="BC202" s="17" t="e">
        <f>-BB211</f>
        <v>#VALUE!</v>
      </c>
      <c r="BD202" s="18" t="e">
        <f>IF(AND(BH205&lt;0,BI205&lt;0),BI202*1.2,IF(AND(BH205&gt;0,BI205&gt;0),BH202*0.8,10))</f>
        <v>#VALUE!</v>
      </c>
      <c r="BE202" s="18" t="e">
        <f>BD202^3+BB202*BD202+BC202</f>
        <v>#VALUE!</v>
      </c>
      <c r="BF202" s="18" t="e">
        <f>3*BD202^2+BB202</f>
        <v>#VALUE!</v>
      </c>
      <c r="BG202" s="18" t="e">
        <f t="shared" ref="BG202:BG216" si="80">BD202-BE202/BF202</f>
        <v>#VALUE!</v>
      </c>
      <c r="BH202" s="18" t="e">
        <f>-SQRT(ABS(-4*3*BB202))/6</f>
        <v>#VALUE!</v>
      </c>
      <c r="BI202" s="19" t="e">
        <f>SQRT(ABS(-4*3*BB202))/6</f>
        <v>#VALUE!</v>
      </c>
      <c r="BK202" s="16" t="e">
        <f>-BK205+BK208</f>
        <v>#VALUE!</v>
      </c>
      <c r="BL202" s="17" t="e">
        <f>-BK211</f>
        <v>#VALUE!</v>
      </c>
      <c r="BM202" s="18" t="e">
        <f>IF(AND(BQ205&lt;0,BR205&lt;0),BR202*1.2,IF(AND(BQ205&gt;0,BR205&gt;0),BQ202*0.8,10))</f>
        <v>#VALUE!</v>
      </c>
      <c r="BN202" s="18" t="e">
        <f>BM202^3+BK202*BM202+BL202</f>
        <v>#VALUE!</v>
      </c>
      <c r="BO202" s="18" t="e">
        <f>3*BM202^2+BK202</f>
        <v>#VALUE!</v>
      </c>
      <c r="BP202" s="18" t="e">
        <f t="shared" ref="BP202:BP216" si="81">BM202-BN202/BO202</f>
        <v>#VALUE!</v>
      </c>
      <c r="BQ202" s="18" t="e">
        <f>-SQRT(ABS(-4*3*BK202))/6</f>
        <v>#VALUE!</v>
      </c>
      <c r="BR202" s="19" t="e">
        <f>SQRT(ABS(-4*3*BK202))/6</f>
        <v>#VALUE!</v>
      </c>
      <c r="BT202" s="16" t="e">
        <f>-BT205+BT208</f>
        <v>#VALUE!</v>
      </c>
      <c r="BU202" s="17" t="e">
        <f>-BT211</f>
        <v>#VALUE!</v>
      </c>
      <c r="BV202" s="18" t="e">
        <f>IF(AND(BZ205&lt;0,CA205&lt;0),CA202*1.2,IF(AND(BZ205&gt;0,CA205&gt;0),BZ202*0.8,10))</f>
        <v>#VALUE!</v>
      </c>
      <c r="BW202" s="18" t="e">
        <f>BV202^3+BT202*BV202+BU202</f>
        <v>#VALUE!</v>
      </c>
      <c r="BX202" s="18" t="e">
        <f>3*BV202^2+BT202</f>
        <v>#VALUE!</v>
      </c>
      <c r="BY202" s="18" t="e">
        <f t="shared" ref="BY202:BY216" si="82">BV202-BW202/BX202</f>
        <v>#VALUE!</v>
      </c>
      <c r="BZ202" s="18" t="e">
        <f>-SQRT(ABS(-4*3*BT202))/6</f>
        <v>#VALUE!</v>
      </c>
      <c r="CA202" s="19" t="e">
        <f>SQRT(ABS(-4*3*BT202))/6</f>
        <v>#VALUE!</v>
      </c>
    </row>
    <row r="203" spans="36:79" ht="18" hidden="1" customHeight="1" x14ac:dyDescent="0.15">
      <c r="AJ203" s="267"/>
      <c r="AK203" s="268"/>
      <c r="AL203" s="18" t="e">
        <f t="shared" ref="AL203:AL216" si="83">AO202</f>
        <v>#VALUE!</v>
      </c>
      <c r="AM203" s="18" t="e">
        <f>AL203^3+AJ202*AL203+AK202</f>
        <v>#VALUE!</v>
      </c>
      <c r="AN203" s="18" t="e">
        <f>3*AL203^2+AJ202</f>
        <v>#VALUE!</v>
      </c>
      <c r="AO203" s="18" t="e">
        <f t="shared" si="78"/>
        <v>#VALUE!</v>
      </c>
      <c r="AP203" s="6"/>
      <c r="AQ203" s="7"/>
      <c r="AS203" s="267"/>
      <c r="AT203" s="268"/>
      <c r="AU203" s="18" t="e">
        <f t="shared" ref="AU203:AU216" si="84">AX202</f>
        <v>#VALUE!</v>
      </c>
      <c r="AV203" s="18" t="e">
        <f>AU203^3+AS202*AU203+AT202</f>
        <v>#VALUE!</v>
      </c>
      <c r="AW203" s="18" t="e">
        <f>3*AU203^2+AS202</f>
        <v>#VALUE!</v>
      </c>
      <c r="AX203" s="18" t="e">
        <f t="shared" si="79"/>
        <v>#VALUE!</v>
      </c>
      <c r="AY203" s="6"/>
      <c r="AZ203" s="7"/>
      <c r="BB203" s="267"/>
      <c r="BC203" s="268"/>
      <c r="BD203" s="18" t="e">
        <f t="shared" ref="BD203:BD216" si="85">BG202</f>
        <v>#VALUE!</v>
      </c>
      <c r="BE203" s="18" t="e">
        <f>BD203^3+BB202*BD203+BC202</f>
        <v>#VALUE!</v>
      </c>
      <c r="BF203" s="18" t="e">
        <f>3*BD203^2+BB202</f>
        <v>#VALUE!</v>
      </c>
      <c r="BG203" s="18" t="e">
        <f t="shared" si="80"/>
        <v>#VALUE!</v>
      </c>
      <c r="BH203" s="6"/>
      <c r="BI203" s="7"/>
      <c r="BK203" s="267"/>
      <c r="BL203" s="268"/>
      <c r="BM203" s="18" t="e">
        <f t="shared" ref="BM203:BM216" si="86">BP202</f>
        <v>#VALUE!</v>
      </c>
      <c r="BN203" s="18" t="e">
        <f>BM203^3+BK202*BM203+BL202</f>
        <v>#VALUE!</v>
      </c>
      <c r="BO203" s="18" t="e">
        <f>3*BM203^2+BK202</f>
        <v>#VALUE!</v>
      </c>
      <c r="BP203" s="18" t="e">
        <f t="shared" si="81"/>
        <v>#VALUE!</v>
      </c>
      <c r="BQ203" s="6"/>
      <c r="BR203" s="7"/>
      <c r="BT203" s="267"/>
      <c r="BU203" s="268"/>
      <c r="BV203" s="18" t="e">
        <f t="shared" ref="BV203:BV216" si="87">BY202</f>
        <v>#VALUE!</v>
      </c>
      <c r="BW203" s="18" t="e">
        <f>BV203^3+BT202*BV203+BU202</f>
        <v>#VALUE!</v>
      </c>
      <c r="BX203" s="18" t="e">
        <f>3*BV203^2+BT202</f>
        <v>#VALUE!</v>
      </c>
      <c r="BY203" s="18" t="e">
        <f t="shared" si="82"/>
        <v>#VALUE!</v>
      </c>
      <c r="BZ203" s="6"/>
      <c r="CA203" s="7"/>
    </row>
    <row r="204" spans="36:79" ht="18" hidden="1" customHeight="1" x14ac:dyDescent="0.15">
      <c r="AJ204" s="269" t="s">
        <v>240</v>
      </c>
      <c r="AK204" s="270"/>
      <c r="AL204" s="18" t="e">
        <f t="shared" si="83"/>
        <v>#VALUE!</v>
      </c>
      <c r="AM204" s="18" t="e">
        <f>AL204^3+AJ202*AL204+AK202</f>
        <v>#VALUE!</v>
      </c>
      <c r="AN204" s="18" t="e">
        <f>3*AL204^2+AJ202</f>
        <v>#VALUE!</v>
      </c>
      <c r="AO204" s="18" t="e">
        <f t="shared" si="78"/>
        <v>#VALUE!</v>
      </c>
      <c r="AP204" s="14" t="s">
        <v>241</v>
      </c>
      <c r="AQ204" s="15" t="s">
        <v>242</v>
      </c>
      <c r="AS204" s="269" t="s">
        <v>240</v>
      </c>
      <c r="AT204" s="270"/>
      <c r="AU204" s="18" t="e">
        <f t="shared" si="84"/>
        <v>#VALUE!</v>
      </c>
      <c r="AV204" s="18" t="e">
        <f>AU204^3+AS202*AU204+AT202</f>
        <v>#VALUE!</v>
      </c>
      <c r="AW204" s="18" t="e">
        <f>3*AU204^2+AS202</f>
        <v>#VALUE!</v>
      </c>
      <c r="AX204" s="18" t="e">
        <f t="shared" si="79"/>
        <v>#VALUE!</v>
      </c>
      <c r="AY204" s="14" t="s">
        <v>241</v>
      </c>
      <c r="AZ204" s="15" t="s">
        <v>242</v>
      </c>
      <c r="BB204" s="269" t="s">
        <v>240</v>
      </c>
      <c r="BC204" s="270"/>
      <c r="BD204" s="18" t="e">
        <f t="shared" si="85"/>
        <v>#VALUE!</v>
      </c>
      <c r="BE204" s="18" t="e">
        <f>BD204^3+BB202*BD204+BC202</f>
        <v>#VALUE!</v>
      </c>
      <c r="BF204" s="18" t="e">
        <f>3*BD204^2+BB202</f>
        <v>#VALUE!</v>
      </c>
      <c r="BG204" s="18" t="e">
        <f t="shared" si="80"/>
        <v>#VALUE!</v>
      </c>
      <c r="BH204" s="14" t="s">
        <v>241</v>
      </c>
      <c r="BI204" s="15" t="s">
        <v>242</v>
      </c>
      <c r="BK204" s="269" t="s">
        <v>240</v>
      </c>
      <c r="BL204" s="270"/>
      <c r="BM204" s="18" t="e">
        <f t="shared" si="86"/>
        <v>#VALUE!</v>
      </c>
      <c r="BN204" s="18" t="e">
        <f>BM204^3+BK202*BM204+BL202</f>
        <v>#VALUE!</v>
      </c>
      <c r="BO204" s="18" t="e">
        <f>3*BM204^2+BK202</f>
        <v>#VALUE!</v>
      </c>
      <c r="BP204" s="18" t="e">
        <f t="shared" si="81"/>
        <v>#VALUE!</v>
      </c>
      <c r="BQ204" s="14" t="s">
        <v>241</v>
      </c>
      <c r="BR204" s="15" t="s">
        <v>242</v>
      </c>
      <c r="BT204" s="269" t="s">
        <v>240</v>
      </c>
      <c r="BU204" s="270"/>
      <c r="BV204" s="18" t="e">
        <f t="shared" si="87"/>
        <v>#VALUE!</v>
      </c>
      <c r="BW204" s="18" t="e">
        <f>BV204^3+BT202*BV204+BU202</f>
        <v>#VALUE!</v>
      </c>
      <c r="BX204" s="18" t="e">
        <f>3*BV204^2+BT202</f>
        <v>#VALUE!</v>
      </c>
      <c r="BY204" s="18" t="e">
        <f t="shared" si="82"/>
        <v>#VALUE!</v>
      </c>
      <c r="BZ204" s="14" t="s">
        <v>241</v>
      </c>
      <c r="CA204" s="15" t="s">
        <v>242</v>
      </c>
    </row>
    <row r="205" spans="36:79" ht="18" hidden="1" customHeight="1" x14ac:dyDescent="0.15">
      <c r="AJ205" s="269">
        <f>(AL218^2)+3*(AM218^2)*AQ218*(AQ213-15)/(8*10^7)</f>
        <v>0</v>
      </c>
      <c r="AK205" s="270"/>
      <c r="AL205" s="18" t="e">
        <f t="shared" si="83"/>
        <v>#VALUE!</v>
      </c>
      <c r="AM205" s="18" t="e">
        <f>AL205^3+AJ202*AL205+AK202</f>
        <v>#VALUE!</v>
      </c>
      <c r="AN205" s="18" t="e">
        <f>3*AL205^2+AJ202</f>
        <v>#VALUE!</v>
      </c>
      <c r="AO205" s="18" t="e">
        <f t="shared" si="78"/>
        <v>#VALUE!</v>
      </c>
      <c r="AP205" s="18" t="e">
        <f>AP202^3+AJ202*AP202+AK202</f>
        <v>#VALUE!</v>
      </c>
      <c r="AQ205" s="19" t="e">
        <f>AQ202^3+AJ202*AQ202+AK202</f>
        <v>#VALUE!</v>
      </c>
      <c r="AS205" s="269" t="e">
        <f>(AU218^2)+3*(AV218^2)*AZ218*(AZ213-15)/(8*10^7)</f>
        <v>#VALUE!</v>
      </c>
      <c r="AT205" s="270"/>
      <c r="AU205" s="18" t="e">
        <f t="shared" si="84"/>
        <v>#VALUE!</v>
      </c>
      <c r="AV205" s="18" t="e">
        <f>AU205^3+AS202*AU205+AT202</f>
        <v>#VALUE!</v>
      </c>
      <c r="AW205" s="18" t="e">
        <f>3*AU205^2+AS202</f>
        <v>#VALUE!</v>
      </c>
      <c r="AX205" s="18" t="e">
        <f t="shared" si="79"/>
        <v>#VALUE!</v>
      </c>
      <c r="AY205" s="18" t="e">
        <f>AY202^3+AS202*AY202+AT202</f>
        <v>#VALUE!</v>
      </c>
      <c r="AZ205" s="19" t="e">
        <f>AZ202^3+AS202*AZ202+AT202</f>
        <v>#VALUE!</v>
      </c>
      <c r="BB205" s="269" t="e">
        <f>(BD218^2)+3*(BE218^2)*BI218*(BI213-15)/(8*10^7)</f>
        <v>#VALUE!</v>
      </c>
      <c r="BC205" s="270"/>
      <c r="BD205" s="18" t="e">
        <f t="shared" si="85"/>
        <v>#VALUE!</v>
      </c>
      <c r="BE205" s="18" t="e">
        <f>BD205^3+BB202*BD205+BC202</f>
        <v>#VALUE!</v>
      </c>
      <c r="BF205" s="18" t="e">
        <f>3*BD205^2+BB202</f>
        <v>#VALUE!</v>
      </c>
      <c r="BG205" s="18" t="e">
        <f t="shared" si="80"/>
        <v>#VALUE!</v>
      </c>
      <c r="BH205" s="18" t="e">
        <f>BH202^3+BB202*BH202+BC202</f>
        <v>#VALUE!</v>
      </c>
      <c r="BI205" s="19" t="e">
        <f>BI202^3+BB202*BI202+BC202</f>
        <v>#VALUE!</v>
      </c>
      <c r="BK205" s="269" t="e">
        <f>(BM218^2)+3*(BN218^2)*BR218*(BR213-15)/(8*10^7)</f>
        <v>#VALUE!</v>
      </c>
      <c r="BL205" s="270"/>
      <c r="BM205" s="18" t="e">
        <f t="shared" si="86"/>
        <v>#VALUE!</v>
      </c>
      <c r="BN205" s="18" t="e">
        <f>BM205^3+BK202*BM205+BL202</f>
        <v>#VALUE!</v>
      </c>
      <c r="BO205" s="18" t="e">
        <f>3*BM205^2+BK202</f>
        <v>#VALUE!</v>
      </c>
      <c r="BP205" s="18" t="e">
        <f t="shared" si="81"/>
        <v>#VALUE!</v>
      </c>
      <c r="BQ205" s="18" t="e">
        <f>BQ202^3+BK202*BQ202+BL202</f>
        <v>#VALUE!</v>
      </c>
      <c r="BR205" s="19" t="e">
        <f>BR202^3+BK202*BR202+BL202</f>
        <v>#VALUE!</v>
      </c>
      <c r="BT205" s="269" t="e">
        <f>(BV218^2)+3*(BW218^2)*CA218*(CA213-15)/(8*10^7)</f>
        <v>#VALUE!</v>
      </c>
      <c r="BU205" s="270"/>
      <c r="BV205" s="18" t="e">
        <f t="shared" si="87"/>
        <v>#VALUE!</v>
      </c>
      <c r="BW205" s="18" t="e">
        <f>BV205^3+BT202*BV205+BU202</f>
        <v>#VALUE!</v>
      </c>
      <c r="BX205" s="18" t="e">
        <f>3*BV205^2+BT202</f>
        <v>#VALUE!</v>
      </c>
      <c r="BY205" s="18" t="e">
        <f t="shared" si="82"/>
        <v>#VALUE!</v>
      </c>
      <c r="BZ205" s="18" t="e">
        <f>BZ202^3+BT202*BZ202+BU202</f>
        <v>#VALUE!</v>
      </c>
      <c r="CA205" s="19" t="e">
        <f>CA202^3+BT202*CA202+BU202</f>
        <v>#VALUE!</v>
      </c>
    </row>
    <row r="206" spans="36:79" ht="18" hidden="1" customHeight="1" x14ac:dyDescent="0.15">
      <c r="AJ206" s="267"/>
      <c r="AK206" s="268"/>
      <c r="AL206" s="18" t="e">
        <f t="shared" si="83"/>
        <v>#VALUE!</v>
      </c>
      <c r="AM206" s="18" t="e">
        <f>AL206^3+AJ202*AL206+AK202</f>
        <v>#VALUE!</v>
      </c>
      <c r="AN206" s="18" t="e">
        <f>3*AL206^2+AJ202</f>
        <v>#VALUE!</v>
      </c>
      <c r="AO206" s="18" t="e">
        <f t="shared" si="78"/>
        <v>#VALUE!</v>
      </c>
      <c r="AP206" s="31"/>
      <c r="AQ206" s="32"/>
      <c r="AS206" s="267"/>
      <c r="AT206" s="268"/>
      <c r="AU206" s="18" t="e">
        <f t="shared" si="84"/>
        <v>#VALUE!</v>
      </c>
      <c r="AV206" s="18" t="e">
        <f>AU206^3+AS202*AU206+AT202</f>
        <v>#VALUE!</v>
      </c>
      <c r="AW206" s="18" t="e">
        <f>3*AU206^2+AS202</f>
        <v>#VALUE!</v>
      </c>
      <c r="AX206" s="18" t="e">
        <f t="shared" si="79"/>
        <v>#VALUE!</v>
      </c>
      <c r="AY206" s="31"/>
      <c r="AZ206" s="32"/>
      <c r="BB206" s="267"/>
      <c r="BC206" s="268"/>
      <c r="BD206" s="18" t="e">
        <f t="shared" si="85"/>
        <v>#VALUE!</v>
      </c>
      <c r="BE206" s="18" t="e">
        <f>BD206^3+BB202*BD206+BC202</f>
        <v>#VALUE!</v>
      </c>
      <c r="BF206" s="18" t="e">
        <f>3*BD206^2+BB202</f>
        <v>#VALUE!</v>
      </c>
      <c r="BG206" s="18" t="e">
        <f t="shared" si="80"/>
        <v>#VALUE!</v>
      </c>
      <c r="BH206" s="31"/>
      <c r="BI206" s="32"/>
      <c r="BK206" s="267"/>
      <c r="BL206" s="268"/>
      <c r="BM206" s="18" t="e">
        <f t="shared" si="86"/>
        <v>#VALUE!</v>
      </c>
      <c r="BN206" s="18" t="e">
        <f>BM206^3+BK202*BM206+BL202</f>
        <v>#VALUE!</v>
      </c>
      <c r="BO206" s="18" t="e">
        <f>3*BM206^2+BK202</f>
        <v>#VALUE!</v>
      </c>
      <c r="BP206" s="18" t="e">
        <f t="shared" si="81"/>
        <v>#VALUE!</v>
      </c>
      <c r="BQ206" s="31"/>
      <c r="BR206" s="32"/>
      <c r="BT206" s="267"/>
      <c r="BU206" s="268"/>
      <c r="BV206" s="18" t="e">
        <f t="shared" si="87"/>
        <v>#VALUE!</v>
      </c>
      <c r="BW206" s="18" t="e">
        <f>BV206^3+BT202*BV206+BU202</f>
        <v>#VALUE!</v>
      </c>
      <c r="BX206" s="18" t="e">
        <f>3*BV206^2+BT202</f>
        <v>#VALUE!</v>
      </c>
      <c r="BY206" s="18" t="e">
        <f t="shared" si="82"/>
        <v>#VALUE!</v>
      </c>
      <c r="BZ206" s="31"/>
      <c r="CA206" s="32"/>
    </row>
    <row r="207" spans="36:79" ht="18" hidden="1" customHeight="1" x14ac:dyDescent="0.15">
      <c r="AJ207" s="269" t="s">
        <v>243</v>
      </c>
      <c r="AK207" s="270"/>
      <c r="AL207" s="18" t="e">
        <f t="shared" si="83"/>
        <v>#VALUE!</v>
      </c>
      <c r="AM207" s="18" t="e">
        <f>AL207^3+AJ202*AL207+AK202</f>
        <v>#VALUE!</v>
      </c>
      <c r="AN207" s="18" t="e">
        <f>3*AL207^2+AJ202</f>
        <v>#VALUE!</v>
      </c>
      <c r="AO207" s="18" t="e">
        <f t="shared" si="78"/>
        <v>#VALUE!</v>
      </c>
      <c r="AP207" s="31"/>
      <c r="AQ207" s="32"/>
      <c r="AS207" s="269" t="s">
        <v>243</v>
      </c>
      <c r="AT207" s="270"/>
      <c r="AU207" s="18" t="e">
        <f t="shared" si="84"/>
        <v>#VALUE!</v>
      </c>
      <c r="AV207" s="18" t="e">
        <f>AU207^3+AS202*AU207+AT202</f>
        <v>#VALUE!</v>
      </c>
      <c r="AW207" s="18" t="e">
        <f>3*AU207^2+AS202</f>
        <v>#VALUE!</v>
      </c>
      <c r="AX207" s="18" t="e">
        <f t="shared" si="79"/>
        <v>#VALUE!</v>
      </c>
      <c r="AY207" s="31"/>
      <c r="AZ207" s="32"/>
      <c r="BB207" s="269" t="s">
        <v>243</v>
      </c>
      <c r="BC207" s="270"/>
      <c r="BD207" s="18" t="e">
        <f t="shared" si="85"/>
        <v>#VALUE!</v>
      </c>
      <c r="BE207" s="18" t="e">
        <f>BD207^3+BB202*BD207+BC202</f>
        <v>#VALUE!</v>
      </c>
      <c r="BF207" s="18" t="e">
        <f>3*BD207^2+BB202</f>
        <v>#VALUE!</v>
      </c>
      <c r="BG207" s="18" t="e">
        <f t="shared" si="80"/>
        <v>#VALUE!</v>
      </c>
      <c r="BH207" s="31"/>
      <c r="BI207" s="32"/>
      <c r="BK207" s="269" t="s">
        <v>243</v>
      </c>
      <c r="BL207" s="270"/>
      <c r="BM207" s="18" t="e">
        <f t="shared" si="86"/>
        <v>#VALUE!</v>
      </c>
      <c r="BN207" s="18" t="e">
        <f>BM207^3+BK202*BM207+BL202</f>
        <v>#VALUE!</v>
      </c>
      <c r="BO207" s="18" t="e">
        <f>3*BM207^2+BK202</f>
        <v>#VALUE!</v>
      </c>
      <c r="BP207" s="18" t="e">
        <f t="shared" si="81"/>
        <v>#VALUE!</v>
      </c>
      <c r="BQ207" s="31"/>
      <c r="BR207" s="32"/>
      <c r="BT207" s="269" t="s">
        <v>243</v>
      </c>
      <c r="BU207" s="270"/>
      <c r="BV207" s="18" t="e">
        <f t="shared" si="87"/>
        <v>#VALUE!</v>
      </c>
      <c r="BW207" s="18" t="e">
        <f>BV207^3+BT202*BV207+BU202</f>
        <v>#VALUE!</v>
      </c>
      <c r="BX207" s="18" t="e">
        <f>3*BV207^2+BT202</f>
        <v>#VALUE!</v>
      </c>
      <c r="BY207" s="18" t="e">
        <f t="shared" si="82"/>
        <v>#VALUE!</v>
      </c>
      <c r="BZ207" s="31"/>
      <c r="CA207" s="32"/>
    </row>
    <row r="208" spans="36:79" ht="18" hidden="1" customHeight="1" x14ac:dyDescent="0.15">
      <c r="AJ208" s="277" t="e">
        <f>3*(AM218^2)*AN218/(8*AO218*AP218)</f>
        <v>#VALUE!</v>
      </c>
      <c r="AK208" s="278"/>
      <c r="AL208" s="118" t="e">
        <f t="shared" si="83"/>
        <v>#VALUE!</v>
      </c>
      <c r="AM208" s="118" t="e">
        <f>AL208^3+AJ202*AL208+AK202</f>
        <v>#VALUE!</v>
      </c>
      <c r="AN208" s="118" t="e">
        <f>3*AL208^2+AJ202</f>
        <v>#VALUE!</v>
      </c>
      <c r="AO208" s="118" t="e">
        <f t="shared" si="78"/>
        <v>#VALUE!</v>
      </c>
      <c r="AP208" s="116"/>
      <c r="AQ208" s="117"/>
      <c r="AS208" s="277" t="e">
        <f>3*(AV218^2)*AW218/(8*AX218*AY218)</f>
        <v>#VALUE!</v>
      </c>
      <c r="AT208" s="278"/>
      <c r="AU208" s="118" t="e">
        <f t="shared" si="84"/>
        <v>#VALUE!</v>
      </c>
      <c r="AV208" s="118" t="e">
        <f>AU208^3+AS202*AU208+AT202</f>
        <v>#VALUE!</v>
      </c>
      <c r="AW208" s="118" t="e">
        <f>3*AU208^2+AS202</f>
        <v>#VALUE!</v>
      </c>
      <c r="AX208" s="118" t="e">
        <f t="shared" si="79"/>
        <v>#VALUE!</v>
      </c>
      <c r="AY208" s="116"/>
      <c r="AZ208" s="117"/>
      <c r="BB208" s="277" t="e">
        <f>3*(BE218^2)*BF218/(8*BG218*BH218)</f>
        <v>#VALUE!</v>
      </c>
      <c r="BC208" s="278"/>
      <c r="BD208" s="118" t="e">
        <f t="shared" si="85"/>
        <v>#VALUE!</v>
      </c>
      <c r="BE208" s="118" t="e">
        <f>BD208^3+BB202*BD208+BC202</f>
        <v>#VALUE!</v>
      </c>
      <c r="BF208" s="118" t="e">
        <f>3*BD208^2+BB202</f>
        <v>#VALUE!</v>
      </c>
      <c r="BG208" s="118" t="e">
        <f t="shared" si="80"/>
        <v>#VALUE!</v>
      </c>
      <c r="BH208" s="116"/>
      <c r="BI208" s="117"/>
      <c r="BK208" s="277" t="e">
        <f>3*(BN218^2)*BO218/(8*BP218*BQ218)</f>
        <v>#VALUE!</v>
      </c>
      <c r="BL208" s="278"/>
      <c r="BM208" s="118" t="e">
        <f t="shared" si="86"/>
        <v>#VALUE!</v>
      </c>
      <c r="BN208" s="118" t="e">
        <f>BM208^3+BK202*BM208+BL202</f>
        <v>#VALUE!</v>
      </c>
      <c r="BO208" s="118" t="e">
        <f>3*BM208^2+BK202</f>
        <v>#VALUE!</v>
      </c>
      <c r="BP208" s="118" t="e">
        <f t="shared" si="81"/>
        <v>#VALUE!</v>
      </c>
      <c r="BQ208" s="116"/>
      <c r="BR208" s="117"/>
      <c r="BT208" s="277" t="e">
        <f>3*(BW218^2)*BX218/(8*BY218*BZ218)</f>
        <v>#VALUE!</v>
      </c>
      <c r="BU208" s="278"/>
      <c r="BV208" s="118" t="e">
        <f t="shared" si="87"/>
        <v>#VALUE!</v>
      </c>
      <c r="BW208" s="118" t="e">
        <f>BV208^3+BT202*BV208+BU202</f>
        <v>#VALUE!</v>
      </c>
      <c r="BX208" s="118" t="e">
        <f>3*BV208^2+BT202</f>
        <v>#VALUE!</v>
      </c>
      <c r="BY208" s="118" t="e">
        <f t="shared" si="82"/>
        <v>#VALUE!</v>
      </c>
      <c r="BZ208" s="116"/>
      <c r="CA208" s="117"/>
    </row>
    <row r="209" spans="36:79" ht="18" hidden="1" customHeight="1" x14ac:dyDescent="0.15">
      <c r="AJ209" s="121"/>
      <c r="AK209" s="122"/>
      <c r="AL209" s="118" t="e">
        <f t="shared" si="83"/>
        <v>#VALUE!</v>
      </c>
      <c r="AM209" s="118" t="e">
        <f>AL209^3+AJ202*AL209+AK202</f>
        <v>#VALUE!</v>
      </c>
      <c r="AN209" s="118" t="e">
        <f>3*AL209^2+AJ202</f>
        <v>#VALUE!</v>
      </c>
      <c r="AO209" s="118" t="e">
        <f t="shared" si="78"/>
        <v>#VALUE!</v>
      </c>
      <c r="AP209" s="119"/>
      <c r="AQ209" s="120"/>
      <c r="AS209" s="121"/>
      <c r="AT209" s="122"/>
      <c r="AU209" s="118" t="e">
        <f t="shared" si="84"/>
        <v>#VALUE!</v>
      </c>
      <c r="AV209" s="118" t="e">
        <f>AU209^3+AS202*AU209+AT202</f>
        <v>#VALUE!</v>
      </c>
      <c r="AW209" s="118" t="e">
        <f>3*AU209^2+AS202</f>
        <v>#VALUE!</v>
      </c>
      <c r="AX209" s="118" t="e">
        <f t="shared" si="79"/>
        <v>#VALUE!</v>
      </c>
      <c r="AY209" s="119"/>
      <c r="AZ209" s="120"/>
      <c r="BB209" s="121"/>
      <c r="BC209" s="122"/>
      <c r="BD209" s="118" t="e">
        <f t="shared" si="85"/>
        <v>#VALUE!</v>
      </c>
      <c r="BE209" s="118" t="e">
        <f>BD209^3+BB202*BD209+BC202</f>
        <v>#VALUE!</v>
      </c>
      <c r="BF209" s="118" t="e">
        <f>3*BD209^2+BB202</f>
        <v>#VALUE!</v>
      </c>
      <c r="BG209" s="118" t="e">
        <f t="shared" si="80"/>
        <v>#VALUE!</v>
      </c>
      <c r="BH209" s="119"/>
      <c r="BI209" s="120"/>
      <c r="BK209" s="121"/>
      <c r="BL209" s="122"/>
      <c r="BM209" s="118" t="e">
        <f t="shared" si="86"/>
        <v>#VALUE!</v>
      </c>
      <c r="BN209" s="118" t="e">
        <f>BM209^3+BK202*BM209+BL202</f>
        <v>#VALUE!</v>
      </c>
      <c r="BO209" s="118" t="e">
        <f>3*BM209^2+BK202</f>
        <v>#VALUE!</v>
      </c>
      <c r="BP209" s="118" t="e">
        <f t="shared" si="81"/>
        <v>#VALUE!</v>
      </c>
      <c r="BQ209" s="119"/>
      <c r="BR209" s="120"/>
      <c r="BT209" s="121"/>
      <c r="BU209" s="122"/>
      <c r="BV209" s="118" t="e">
        <f t="shared" si="87"/>
        <v>#VALUE!</v>
      </c>
      <c r="BW209" s="118" t="e">
        <f>BV209^3+BT202*BV209+BU202</f>
        <v>#VALUE!</v>
      </c>
      <c r="BX209" s="118" t="e">
        <f>3*BV209^2+BT202</f>
        <v>#VALUE!</v>
      </c>
      <c r="BY209" s="118" t="e">
        <f t="shared" si="82"/>
        <v>#VALUE!</v>
      </c>
      <c r="BZ209" s="119"/>
      <c r="CA209" s="120"/>
    </row>
    <row r="210" spans="36:79" ht="18" hidden="1" customHeight="1" x14ac:dyDescent="0.15">
      <c r="AJ210" s="269" t="s">
        <v>244</v>
      </c>
      <c r="AK210" s="270"/>
      <c r="AL210" s="118" t="e">
        <f t="shared" si="83"/>
        <v>#VALUE!</v>
      </c>
      <c r="AM210" s="118" t="e">
        <f>AL210^3+AJ202*AL210+AK202</f>
        <v>#VALUE!</v>
      </c>
      <c r="AN210" s="118" t="e">
        <f>3*AL210^2+AJ202</f>
        <v>#VALUE!</v>
      </c>
      <c r="AO210" s="118" t="e">
        <f t="shared" si="78"/>
        <v>#VALUE!</v>
      </c>
      <c r="AP210" s="14" t="s">
        <v>245</v>
      </c>
      <c r="AQ210" s="123" t="e">
        <f>AO216</f>
        <v>#VALUE!</v>
      </c>
      <c r="AS210" s="269" t="s">
        <v>244</v>
      </c>
      <c r="AT210" s="270"/>
      <c r="AU210" s="118" t="e">
        <f t="shared" si="84"/>
        <v>#VALUE!</v>
      </c>
      <c r="AV210" s="118" t="e">
        <f>AU210^3+AS202*AU210+AT202</f>
        <v>#VALUE!</v>
      </c>
      <c r="AW210" s="118" t="e">
        <f>3*AU210^2+AS202</f>
        <v>#VALUE!</v>
      </c>
      <c r="AX210" s="118" t="e">
        <f t="shared" si="79"/>
        <v>#VALUE!</v>
      </c>
      <c r="AY210" s="14" t="s">
        <v>245</v>
      </c>
      <c r="AZ210" s="123" t="e">
        <f>AX216</f>
        <v>#VALUE!</v>
      </c>
      <c r="BB210" s="269" t="s">
        <v>244</v>
      </c>
      <c r="BC210" s="270"/>
      <c r="BD210" s="118" t="e">
        <f t="shared" si="85"/>
        <v>#VALUE!</v>
      </c>
      <c r="BE210" s="118" t="e">
        <f>BD210^3+BB202*BD210+BC202</f>
        <v>#VALUE!</v>
      </c>
      <c r="BF210" s="118" t="e">
        <f>3*BD210^2+BB202</f>
        <v>#VALUE!</v>
      </c>
      <c r="BG210" s="118" t="e">
        <f t="shared" si="80"/>
        <v>#VALUE!</v>
      </c>
      <c r="BH210" s="14" t="s">
        <v>245</v>
      </c>
      <c r="BI210" s="123" t="e">
        <f>BG216</f>
        <v>#VALUE!</v>
      </c>
      <c r="BK210" s="269" t="s">
        <v>244</v>
      </c>
      <c r="BL210" s="270"/>
      <c r="BM210" s="118" t="e">
        <f t="shared" si="86"/>
        <v>#VALUE!</v>
      </c>
      <c r="BN210" s="118" t="e">
        <f>BM210^3+BK202*BM210+BL202</f>
        <v>#VALUE!</v>
      </c>
      <c r="BO210" s="118" t="e">
        <f>3*BM210^2+BK202</f>
        <v>#VALUE!</v>
      </c>
      <c r="BP210" s="118" t="e">
        <f t="shared" si="81"/>
        <v>#VALUE!</v>
      </c>
      <c r="BQ210" s="14" t="s">
        <v>245</v>
      </c>
      <c r="BR210" s="123" t="e">
        <f>BP216</f>
        <v>#VALUE!</v>
      </c>
      <c r="BT210" s="269" t="s">
        <v>244</v>
      </c>
      <c r="BU210" s="270"/>
      <c r="BV210" s="118" t="e">
        <f t="shared" si="87"/>
        <v>#VALUE!</v>
      </c>
      <c r="BW210" s="118" t="e">
        <f>BV210^3+BT202*BV210+BU202</f>
        <v>#VALUE!</v>
      </c>
      <c r="BX210" s="118" t="e">
        <f>3*BV210^2+BT202</f>
        <v>#VALUE!</v>
      </c>
      <c r="BY210" s="118" t="e">
        <f t="shared" si="82"/>
        <v>#VALUE!</v>
      </c>
      <c r="BZ210" s="14" t="s">
        <v>245</v>
      </c>
      <c r="CA210" s="123" t="e">
        <f>BY216</f>
        <v>#VALUE!</v>
      </c>
    </row>
    <row r="211" spans="36:79" ht="18" hidden="1" customHeight="1" x14ac:dyDescent="0.15">
      <c r="AJ211" s="271" t="e">
        <f>AJ208*AL218*AK218/AK218</f>
        <v>#VALUE!</v>
      </c>
      <c r="AK211" s="272"/>
      <c r="AL211" s="118" t="e">
        <f t="shared" si="83"/>
        <v>#VALUE!</v>
      </c>
      <c r="AM211" s="118" t="e">
        <f>AL211^3+AJ202*AL211+AK202</f>
        <v>#VALUE!</v>
      </c>
      <c r="AN211" s="118" t="e">
        <f>3*AL211^2+AJ202</f>
        <v>#VALUE!</v>
      </c>
      <c r="AO211" s="118" t="e">
        <f t="shared" si="78"/>
        <v>#VALUE!</v>
      </c>
      <c r="AP211" s="14" t="s">
        <v>246</v>
      </c>
      <c r="AQ211" s="124" t="e">
        <f>IF(AQ220=1,0,AK218*AM218^2/(8*AO216))</f>
        <v>#VALUE!</v>
      </c>
      <c r="AS211" s="271" t="e">
        <f>AS208*AU218*AT218/AT218</f>
        <v>#VALUE!</v>
      </c>
      <c r="AT211" s="272"/>
      <c r="AU211" s="118" t="e">
        <f t="shared" si="84"/>
        <v>#VALUE!</v>
      </c>
      <c r="AV211" s="118" t="e">
        <f>AU211^3+AS202*AU211+AT202</f>
        <v>#VALUE!</v>
      </c>
      <c r="AW211" s="118" t="e">
        <f>3*AU211^2+AS202</f>
        <v>#VALUE!</v>
      </c>
      <c r="AX211" s="118" t="e">
        <f t="shared" si="79"/>
        <v>#VALUE!</v>
      </c>
      <c r="AY211" s="14" t="s">
        <v>246</v>
      </c>
      <c r="AZ211" s="124">
        <f>IF(OR(B24="",B24="---〃---"),0,IF(OR(AZ220=1,AZ221=1,AZ222=1,AZ223=1,AZ224=1,AZ225=1),0,AT218*AV218^2/(8*AX216)))</f>
        <v>0</v>
      </c>
      <c r="BB211" s="271" t="e">
        <f>BB208*BD218*BC218/BC218</f>
        <v>#VALUE!</v>
      </c>
      <c r="BC211" s="272"/>
      <c r="BD211" s="118" t="e">
        <f t="shared" si="85"/>
        <v>#VALUE!</v>
      </c>
      <c r="BE211" s="118" t="e">
        <f>BD211^3+BB202*BD211+BC202</f>
        <v>#VALUE!</v>
      </c>
      <c r="BF211" s="118" t="e">
        <f>3*BD211^2+BB202</f>
        <v>#VALUE!</v>
      </c>
      <c r="BG211" s="118" t="e">
        <f t="shared" si="80"/>
        <v>#VALUE!</v>
      </c>
      <c r="BH211" s="14" t="s">
        <v>246</v>
      </c>
      <c r="BI211" s="124">
        <f>IF(OR(B25="",B25="---〃---"),0,IF(OR(BI220=1,BI221=1,BI222=1,BI223=1,BI224=1),0,BC218*BE218^2/(8*BG216)))</f>
        <v>0</v>
      </c>
      <c r="BK211" s="271" t="e">
        <f>BK208*BM218*BL218/BL218</f>
        <v>#VALUE!</v>
      </c>
      <c r="BL211" s="272"/>
      <c r="BM211" s="118" t="e">
        <f t="shared" si="86"/>
        <v>#VALUE!</v>
      </c>
      <c r="BN211" s="118" t="e">
        <f>BM211^3+BK202*BM211+BL202</f>
        <v>#VALUE!</v>
      </c>
      <c r="BO211" s="118" t="e">
        <f>3*BM211^2+BK202</f>
        <v>#VALUE!</v>
      </c>
      <c r="BP211" s="118" t="e">
        <f t="shared" si="81"/>
        <v>#VALUE!</v>
      </c>
      <c r="BQ211" s="14" t="s">
        <v>246</v>
      </c>
      <c r="BR211" s="124">
        <f>IF(OR(B26="",B26="---〃---"),0,IF(OR(BR220=1,BR221=1,BR222=1,BR223=1),0,BL218*BN218^2/(8*BP216)))</f>
        <v>0</v>
      </c>
      <c r="BT211" s="271" t="e">
        <f>BT208*BV218*BU218/BU218</f>
        <v>#VALUE!</v>
      </c>
      <c r="BU211" s="272"/>
      <c r="BV211" s="118" t="e">
        <f t="shared" si="87"/>
        <v>#VALUE!</v>
      </c>
      <c r="BW211" s="118" t="e">
        <f>BV211^3+BT202*BV211+BU202</f>
        <v>#VALUE!</v>
      </c>
      <c r="BX211" s="118" t="e">
        <f>3*BV211^2+BT202</f>
        <v>#VALUE!</v>
      </c>
      <c r="BY211" s="118" t="e">
        <f t="shared" si="82"/>
        <v>#VALUE!</v>
      </c>
      <c r="BZ211" s="14" t="s">
        <v>246</v>
      </c>
      <c r="CA211" s="124">
        <f>IF(OR(B27="",B27="---〃---"),0,IF(OR(CA220=1,CA221=1,CA222=1),0,BU218*BW218^2/(8*BY216)))</f>
        <v>0</v>
      </c>
    </row>
    <row r="212" spans="36:79" ht="18" hidden="1" customHeight="1" x14ac:dyDescent="0.15">
      <c r="AJ212" s="125"/>
      <c r="AK212" s="126"/>
      <c r="AL212" s="118" t="e">
        <f t="shared" si="83"/>
        <v>#VALUE!</v>
      </c>
      <c r="AM212" s="118" t="e">
        <f>AL212^3+AJ202*AL212+AK202</f>
        <v>#VALUE!</v>
      </c>
      <c r="AN212" s="118" t="e">
        <f>3*AL212^2+AJ202</f>
        <v>#VALUE!</v>
      </c>
      <c r="AO212" s="118" t="e">
        <f t="shared" si="78"/>
        <v>#VALUE!</v>
      </c>
      <c r="AP212" s="116"/>
      <c r="AQ212" s="117"/>
      <c r="AS212" s="125"/>
      <c r="AT212" s="126"/>
      <c r="AU212" s="118" t="e">
        <f t="shared" si="84"/>
        <v>#VALUE!</v>
      </c>
      <c r="AV212" s="118" t="e">
        <f>AU212^3+AS202*AU212+AT202</f>
        <v>#VALUE!</v>
      </c>
      <c r="AW212" s="118" t="e">
        <f>3*AU212^2+AS202</f>
        <v>#VALUE!</v>
      </c>
      <c r="AX212" s="118" t="e">
        <f t="shared" si="79"/>
        <v>#VALUE!</v>
      </c>
      <c r="AY212" s="116"/>
      <c r="AZ212" s="117"/>
      <c r="BB212" s="125"/>
      <c r="BC212" s="126"/>
      <c r="BD212" s="118" t="e">
        <f t="shared" si="85"/>
        <v>#VALUE!</v>
      </c>
      <c r="BE212" s="118" t="e">
        <f>BD212^3+BB202*BD212+BC202</f>
        <v>#VALUE!</v>
      </c>
      <c r="BF212" s="118" t="e">
        <f>3*BD212^2+BB202</f>
        <v>#VALUE!</v>
      </c>
      <c r="BG212" s="118" t="e">
        <f t="shared" si="80"/>
        <v>#VALUE!</v>
      </c>
      <c r="BH212" s="116"/>
      <c r="BI212" s="117"/>
      <c r="BK212" s="125"/>
      <c r="BL212" s="126"/>
      <c r="BM212" s="118" t="e">
        <f t="shared" si="86"/>
        <v>#VALUE!</v>
      </c>
      <c r="BN212" s="118" t="e">
        <f>BM212^3+BK202*BM212+BL202</f>
        <v>#VALUE!</v>
      </c>
      <c r="BO212" s="118" t="e">
        <f>3*BM212^2+BK202</f>
        <v>#VALUE!</v>
      </c>
      <c r="BP212" s="118" t="e">
        <f t="shared" si="81"/>
        <v>#VALUE!</v>
      </c>
      <c r="BQ212" s="116"/>
      <c r="BR212" s="117"/>
      <c r="BT212" s="125"/>
      <c r="BU212" s="126"/>
      <c r="BV212" s="118" t="e">
        <f t="shared" si="87"/>
        <v>#VALUE!</v>
      </c>
      <c r="BW212" s="118" t="e">
        <f>BV212^3+BT202*BV212+BU202</f>
        <v>#VALUE!</v>
      </c>
      <c r="BX212" s="118" t="e">
        <f>3*BV212^2+BT202</f>
        <v>#VALUE!</v>
      </c>
      <c r="BY212" s="118" t="e">
        <f t="shared" si="82"/>
        <v>#VALUE!</v>
      </c>
      <c r="BZ212" s="116"/>
      <c r="CA212" s="117"/>
    </row>
    <row r="213" spans="36:79" ht="18" hidden="1" customHeight="1" x14ac:dyDescent="0.15">
      <c r="AJ213" s="125"/>
      <c r="AK213" s="126"/>
      <c r="AL213" s="118" t="e">
        <f t="shared" si="83"/>
        <v>#VALUE!</v>
      </c>
      <c r="AM213" s="118" t="e">
        <f>AL213^3+AJ202*AL213+AK202</f>
        <v>#VALUE!</v>
      </c>
      <c r="AN213" s="118" t="e">
        <f>3*AL213^2+AJ202</f>
        <v>#VALUE!</v>
      </c>
      <c r="AO213" s="118" t="e">
        <f t="shared" si="78"/>
        <v>#VALUE!</v>
      </c>
      <c r="AP213" s="112" t="s">
        <v>147</v>
      </c>
      <c r="AQ213" s="113">
        <v>90</v>
      </c>
      <c r="AS213" s="125"/>
      <c r="AT213" s="126"/>
      <c r="AU213" s="118" t="e">
        <f t="shared" si="84"/>
        <v>#VALUE!</v>
      </c>
      <c r="AV213" s="118" t="e">
        <f>AU213^3+AS202*AU213+AT202</f>
        <v>#VALUE!</v>
      </c>
      <c r="AW213" s="118" t="e">
        <f>3*AU213^2+AS202</f>
        <v>#VALUE!</v>
      </c>
      <c r="AX213" s="118" t="e">
        <f t="shared" si="79"/>
        <v>#VALUE!</v>
      </c>
      <c r="AY213" s="112" t="s">
        <v>147</v>
      </c>
      <c r="AZ213" s="113">
        <v>90</v>
      </c>
      <c r="BB213" s="125"/>
      <c r="BC213" s="126"/>
      <c r="BD213" s="118" t="e">
        <f t="shared" si="85"/>
        <v>#VALUE!</v>
      </c>
      <c r="BE213" s="118" t="e">
        <f>BD213^3+BB202*BD213+BC202</f>
        <v>#VALUE!</v>
      </c>
      <c r="BF213" s="118" t="e">
        <f>3*BD213^2+BB202</f>
        <v>#VALUE!</v>
      </c>
      <c r="BG213" s="118" t="e">
        <f t="shared" si="80"/>
        <v>#VALUE!</v>
      </c>
      <c r="BH213" s="112" t="s">
        <v>147</v>
      </c>
      <c r="BI213" s="113">
        <v>90</v>
      </c>
      <c r="BK213" s="125"/>
      <c r="BL213" s="126"/>
      <c r="BM213" s="118" t="e">
        <f t="shared" si="86"/>
        <v>#VALUE!</v>
      </c>
      <c r="BN213" s="118" t="e">
        <f>BM213^3+BK202*BM213+BL202</f>
        <v>#VALUE!</v>
      </c>
      <c r="BO213" s="118" t="e">
        <f>3*BM213^2+BK202</f>
        <v>#VALUE!</v>
      </c>
      <c r="BP213" s="118" t="e">
        <f t="shared" si="81"/>
        <v>#VALUE!</v>
      </c>
      <c r="BQ213" s="112" t="s">
        <v>147</v>
      </c>
      <c r="BR213" s="113">
        <v>90</v>
      </c>
      <c r="BT213" s="125"/>
      <c r="BU213" s="126"/>
      <c r="BV213" s="118" t="e">
        <f t="shared" si="87"/>
        <v>#VALUE!</v>
      </c>
      <c r="BW213" s="118" t="e">
        <f>BV213^3+BT202*BV213+BU202</f>
        <v>#VALUE!</v>
      </c>
      <c r="BX213" s="118" t="e">
        <f>3*BV213^2+BT202</f>
        <v>#VALUE!</v>
      </c>
      <c r="BY213" s="118" t="e">
        <f t="shared" si="82"/>
        <v>#VALUE!</v>
      </c>
      <c r="BZ213" s="112" t="s">
        <v>147</v>
      </c>
      <c r="CA213" s="113">
        <v>90</v>
      </c>
    </row>
    <row r="214" spans="36:79" ht="18" hidden="1" customHeight="1" x14ac:dyDescent="0.15">
      <c r="AJ214" s="125"/>
      <c r="AK214" s="126"/>
      <c r="AL214" s="118" t="e">
        <f t="shared" si="83"/>
        <v>#VALUE!</v>
      </c>
      <c r="AM214" s="118" t="e">
        <f>AL214^3+AJ202*AL214+AK202</f>
        <v>#VALUE!</v>
      </c>
      <c r="AN214" s="118" t="e">
        <f>3*AL214^2+AJ202</f>
        <v>#VALUE!</v>
      </c>
      <c r="AO214" s="118" t="e">
        <f t="shared" si="78"/>
        <v>#VALUE!</v>
      </c>
      <c r="AP214" s="128" t="s">
        <v>218</v>
      </c>
      <c r="AQ214" s="32"/>
      <c r="AS214" s="125"/>
      <c r="AT214" s="126"/>
      <c r="AU214" s="118" t="e">
        <f t="shared" si="84"/>
        <v>#VALUE!</v>
      </c>
      <c r="AV214" s="118" t="e">
        <f>AU214^3+AS202*AU214+AT202</f>
        <v>#VALUE!</v>
      </c>
      <c r="AW214" s="118" t="e">
        <f>3*AU214^2+AS202</f>
        <v>#VALUE!</v>
      </c>
      <c r="AX214" s="118" t="e">
        <f t="shared" si="79"/>
        <v>#VALUE!</v>
      </c>
      <c r="AY214" s="128" t="s">
        <v>219</v>
      </c>
      <c r="AZ214" s="32"/>
      <c r="BB214" s="125"/>
      <c r="BC214" s="126"/>
      <c r="BD214" s="118" t="e">
        <f t="shared" si="85"/>
        <v>#VALUE!</v>
      </c>
      <c r="BE214" s="118" t="e">
        <f>BD214^3+BB202*BD214+BC202</f>
        <v>#VALUE!</v>
      </c>
      <c r="BF214" s="118" t="e">
        <f>3*BD214^2+BB202</f>
        <v>#VALUE!</v>
      </c>
      <c r="BG214" s="118" t="e">
        <f t="shared" si="80"/>
        <v>#VALUE!</v>
      </c>
      <c r="BH214" s="128" t="s">
        <v>220</v>
      </c>
      <c r="BI214" s="32"/>
      <c r="BK214" s="125"/>
      <c r="BL214" s="126"/>
      <c r="BM214" s="118" t="e">
        <f t="shared" si="86"/>
        <v>#VALUE!</v>
      </c>
      <c r="BN214" s="118" t="e">
        <f>BM214^3+BK202*BM214+BL202</f>
        <v>#VALUE!</v>
      </c>
      <c r="BO214" s="118" t="e">
        <f>3*BM214^2+BK202</f>
        <v>#VALUE!</v>
      </c>
      <c r="BP214" s="118" t="e">
        <f t="shared" si="81"/>
        <v>#VALUE!</v>
      </c>
      <c r="BQ214" s="128" t="s">
        <v>221</v>
      </c>
      <c r="BR214" s="32"/>
      <c r="BT214" s="125"/>
      <c r="BU214" s="126"/>
      <c r="BV214" s="118" t="e">
        <f t="shared" si="87"/>
        <v>#VALUE!</v>
      </c>
      <c r="BW214" s="118" t="e">
        <f>BV214^3+BT202*BV214+BU202</f>
        <v>#VALUE!</v>
      </c>
      <c r="BX214" s="118" t="e">
        <f>3*BV214^2+BT202</f>
        <v>#VALUE!</v>
      </c>
      <c r="BY214" s="118" t="e">
        <f t="shared" si="82"/>
        <v>#VALUE!</v>
      </c>
      <c r="BZ214" s="128" t="s">
        <v>222</v>
      </c>
      <c r="CA214" s="32"/>
    </row>
    <row r="215" spans="36:79" ht="18" hidden="1" customHeight="1" x14ac:dyDescent="0.15">
      <c r="AJ215" s="125"/>
      <c r="AK215" s="126"/>
      <c r="AL215" s="18" t="e">
        <f t="shared" si="83"/>
        <v>#VALUE!</v>
      </c>
      <c r="AM215" s="18" t="e">
        <f>AL215^3+AJ202*AL215+AK202</f>
        <v>#VALUE!</v>
      </c>
      <c r="AN215" s="18" t="e">
        <f>3*AL215^2+AJ202</f>
        <v>#VALUE!</v>
      </c>
      <c r="AO215" s="18" t="e">
        <f t="shared" si="78"/>
        <v>#VALUE!</v>
      </c>
      <c r="AP215" s="273" t="str">
        <f>M58</f>
        <v>無 風 時　90[℃]</v>
      </c>
      <c r="AQ215" s="274"/>
      <c r="AS215" s="125"/>
      <c r="AT215" s="126"/>
      <c r="AU215" s="18" t="e">
        <f t="shared" si="84"/>
        <v>#VALUE!</v>
      </c>
      <c r="AV215" s="18" t="e">
        <f>AU215^3+AS202*AU215+AT202</f>
        <v>#VALUE!</v>
      </c>
      <c r="AW215" s="18" t="e">
        <f>3*AU215^2+AS202</f>
        <v>#VALUE!</v>
      </c>
      <c r="AX215" s="18" t="e">
        <f t="shared" si="79"/>
        <v>#VALUE!</v>
      </c>
      <c r="AY215" s="273" t="str">
        <f>M58</f>
        <v>無 風 時　90[℃]</v>
      </c>
      <c r="AZ215" s="274"/>
      <c r="BB215" s="125"/>
      <c r="BC215" s="126"/>
      <c r="BD215" s="18" t="e">
        <f t="shared" si="85"/>
        <v>#VALUE!</v>
      </c>
      <c r="BE215" s="18" t="e">
        <f>BD215^3+BB202*BD215+BC202</f>
        <v>#VALUE!</v>
      </c>
      <c r="BF215" s="18" t="e">
        <f>3*BD215^2+BB202</f>
        <v>#VALUE!</v>
      </c>
      <c r="BG215" s="18" t="e">
        <f t="shared" si="80"/>
        <v>#VALUE!</v>
      </c>
      <c r="BH215" s="273" t="str">
        <f>M58</f>
        <v>無 風 時　90[℃]</v>
      </c>
      <c r="BI215" s="274"/>
      <c r="BK215" s="125"/>
      <c r="BL215" s="126"/>
      <c r="BM215" s="18" t="e">
        <f t="shared" si="86"/>
        <v>#VALUE!</v>
      </c>
      <c r="BN215" s="18" t="e">
        <f>BM215^3+BK202*BM215+BL202</f>
        <v>#VALUE!</v>
      </c>
      <c r="BO215" s="18" t="e">
        <f>3*BM215^2+BK202</f>
        <v>#VALUE!</v>
      </c>
      <c r="BP215" s="18" t="e">
        <f t="shared" si="81"/>
        <v>#VALUE!</v>
      </c>
      <c r="BQ215" s="273" t="str">
        <f>M58</f>
        <v>無 風 時　90[℃]</v>
      </c>
      <c r="BR215" s="274"/>
      <c r="BT215" s="125"/>
      <c r="BU215" s="126"/>
      <c r="BV215" s="18" t="e">
        <f t="shared" si="87"/>
        <v>#VALUE!</v>
      </c>
      <c r="BW215" s="18" t="e">
        <f>BV215^3+BT202*BV215+BU202</f>
        <v>#VALUE!</v>
      </c>
      <c r="BX215" s="18" t="e">
        <f>3*BV215^2+BT202</f>
        <v>#VALUE!</v>
      </c>
      <c r="BY215" s="18" t="e">
        <f t="shared" si="82"/>
        <v>#VALUE!</v>
      </c>
      <c r="BZ215" s="273" t="str">
        <f>M58</f>
        <v>無 風 時　90[℃]</v>
      </c>
      <c r="CA215" s="274"/>
    </row>
    <row r="216" spans="36:79" ht="18" hidden="1" customHeight="1" thickBot="1" x14ac:dyDescent="0.2">
      <c r="AJ216" s="125"/>
      <c r="AK216" s="126"/>
      <c r="AL216" s="114" t="e">
        <f t="shared" si="83"/>
        <v>#VALUE!</v>
      </c>
      <c r="AM216" s="115" t="e">
        <f>AL216^3+AJ202*AL216+AK202</f>
        <v>#VALUE!</v>
      </c>
      <c r="AN216" s="115" t="e">
        <f>3*AL216^2+AJ202</f>
        <v>#VALUE!</v>
      </c>
      <c r="AO216" s="115" t="e">
        <f t="shared" si="78"/>
        <v>#VALUE!</v>
      </c>
      <c r="AP216" s="275"/>
      <c r="AQ216" s="276"/>
      <c r="AS216" s="125"/>
      <c r="AT216" s="126"/>
      <c r="AU216" s="114" t="e">
        <f t="shared" si="84"/>
        <v>#VALUE!</v>
      </c>
      <c r="AV216" s="115" t="e">
        <f>AU216^3+AS202*AU216+AT202</f>
        <v>#VALUE!</v>
      </c>
      <c r="AW216" s="115" t="e">
        <f>3*AU216^2+AS202</f>
        <v>#VALUE!</v>
      </c>
      <c r="AX216" s="115" t="e">
        <f t="shared" si="79"/>
        <v>#VALUE!</v>
      </c>
      <c r="AY216" s="275"/>
      <c r="AZ216" s="276"/>
      <c r="BB216" s="125"/>
      <c r="BC216" s="126"/>
      <c r="BD216" s="114" t="e">
        <f t="shared" si="85"/>
        <v>#VALUE!</v>
      </c>
      <c r="BE216" s="115" t="e">
        <f>BD216^3+BB202*BD216+BC202</f>
        <v>#VALUE!</v>
      </c>
      <c r="BF216" s="115" t="e">
        <f>3*BD216^2+BB202</f>
        <v>#VALUE!</v>
      </c>
      <c r="BG216" s="115" t="e">
        <f t="shared" si="80"/>
        <v>#VALUE!</v>
      </c>
      <c r="BH216" s="275"/>
      <c r="BI216" s="276"/>
      <c r="BK216" s="125"/>
      <c r="BL216" s="126"/>
      <c r="BM216" s="114" t="e">
        <f t="shared" si="86"/>
        <v>#VALUE!</v>
      </c>
      <c r="BN216" s="115" t="e">
        <f>BM216^3+BK202*BM216+BL202</f>
        <v>#VALUE!</v>
      </c>
      <c r="BO216" s="115" t="e">
        <f>3*BM216^2+BK202</f>
        <v>#VALUE!</v>
      </c>
      <c r="BP216" s="115" t="e">
        <f t="shared" si="81"/>
        <v>#VALUE!</v>
      </c>
      <c r="BQ216" s="275"/>
      <c r="BR216" s="276"/>
      <c r="BT216" s="125"/>
      <c r="BU216" s="126"/>
      <c r="BV216" s="114" t="e">
        <f t="shared" si="87"/>
        <v>#VALUE!</v>
      </c>
      <c r="BW216" s="115" t="e">
        <f>BV216^3+BT202*BV216+BU202</f>
        <v>#VALUE!</v>
      </c>
      <c r="BX216" s="115" t="e">
        <f>3*BV216^2+BT202</f>
        <v>#VALUE!</v>
      </c>
      <c r="BY216" s="115" t="e">
        <f t="shared" si="82"/>
        <v>#VALUE!</v>
      </c>
      <c r="BZ216" s="275"/>
      <c r="CA216" s="276"/>
    </row>
    <row r="217" spans="36:79" ht="18" hidden="1" customHeight="1" x14ac:dyDescent="0.15">
      <c r="AJ217" s="62"/>
      <c r="AK217" s="12" t="s">
        <v>224</v>
      </c>
      <c r="AL217" s="12" t="s">
        <v>225</v>
      </c>
      <c r="AM217" s="12" t="s">
        <v>226</v>
      </c>
      <c r="AN217" s="12" t="s">
        <v>227</v>
      </c>
      <c r="AO217" s="63" t="s">
        <v>228</v>
      </c>
      <c r="AP217" s="12" t="s">
        <v>229</v>
      </c>
      <c r="AQ217" s="13" t="s">
        <v>230</v>
      </c>
      <c r="AS217" s="62"/>
      <c r="AT217" s="12" t="s">
        <v>224</v>
      </c>
      <c r="AU217" s="12" t="s">
        <v>225</v>
      </c>
      <c r="AV217" s="12" t="s">
        <v>226</v>
      </c>
      <c r="AW217" s="12" t="s">
        <v>227</v>
      </c>
      <c r="AX217" s="63" t="s">
        <v>228</v>
      </c>
      <c r="AY217" s="12" t="s">
        <v>229</v>
      </c>
      <c r="AZ217" s="13" t="s">
        <v>230</v>
      </c>
      <c r="BB217" s="62"/>
      <c r="BC217" s="12" t="s">
        <v>224</v>
      </c>
      <c r="BD217" s="12" t="s">
        <v>225</v>
      </c>
      <c r="BE217" s="12" t="s">
        <v>226</v>
      </c>
      <c r="BF217" s="12" t="s">
        <v>227</v>
      </c>
      <c r="BG217" s="63" t="s">
        <v>228</v>
      </c>
      <c r="BH217" s="12" t="s">
        <v>229</v>
      </c>
      <c r="BI217" s="13" t="s">
        <v>230</v>
      </c>
      <c r="BK217" s="62"/>
      <c r="BL217" s="12" t="s">
        <v>224</v>
      </c>
      <c r="BM217" s="12" t="s">
        <v>225</v>
      </c>
      <c r="BN217" s="12" t="s">
        <v>226</v>
      </c>
      <c r="BO217" s="12" t="s">
        <v>227</v>
      </c>
      <c r="BP217" s="63" t="s">
        <v>228</v>
      </c>
      <c r="BQ217" s="12" t="s">
        <v>229</v>
      </c>
      <c r="BR217" s="13" t="s">
        <v>230</v>
      </c>
      <c r="BT217" s="62"/>
      <c r="BU217" s="12" t="s">
        <v>224</v>
      </c>
      <c r="BV217" s="12" t="s">
        <v>225</v>
      </c>
      <c r="BW217" s="12" t="s">
        <v>226</v>
      </c>
      <c r="BX217" s="12" t="s">
        <v>227</v>
      </c>
      <c r="BY217" s="63" t="s">
        <v>228</v>
      </c>
      <c r="BZ217" s="12" t="s">
        <v>229</v>
      </c>
      <c r="CA217" s="13" t="s">
        <v>230</v>
      </c>
    </row>
    <row r="218" spans="36:79" ht="30.75" hidden="1" customHeight="1" thickBot="1" x14ac:dyDescent="0.2">
      <c r="AJ218" s="107"/>
      <c r="AK218" s="108" t="e">
        <f>M23+U23</f>
        <v>#VALUE!</v>
      </c>
      <c r="AL218" s="108">
        <f>IF(C33="",L19*(F19/40)^2,C33)</f>
        <v>0</v>
      </c>
      <c r="AM218" s="108">
        <f>F19</f>
        <v>0</v>
      </c>
      <c r="AN218" s="108" t="e">
        <f>AK78*1600/(8*L19)</f>
        <v>#VALUE!</v>
      </c>
      <c r="AO218" s="109">
        <f>V23</f>
        <v>0</v>
      </c>
      <c r="AP218" s="108" t="str">
        <f>L23</f>
        <v/>
      </c>
      <c r="AQ218" s="110">
        <f>W23</f>
        <v>0</v>
      </c>
      <c r="AS218" s="107"/>
      <c r="AT218" s="108" t="str">
        <f>IF(B24="使用電線-2",M24+U24,IF(B25="使用電線-2",M25+U25,IF(B26="使用電線-2",M26+U26,IF(B27="使用電線-2",M27+U27,IF(B28="使用電線-2",M28+U28,IF(B29="使用電線-2",M29+U29,""))))))</f>
        <v/>
      </c>
      <c r="AU218" s="108">
        <f>IF(I33="",L19*(F19/40)^2,I33)</f>
        <v>0</v>
      </c>
      <c r="AV218" s="108">
        <f>F19</f>
        <v>0</v>
      </c>
      <c r="AW218" s="108" t="e">
        <f>AT218*1600/(8*L19)</f>
        <v>#VALUE!</v>
      </c>
      <c r="AX218" s="109" t="str">
        <f>IF(B24="使用電線-2",V24,IF(B25="使用電線-2",V25,IF(B26="使用電線-2",V26,IF(B27="使用電線-2",V27,IF(B28="使用電線-2",V28,IF(B29="使用電線-2",V29,""))))))</f>
        <v/>
      </c>
      <c r="AY218" s="108" t="str">
        <f>IF(B24="使用電線-2",L24,IF(B25="使用電線-2",L25,IF(B26="使用電線-2",L26,IF(B27="使用電線-2",L27,IF(B28="使用電線-2",L28,IF(B29="使用電線-2",L29,""))))))</f>
        <v/>
      </c>
      <c r="AZ218" s="110" t="str">
        <f>IF(B24="使用電線-2",W24,IF(B25="使用電線-2",W25,IF(B26="使用電線-2",W26,IF(B27="使用電線-2",W27,IF(B28="使用電線-2",W28,IF(B29="使用電線-2",W29,""))))))</f>
        <v/>
      </c>
      <c r="BB218" s="107"/>
      <c r="BC218" s="108" t="str">
        <f>IF(B25="使用電線-3",M25+U25,IF(B26="使用電線-3",M26+U26,IF(B27="使用電線-3",M27+U27,IF(B28="使用電線-3",M28+U28,IF(B29="使用電線-3",M29+U29,"")))))</f>
        <v/>
      </c>
      <c r="BD218" s="108">
        <f>IF(N33="",L19*(F19/40)^2,N33)</f>
        <v>0</v>
      </c>
      <c r="BE218" s="108">
        <f>F19</f>
        <v>0</v>
      </c>
      <c r="BF218" s="108" t="e">
        <f>BC218*1600/(8*L19)</f>
        <v>#VALUE!</v>
      </c>
      <c r="BG218" s="109" t="str">
        <f>IF(B25="使用電線-3",V25,IF(B26="使用電線-3",V26,IF(B27="使用電線-3",V27,IF(B28="使用電線-3",V28,IF(B29="使用電線-3",V29,"")))))</f>
        <v/>
      </c>
      <c r="BH218" s="108" t="str">
        <f>IF(B25="使用電線-3",L25,IF(B26="使用電線-3",L26,IF(B27="使用電線-3",L27,IF(B28="使用電線-3",L28,IF(B29="使用電線-3",L29,"")))))</f>
        <v/>
      </c>
      <c r="BI218" s="110" t="str">
        <f>IF(B25="使用電線-3",W25,IF(B26="使用電線-3",W26,IF(B27="使用電線-3",W27,IF(B28="使用電線-3",W28,IF(B29="使用電線-3",W29,"")))))</f>
        <v/>
      </c>
      <c r="BK218" s="107"/>
      <c r="BL218" s="108" t="str">
        <f>IF(B26="使用電線-4",M26+U26,IF(B27="使用電線-4",M27+U27,IF(B28="使用電線-4",M28+U28,IF(B29="使用電線-4",M29+U29,""))))</f>
        <v/>
      </c>
      <c r="BM218" s="108">
        <f>IF(C47="",L19*(F19/40)^2,C47)</f>
        <v>0</v>
      </c>
      <c r="BN218" s="108">
        <f>F19</f>
        <v>0</v>
      </c>
      <c r="BO218" s="127" t="e">
        <f>BL218*1600/(8*L19)</f>
        <v>#VALUE!</v>
      </c>
      <c r="BP218" s="109" t="str">
        <f>IF(B26="使用電線-4",V26,IF(B27="使用電線-4",V27,IF(B28="使用電線-4",V28,IF(B29="使用電線-4",V29,""))))</f>
        <v/>
      </c>
      <c r="BQ218" s="108" t="str">
        <f>IF(B26="使用電線-4",L26,IF(B27="使用電線-4",L27,IF(B28="使用電線-4",L28,IF(B29="使用電線-4",L29,""))))</f>
        <v/>
      </c>
      <c r="BR218" s="110" t="str">
        <f>IF(B26="使用電線-4",W26,IF(B27="使用電線-4",W27,IF(B28="使用電線-4",W28,IF(B29="使用電線-4",W29,""))))</f>
        <v/>
      </c>
      <c r="BT218" s="107"/>
      <c r="BU218" s="108" t="str">
        <f>IF(B27="使用電線-5",M27+U27,IF(B28="使用電線-5",M28+U28,IF(B29="使用電線-5",M29+U29,"")))</f>
        <v/>
      </c>
      <c r="BV218" s="108">
        <f>IF(I47="",L19*(F19/40)^2,I47)</f>
        <v>0</v>
      </c>
      <c r="BW218" s="108">
        <f>F19</f>
        <v>0</v>
      </c>
      <c r="BX218" s="127" t="e">
        <f>BU218*1600/(8*L19)</f>
        <v>#VALUE!</v>
      </c>
      <c r="BY218" s="109" t="str">
        <f>IF(B27="使用電線-5",V27,IF(B28="使用電線-5",V28,IF(B29="使用電線-5",V29,"")))</f>
        <v/>
      </c>
      <c r="BZ218" s="108" t="str">
        <f>IF(B27="使用電線-5",L27,IF(B28="使用電線-5",L28,IF(B29="使用電線-5",L29,"")))</f>
        <v/>
      </c>
      <c r="CA218" s="110" t="str">
        <f>IF(B27="使用電線-5",W27,IF(B28="使用電線-5",W28,IF(B29="使用電線-5",W29,"")))</f>
        <v/>
      </c>
    </row>
    <row r="219" spans="36:79" ht="33.75" hidden="1" customHeight="1" x14ac:dyDescent="0.15"/>
    <row r="220" spans="36:79" ht="38.25" hidden="1" customHeight="1" x14ac:dyDescent="0.15">
      <c r="AQ220" s="166">
        <f>IF(B23="",0,IF(AND(B23="使用電線-1",OR(D23=AF3,AND(VALUE(LEFT(D23,2))&gt;13,VALUE(LEFT(D23,2))&lt;26))),1,0))</f>
        <v>0</v>
      </c>
      <c r="AZ220" s="166">
        <f>IF(B24="",0,IF(AND(B24="使用電線-2",OR(D24=AF3,AND(VALUE(LEFT(D24,2))&gt;13,VALUE(LEFT(D24,2))&lt;26))),1,0))</f>
        <v>0</v>
      </c>
      <c r="BI220" s="166">
        <f>IF(B25="",0,IF(AND(B25="使用電線-3",OR(D25=AF3,AND(VALUE(LEFT(D25,2))&gt;13,VALUE(LEFT(D25,2))&lt;26))),1,0))</f>
        <v>0</v>
      </c>
      <c r="BR220" s="166">
        <f>IF(B26="",0,IF(AND(B26="使用電線-4",OR(D26=AF3,AND(VALUE(LEFT(D26,2))&gt;13,VALUE(LEFT(D26,2))&lt;26))),1,0))</f>
        <v>0</v>
      </c>
      <c r="CA220" s="166">
        <f>IF(B27="",0,IF(AND(B27="使用電線-5",OR(D27=AF3,AND(VALUE(LEFT(D27,2))&gt;13,VALUE(LEFT(D27,2))&lt;26))),1,0))</f>
        <v>0</v>
      </c>
    </row>
    <row r="221" spans="36:79" ht="57.75" hidden="1" customHeight="1" x14ac:dyDescent="0.15">
      <c r="AZ221" s="166">
        <f>IF(B25="",0,IF(AND(B25="使用電線-2",OR(D25=AF3,AND(VALUE(LEFT(D25,2))&gt;13,VALUE(LEFT(D25,2))&lt;26))),1,0))</f>
        <v>0</v>
      </c>
      <c r="BI221" s="166">
        <f>IF(B26="",0,IF(AND(B26="使用電線-3",OR(D26=AF3,AND(VALUE(LEFT(D26,2))&gt;13,VALUE(LEFT(D26,2))&lt;26))),1,0))</f>
        <v>0</v>
      </c>
      <c r="BR221" s="166">
        <f>IF(B27="",0,IF(AND(B27="使用電線-4",OR(D27=AF3,AND(VALUE(LEFT(D27,2))&gt;13,VALUE(LEFT(D27,2))&lt;26))),1,0))</f>
        <v>0</v>
      </c>
      <c r="CA221" s="166">
        <f>IF(B28="",0,IF(AND(B28="使用電線-5",OR(D28=AF3,AND(VALUE(LEFT(D28,2))&gt;13,VALUE(LEFT(D28,2))&lt;26))),1,0))</f>
        <v>0</v>
      </c>
    </row>
    <row r="222" spans="36:79" ht="36" hidden="1" customHeight="1" x14ac:dyDescent="0.15">
      <c r="AZ222" s="166">
        <f>IF(B26="",0,IF(AND(B26="使用電線-2",OR(D26=AF3,AND(VALUE(LEFT(D26,2))&gt;13,VALUE(LEFT(D26,2))&lt;26))),1,0))</f>
        <v>0</v>
      </c>
      <c r="BI222" s="166">
        <f>IF(B27="",0,IF(AND(B27="使用電線-3",OR(D27=AF3,AND(VALUE(LEFT(D27,2))&gt;13,VALUE(LEFT(D27,2))&lt;26))),1,0))</f>
        <v>0</v>
      </c>
      <c r="BR222" s="166">
        <f>IF(B28="",0,IF(AND(B28="使用電線-4",OR(D28=AF3,AND(VALUE(LEFT(D28,2))&gt;13,VALUE(LEFT(D28,2))&lt;26))),1,0))</f>
        <v>0</v>
      </c>
      <c r="CA222" s="166">
        <f>IF(B29="",0,IF(AND(B29="使用電線-5",OR(D29=AF3,AND(VALUE(LEFT(D29,2))&gt;13,VALUE(LEFT(D29,2))&lt;26))),1,0))</f>
        <v>0</v>
      </c>
    </row>
    <row r="223" spans="36:79" ht="38.25" hidden="1" customHeight="1" x14ac:dyDescent="0.15">
      <c r="AZ223" s="166">
        <f>IF(B27="",0,IF(AND(B27="使用電線-2",OR(D27=AF3,AND(VALUE(LEFT(D27,2))&gt;13,VALUE(LEFT(D27,2))&lt;26))),1,0))</f>
        <v>0</v>
      </c>
      <c r="BI223" s="166">
        <f>IF(B28="",0,IF(AND(B28="使用電線-3",OR(D28=AF3,AND(VALUE(LEFT(D28,2))&gt;13,VALUE(LEFT(D28,2))&lt;26))),1,0))</f>
        <v>0</v>
      </c>
      <c r="BR223" s="166">
        <f>IF(B29="",0,IF(AND(B29="使用電線-4",OR(D29=AF3,AND(VALUE(LEFT(D29,2))&gt;13,VALUE(LEFT(D29,2))&lt;26))),1,0))</f>
        <v>0</v>
      </c>
    </row>
    <row r="224" spans="36:79" ht="29.25" hidden="1" customHeight="1" x14ac:dyDescent="0.15">
      <c r="AZ224" s="166">
        <f>IF(B28="",0,IF(AND(B28="使用電線-2",OR(D28=AF3,AND(VALUE(LEFT(D28,2))&gt;13,VALUE(LEFT(D28,2))&lt;26))),1,0))</f>
        <v>0</v>
      </c>
      <c r="BI224" s="166">
        <f>IF(B29="",0,IF(AND(B29="使用電線-3",OR(D29=AF3,AND(VALUE(LEFT(D29,2))&gt;13,VALUE(LEFT(D29,2))&lt;26))),1,0))</f>
        <v>0</v>
      </c>
    </row>
    <row r="225" spans="52:52" ht="45" hidden="1" customHeight="1" x14ac:dyDescent="0.15">
      <c r="AZ225" s="166">
        <f>IF(B29="",0,IF(AND(B29="使用電線-2",OR(D29=AF3,AND(VALUE(LEFT(D29,2))&gt;13,VALUE(LEFT(D29,2))&lt;26))),1,0))</f>
        <v>0</v>
      </c>
    </row>
    <row r="226" spans="52:52" ht="15" customHeight="1" x14ac:dyDescent="0.15"/>
    <row r="227" spans="52:52" ht="15" customHeight="1" x14ac:dyDescent="0.15"/>
    <row r="228" spans="52:52" ht="15" customHeight="1" x14ac:dyDescent="0.15"/>
    <row r="229" spans="52:52" ht="15" customHeight="1" x14ac:dyDescent="0.15"/>
    <row r="230" spans="52:52" ht="15" customHeight="1" x14ac:dyDescent="0.15"/>
    <row r="231" spans="52:52" ht="15" customHeight="1" x14ac:dyDescent="0.15"/>
    <row r="232" spans="52:52" ht="15" customHeight="1" x14ac:dyDescent="0.15"/>
    <row r="233" spans="52:52" ht="15" customHeight="1" x14ac:dyDescent="0.15"/>
    <row r="234" spans="52:52" ht="15" customHeight="1" x14ac:dyDescent="0.15"/>
    <row r="235" spans="52:52" ht="15" customHeight="1" x14ac:dyDescent="0.15"/>
    <row r="236" spans="52:52" ht="15" customHeight="1" x14ac:dyDescent="0.15"/>
    <row r="237" spans="52:52" ht="15" customHeight="1" x14ac:dyDescent="0.15"/>
    <row r="238" spans="52:52" ht="15" customHeight="1" x14ac:dyDescent="0.15"/>
    <row r="239" spans="52:52" ht="15" customHeight="1" x14ac:dyDescent="0.15"/>
    <row r="240" spans="52:52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</sheetData>
  <sheetProtection password="B220" sheet="1" objects="1" scenarios="1" formatCells="0"/>
  <mergeCells count="509">
    <mergeCell ref="B6:C6"/>
    <mergeCell ref="B26:C26"/>
    <mergeCell ref="B27:C27"/>
    <mergeCell ref="B28:C28"/>
    <mergeCell ref="B19:C19"/>
    <mergeCell ref="B23:C23"/>
    <mergeCell ref="AF57:AF58"/>
    <mergeCell ref="B2:B3"/>
    <mergeCell ref="C2:N3"/>
    <mergeCell ref="C4:N4"/>
    <mergeCell ref="P4:Q4"/>
    <mergeCell ref="B58:C58"/>
    <mergeCell ref="B54:C54"/>
    <mergeCell ref="B55:C55"/>
    <mergeCell ref="B56:C56"/>
    <mergeCell ref="B57:C57"/>
    <mergeCell ref="O50:O51"/>
    <mergeCell ref="M50:N51"/>
    <mergeCell ref="M38:N39"/>
    <mergeCell ref="P36:P37"/>
    <mergeCell ref="M32:N32"/>
    <mergeCell ref="B32:C32"/>
    <mergeCell ref="F32:F33"/>
    <mergeCell ref="G32:I32"/>
    <mergeCell ref="G33:H33"/>
    <mergeCell ref="F36:F37"/>
    <mergeCell ref="D34:D35"/>
    <mergeCell ref="E34:E35"/>
    <mergeCell ref="F34:F35"/>
    <mergeCell ref="F50:F51"/>
    <mergeCell ref="F38:F39"/>
    <mergeCell ref="E48:E49"/>
    <mergeCell ref="B44:C44"/>
    <mergeCell ref="B46:C46"/>
    <mergeCell ref="B38:C39"/>
    <mergeCell ref="B40:C40"/>
    <mergeCell ref="B41:C41"/>
    <mergeCell ref="B42:C42"/>
    <mergeCell ref="B43:C43"/>
    <mergeCell ref="B50:C51"/>
    <mergeCell ref="L1:N1"/>
    <mergeCell ref="O1:Q1"/>
    <mergeCell ref="Q32:Q33"/>
    <mergeCell ref="O34:O35"/>
    <mergeCell ref="P34:P35"/>
    <mergeCell ref="Q34:Q35"/>
    <mergeCell ref="M34:N35"/>
    <mergeCell ref="O20:Q20"/>
    <mergeCell ref="P38:P39"/>
    <mergeCell ref="Q38:Q39"/>
    <mergeCell ref="B52:C53"/>
    <mergeCell ref="B20:C22"/>
    <mergeCell ref="B48:C49"/>
    <mergeCell ref="B24:C24"/>
    <mergeCell ref="B25:C25"/>
    <mergeCell ref="B36:C37"/>
    <mergeCell ref="B30:C30"/>
    <mergeCell ref="B29:C29"/>
    <mergeCell ref="F48:F49"/>
    <mergeCell ref="D38:D39"/>
    <mergeCell ref="E38:E39"/>
    <mergeCell ref="D52:D53"/>
    <mergeCell ref="D50:D51"/>
    <mergeCell ref="E52:E53"/>
    <mergeCell ref="E50:E51"/>
    <mergeCell ref="F46:F47"/>
    <mergeCell ref="D19:E19"/>
    <mergeCell ref="D48:D49"/>
    <mergeCell ref="D20:E22"/>
    <mergeCell ref="D25:E25"/>
    <mergeCell ref="D26:E26"/>
    <mergeCell ref="D30:E30"/>
    <mergeCell ref="D27:E27"/>
    <mergeCell ref="D29:E29"/>
    <mergeCell ref="D36:D37"/>
    <mergeCell ref="E36:E37"/>
    <mergeCell ref="D28:E28"/>
    <mergeCell ref="J19:K19"/>
    <mergeCell ref="J20:J22"/>
    <mergeCell ref="L32:L33"/>
    <mergeCell ref="AJ85:AK85"/>
    <mergeCell ref="AJ86:AK86"/>
    <mergeCell ref="AJ64:AK64"/>
    <mergeCell ref="AJ65:AK65"/>
    <mergeCell ref="AJ66:AK66"/>
    <mergeCell ref="AJ67:AK67"/>
    <mergeCell ref="AJ68:AK68"/>
    <mergeCell ref="AJ83:AK83"/>
    <mergeCell ref="AJ84:AK84"/>
    <mergeCell ref="AJ71:AK71"/>
    <mergeCell ref="Q36:Q37"/>
    <mergeCell ref="Q52:Q53"/>
    <mergeCell ref="Q50:Q51"/>
    <mergeCell ref="K48:K49"/>
    <mergeCell ref="L48:L49"/>
    <mergeCell ref="K52:K53"/>
    <mergeCell ref="L52:L53"/>
    <mergeCell ref="O36:O37"/>
    <mergeCell ref="L46:L47"/>
    <mergeCell ref="L38:L39"/>
    <mergeCell ref="J48:J49"/>
    <mergeCell ref="A1:A59"/>
    <mergeCell ref="AJ70:AK70"/>
    <mergeCell ref="I20:I22"/>
    <mergeCell ref="K20:N20"/>
    <mergeCell ref="B34:C35"/>
    <mergeCell ref="G54:I54"/>
    <mergeCell ref="G19:I19"/>
    <mergeCell ref="M40:N40"/>
    <mergeCell ref="G57:I57"/>
    <mergeCell ref="G44:I44"/>
    <mergeCell ref="G48:I49"/>
    <mergeCell ref="G50:I51"/>
    <mergeCell ref="G52:I53"/>
    <mergeCell ref="G55:I55"/>
    <mergeCell ref="J38:J39"/>
    <mergeCell ref="K38:K39"/>
    <mergeCell ref="G56:I56"/>
    <mergeCell ref="O48:O49"/>
    <mergeCell ref="M48:N49"/>
    <mergeCell ref="O38:O39"/>
    <mergeCell ref="O52:O53"/>
    <mergeCell ref="M52:N53"/>
    <mergeCell ref="M55:N55"/>
    <mergeCell ref="K50:K51"/>
    <mergeCell ref="M58:N58"/>
    <mergeCell ref="M46:N47"/>
    <mergeCell ref="J52:J53"/>
    <mergeCell ref="G43:I43"/>
    <mergeCell ref="AJ63:AK63"/>
    <mergeCell ref="F20:G22"/>
    <mergeCell ref="H20:H22"/>
    <mergeCell ref="D23:E23"/>
    <mergeCell ref="D24:E24"/>
    <mergeCell ref="J50:J51"/>
    <mergeCell ref="G46:I46"/>
    <mergeCell ref="G58:I58"/>
    <mergeCell ref="M43:N43"/>
    <mergeCell ref="M44:N44"/>
    <mergeCell ref="J36:J37"/>
    <mergeCell ref="K36:K37"/>
    <mergeCell ref="L36:L37"/>
    <mergeCell ref="L50:L51"/>
    <mergeCell ref="M56:N56"/>
    <mergeCell ref="M57:N57"/>
    <mergeCell ref="M36:N37"/>
    <mergeCell ref="J34:J35"/>
    <mergeCell ref="K34:K35"/>
    <mergeCell ref="F52:F53"/>
    <mergeCell ref="AP115:AQ116"/>
    <mergeCell ref="AJ123:AK123"/>
    <mergeCell ref="AJ91:AK91"/>
    <mergeCell ref="AP95:AQ96"/>
    <mergeCell ref="AJ103:AK103"/>
    <mergeCell ref="AJ104:AK104"/>
    <mergeCell ref="AJ105:AK105"/>
    <mergeCell ref="AJ106:AK106"/>
    <mergeCell ref="G34:I35"/>
    <mergeCell ref="G36:I37"/>
    <mergeCell ref="G38:I39"/>
    <mergeCell ref="AJ87:AK87"/>
    <mergeCell ref="AJ88:AK88"/>
    <mergeCell ref="AJ90:AK90"/>
    <mergeCell ref="G40:I40"/>
    <mergeCell ref="G41:I41"/>
    <mergeCell ref="G42:I42"/>
    <mergeCell ref="AP75:AQ76"/>
    <mergeCell ref="L34:L35"/>
    <mergeCell ref="G47:H47"/>
    <mergeCell ref="Q48:Q49"/>
    <mergeCell ref="M54:N54"/>
    <mergeCell ref="M41:N41"/>
    <mergeCell ref="M42:N42"/>
    <mergeCell ref="AJ124:AK124"/>
    <mergeCell ref="AJ125:AK125"/>
    <mergeCell ref="AJ126:AK126"/>
    <mergeCell ref="AJ127:AK127"/>
    <mergeCell ref="AJ128:AK128"/>
    <mergeCell ref="AJ130:AK130"/>
    <mergeCell ref="AJ107:AK107"/>
    <mergeCell ref="AJ108:AK108"/>
    <mergeCell ref="AJ110:AK110"/>
    <mergeCell ref="AJ111:AK111"/>
    <mergeCell ref="AJ147:AK147"/>
    <mergeCell ref="AJ148:AK148"/>
    <mergeCell ref="AJ150:AK150"/>
    <mergeCell ref="AJ151:AK151"/>
    <mergeCell ref="AP155:AQ156"/>
    <mergeCell ref="AJ163:AK163"/>
    <mergeCell ref="AJ131:AK131"/>
    <mergeCell ref="AP135:AQ136"/>
    <mergeCell ref="AJ143:AK143"/>
    <mergeCell ref="AJ144:AK144"/>
    <mergeCell ref="AJ145:AK145"/>
    <mergeCell ref="AJ146:AK146"/>
    <mergeCell ref="AJ183:AK183"/>
    <mergeCell ref="AJ184:AK184"/>
    <mergeCell ref="AJ185:AK185"/>
    <mergeCell ref="AJ186:AK186"/>
    <mergeCell ref="AJ164:AK164"/>
    <mergeCell ref="AJ165:AK165"/>
    <mergeCell ref="AJ166:AK166"/>
    <mergeCell ref="AJ167:AK167"/>
    <mergeCell ref="AJ168:AK168"/>
    <mergeCell ref="AJ170:AK170"/>
    <mergeCell ref="AJ211:AK211"/>
    <mergeCell ref="AP215:AQ216"/>
    <mergeCell ref="AS63:AT63"/>
    <mergeCell ref="AS64:AT64"/>
    <mergeCell ref="AS65:AT65"/>
    <mergeCell ref="AS66:AT66"/>
    <mergeCell ref="AS67:AT67"/>
    <mergeCell ref="AS68:AT68"/>
    <mergeCell ref="AS70:AT70"/>
    <mergeCell ref="AS71:AT71"/>
    <mergeCell ref="AJ204:AK204"/>
    <mergeCell ref="AJ205:AK205"/>
    <mergeCell ref="AJ206:AK206"/>
    <mergeCell ref="AJ207:AK207"/>
    <mergeCell ref="AJ208:AK208"/>
    <mergeCell ref="AJ210:AK210"/>
    <mergeCell ref="AJ187:AK187"/>
    <mergeCell ref="AJ188:AK188"/>
    <mergeCell ref="AJ190:AK190"/>
    <mergeCell ref="AJ191:AK191"/>
    <mergeCell ref="AP195:AQ196"/>
    <mergeCell ref="AJ203:AK203"/>
    <mergeCell ref="AJ171:AK171"/>
    <mergeCell ref="AP175:AQ176"/>
    <mergeCell ref="AY95:AZ96"/>
    <mergeCell ref="AS103:AT103"/>
    <mergeCell ref="AS104:AT104"/>
    <mergeCell ref="AY75:AZ76"/>
    <mergeCell ref="AS83:AT83"/>
    <mergeCell ref="AS84:AT84"/>
    <mergeCell ref="AS85:AT85"/>
    <mergeCell ref="AS86:AT86"/>
    <mergeCell ref="AS87:AT87"/>
    <mergeCell ref="AS105:AT105"/>
    <mergeCell ref="AS106:AT106"/>
    <mergeCell ref="AS107:AT107"/>
    <mergeCell ref="AS108:AT108"/>
    <mergeCell ref="AS110:AT110"/>
    <mergeCell ref="AS111:AT111"/>
    <mergeCell ref="AS88:AT88"/>
    <mergeCell ref="AS90:AT90"/>
    <mergeCell ref="AS91:AT91"/>
    <mergeCell ref="AY135:AZ136"/>
    <mergeCell ref="AS143:AT143"/>
    <mergeCell ref="AS144:AT144"/>
    <mergeCell ref="AY115:AZ116"/>
    <mergeCell ref="AS123:AT123"/>
    <mergeCell ref="AS124:AT124"/>
    <mergeCell ref="AS125:AT125"/>
    <mergeCell ref="AS126:AT126"/>
    <mergeCell ref="AS127:AT127"/>
    <mergeCell ref="AS145:AT145"/>
    <mergeCell ref="AS146:AT146"/>
    <mergeCell ref="AS147:AT147"/>
    <mergeCell ref="AS148:AT148"/>
    <mergeCell ref="AS150:AT150"/>
    <mergeCell ref="AS151:AT151"/>
    <mergeCell ref="AS128:AT128"/>
    <mergeCell ref="AS130:AT130"/>
    <mergeCell ref="AS131:AT131"/>
    <mergeCell ref="AS171:AT171"/>
    <mergeCell ref="AY175:AZ176"/>
    <mergeCell ref="AS183:AT183"/>
    <mergeCell ref="AS184:AT184"/>
    <mergeCell ref="AY155:AZ156"/>
    <mergeCell ref="AS163:AT163"/>
    <mergeCell ref="AS164:AT164"/>
    <mergeCell ref="AS165:AT165"/>
    <mergeCell ref="AS166:AT166"/>
    <mergeCell ref="AS167:AT167"/>
    <mergeCell ref="AS208:AT208"/>
    <mergeCell ref="AS210:AT210"/>
    <mergeCell ref="AS211:AT211"/>
    <mergeCell ref="AY215:AZ216"/>
    <mergeCell ref="BB63:BC63"/>
    <mergeCell ref="BB64:BC64"/>
    <mergeCell ref="BB65:BC65"/>
    <mergeCell ref="BB66:BC66"/>
    <mergeCell ref="BB67:BC67"/>
    <mergeCell ref="BB68:BC68"/>
    <mergeCell ref="AY195:AZ196"/>
    <mergeCell ref="AS203:AT203"/>
    <mergeCell ref="AS204:AT204"/>
    <mergeCell ref="AS205:AT205"/>
    <mergeCell ref="AS206:AT206"/>
    <mergeCell ref="AS207:AT207"/>
    <mergeCell ref="AS185:AT185"/>
    <mergeCell ref="AS186:AT186"/>
    <mergeCell ref="AS187:AT187"/>
    <mergeCell ref="AS188:AT188"/>
    <mergeCell ref="AS190:AT190"/>
    <mergeCell ref="AS191:AT191"/>
    <mergeCell ref="AS168:AT168"/>
    <mergeCell ref="AS170:AT170"/>
    <mergeCell ref="BH95:BI96"/>
    <mergeCell ref="BB103:BC103"/>
    <mergeCell ref="BB70:BC70"/>
    <mergeCell ref="BB71:BC71"/>
    <mergeCell ref="BB86:BC86"/>
    <mergeCell ref="BH75:BI76"/>
    <mergeCell ref="BB83:BC83"/>
    <mergeCell ref="BB84:BC84"/>
    <mergeCell ref="BB85:BC85"/>
    <mergeCell ref="BB104:BC104"/>
    <mergeCell ref="BB105:BC105"/>
    <mergeCell ref="BB106:BC106"/>
    <mergeCell ref="BB107:BC107"/>
    <mergeCell ref="BB108:BC108"/>
    <mergeCell ref="BB110:BC110"/>
    <mergeCell ref="BB87:BC87"/>
    <mergeCell ref="BB88:BC88"/>
    <mergeCell ref="BB90:BC90"/>
    <mergeCell ref="BB91:BC91"/>
    <mergeCell ref="BB130:BC130"/>
    <mergeCell ref="BB131:BC131"/>
    <mergeCell ref="BH135:BI136"/>
    <mergeCell ref="BB143:BC143"/>
    <mergeCell ref="BB111:BC111"/>
    <mergeCell ref="BH115:BI116"/>
    <mergeCell ref="BB123:BC123"/>
    <mergeCell ref="BB124:BC124"/>
    <mergeCell ref="BB125:BC125"/>
    <mergeCell ref="BB126:BC126"/>
    <mergeCell ref="BB211:BC211"/>
    <mergeCell ref="BH215:BI216"/>
    <mergeCell ref="BK63:BL63"/>
    <mergeCell ref="BK64:BL64"/>
    <mergeCell ref="BK65:BL65"/>
    <mergeCell ref="BK66:BL66"/>
    <mergeCell ref="BK67:BL67"/>
    <mergeCell ref="BB191:BC191"/>
    <mergeCell ref="BH195:BI196"/>
    <mergeCell ref="BB203:BC203"/>
    <mergeCell ref="BB204:BC204"/>
    <mergeCell ref="BB205:BC205"/>
    <mergeCell ref="BB206:BC206"/>
    <mergeCell ref="BB184:BC184"/>
    <mergeCell ref="BB185:BC185"/>
    <mergeCell ref="BB186:BC186"/>
    <mergeCell ref="BB187:BC187"/>
    <mergeCell ref="BB188:BC188"/>
    <mergeCell ref="BB190:BC190"/>
    <mergeCell ref="BB167:BC167"/>
    <mergeCell ref="BB168:BC168"/>
    <mergeCell ref="BB170:BC170"/>
    <mergeCell ref="BB171:BC171"/>
    <mergeCell ref="BH175:BI176"/>
    <mergeCell ref="BK68:BL68"/>
    <mergeCell ref="BK70:BL70"/>
    <mergeCell ref="BK71:BL71"/>
    <mergeCell ref="BQ75:BR76"/>
    <mergeCell ref="BK83:BL83"/>
    <mergeCell ref="BK84:BL84"/>
    <mergeCell ref="BB207:BC207"/>
    <mergeCell ref="BB208:BC208"/>
    <mergeCell ref="BB210:BC210"/>
    <mergeCell ref="BB183:BC183"/>
    <mergeCell ref="BB151:BC151"/>
    <mergeCell ref="BH155:BI156"/>
    <mergeCell ref="BB163:BC163"/>
    <mergeCell ref="BB164:BC164"/>
    <mergeCell ref="BB165:BC165"/>
    <mergeCell ref="BB166:BC166"/>
    <mergeCell ref="BB144:BC144"/>
    <mergeCell ref="BB145:BC145"/>
    <mergeCell ref="BB146:BC146"/>
    <mergeCell ref="BB147:BC147"/>
    <mergeCell ref="BB148:BC148"/>
    <mergeCell ref="BB150:BC150"/>
    <mergeCell ref="BB127:BC127"/>
    <mergeCell ref="BB128:BC128"/>
    <mergeCell ref="BK103:BL103"/>
    <mergeCell ref="BK104:BL104"/>
    <mergeCell ref="BK105:BL105"/>
    <mergeCell ref="BK106:BL106"/>
    <mergeCell ref="BK107:BL107"/>
    <mergeCell ref="BK85:BL85"/>
    <mergeCell ref="BK86:BL86"/>
    <mergeCell ref="BK87:BL87"/>
    <mergeCell ref="BK88:BL88"/>
    <mergeCell ref="BK90:BL90"/>
    <mergeCell ref="BK91:BL91"/>
    <mergeCell ref="BK125:BL125"/>
    <mergeCell ref="BK126:BL126"/>
    <mergeCell ref="BK127:BL127"/>
    <mergeCell ref="BK128:BL128"/>
    <mergeCell ref="BK130:BL130"/>
    <mergeCell ref="BK131:BL131"/>
    <mergeCell ref="BK108:BL108"/>
    <mergeCell ref="BK110:BL110"/>
    <mergeCell ref="BK111:BL111"/>
    <mergeCell ref="BK123:BL123"/>
    <mergeCell ref="BK124:BL124"/>
    <mergeCell ref="BK148:BL148"/>
    <mergeCell ref="BK150:BL150"/>
    <mergeCell ref="BK151:BL151"/>
    <mergeCell ref="BQ155:BR156"/>
    <mergeCell ref="BK163:BL163"/>
    <mergeCell ref="BK164:BL164"/>
    <mergeCell ref="BQ135:BR136"/>
    <mergeCell ref="BK143:BL143"/>
    <mergeCell ref="BK144:BL144"/>
    <mergeCell ref="BK145:BL145"/>
    <mergeCell ref="BK146:BL146"/>
    <mergeCell ref="BK147:BL147"/>
    <mergeCell ref="BK183:BL183"/>
    <mergeCell ref="BK184:BL184"/>
    <mergeCell ref="BK185:BL185"/>
    <mergeCell ref="BK186:BL186"/>
    <mergeCell ref="BK187:BL187"/>
    <mergeCell ref="BK165:BL165"/>
    <mergeCell ref="BK166:BL166"/>
    <mergeCell ref="BK167:BL167"/>
    <mergeCell ref="BK168:BL168"/>
    <mergeCell ref="BK170:BL170"/>
    <mergeCell ref="BK171:BL171"/>
    <mergeCell ref="BK205:BL205"/>
    <mergeCell ref="BK206:BL206"/>
    <mergeCell ref="BK207:BL207"/>
    <mergeCell ref="BK208:BL208"/>
    <mergeCell ref="BK210:BL210"/>
    <mergeCell ref="BK211:BL211"/>
    <mergeCell ref="BK188:BL188"/>
    <mergeCell ref="BK190:BL190"/>
    <mergeCell ref="BK191:BL191"/>
    <mergeCell ref="BK203:BL203"/>
    <mergeCell ref="BK204:BL204"/>
    <mergeCell ref="BZ75:CA76"/>
    <mergeCell ref="BT83:BU83"/>
    <mergeCell ref="BT84:BU84"/>
    <mergeCell ref="BT85:BU85"/>
    <mergeCell ref="BT87:BU87"/>
    <mergeCell ref="BT88:BU88"/>
    <mergeCell ref="BQ215:BR216"/>
    <mergeCell ref="BT63:BU63"/>
    <mergeCell ref="BT64:BU64"/>
    <mergeCell ref="BT65:BU65"/>
    <mergeCell ref="BT66:BU66"/>
    <mergeCell ref="BT67:BU67"/>
    <mergeCell ref="BT68:BU68"/>
    <mergeCell ref="BT70:BU70"/>
    <mergeCell ref="BT71:BU71"/>
    <mergeCell ref="BT86:BU86"/>
    <mergeCell ref="BQ195:BR196"/>
    <mergeCell ref="BQ175:BR176"/>
    <mergeCell ref="BQ115:BR116"/>
    <mergeCell ref="BQ95:BR96"/>
    <mergeCell ref="BT106:BU106"/>
    <mergeCell ref="BT107:BU107"/>
    <mergeCell ref="BT108:BU108"/>
    <mergeCell ref="BT110:BU110"/>
    <mergeCell ref="BT111:BU111"/>
    <mergeCell ref="BZ115:CA116"/>
    <mergeCell ref="BT90:BU90"/>
    <mergeCell ref="BT91:BU91"/>
    <mergeCell ref="BZ95:CA96"/>
    <mergeCell ref="BT103:BU103"/>
    <mergeCell ref="BT104:BU104"/>
    <mergeCell ref="BT105:BU105"/>
    <mergeCell ref="BZ155:CA156"/>
    <mergeCell ref="BT130:BU130"/>
    <mergeCell ref="BT131:BU131"/>
    <mergeCell ref="BZ135:CA136"/>
    <mergeCell ref="BT143:BU143"/>
    <mergeCell ref="BT144:BU144"/>
    <mergeCell ref="BT145:BU145"/>
    <mergeCell ref="BT123:BU123"/>
    <mergeCell ref="BT124:BU124"/>
    <mergeCell ref="BT125:BU125"/>
    <mergeCell ref="BT126:BU126"/>
    <mergeCell ref="BT127:BU127"/>
    <mergeCell ref="BT128:BU128"/>
    <mergeCell ref="BT163:BU163"/>
    <mergeCell ref="BT164:BU164"/>
    <mergeCell ref="BT165:BU165"/>
    <mergeCell ref="BT166:BU166"/>
    <mergeCell ref="BT167:BU167"/>
    <mergeCell ref="BT168:BU168"/>
    <mergeCell ref="BT146:BU146"/>
    <mergeCell ref="BT147:BU147"/>
    <mergeCell ref="BT148:BU148"/>
    <mergeCell ref="BT150:BU150"/>
    <mergeCell ref="BT151:BU151"/>
    <mergeCell ref="BT186:BU186"/>
    <mergeCell ref="BT187:BU187"/>
    <mergeCell ref="BT188:BU188"/>
    <mergeCell ref="BT190:BU190"/>
    <mergeCell ref="BT191:BU191"/>
    <mergeCell ref="BZ195:CA196"/>
    <mergeCell ref="BT170:BU170"/>
    <mergeCell ref="BT171:BU171"/>
    <mergeCell ref="BZ175:CA176"/>
    <mergeCell ref="BT183:BU183"/>
    <mergeCell ref="BT184:BU184"/>
    <mergeCell ref="BT185:BU185"/>
    <mergeCell ref="BT203:BU203"/>
    <mergeCell ref="BT204:BU204"/>
    <mergeCell ref="BT210:BU210"/>
    <mergeCell ref="BT211:BU211"/>
    <mergeCell ref="BZ215:CA216"/>
    <mergeCell ref="BT205:BU205"/>
    <mergeCell ref="BT206:BU206"/>
    <mergeCell ref="BT207:BU207"/>
    <mergeCell ref="BT208:BU208"/>
  </mergeCells>
  <phoneticPr fontId="2"/>
  <dataValidations count="5">
    <dataValidation type="list" showInputMessage="1" showErrorMessage="1" sqref="D24:E29 D31:E31">
      <formula1>$AF$3:$AF$44</formula1>
    </dataValidation>
    <dataValidation type="list" errorStyle="warning" showInputMessage="1" showErrorMessage="1" sqref="D23">
      <formula1>$AF$3:$AF$44</formula1>
    </dataValidation>
    <dataValidation type="list" errorStyle="warning" allowBlank="1" showInputMessage="1" showErrorMessage="1" sqref="I23:I29">
      <formula1>$AH$3:$AH$11</formula1>
    </dataValidation>
    <dataValidation type="custom" allowBlank="1" showInputMessage="1" showErrorMessage="1" errorTitle="弛度補正入力" error="使用電線を選択してください。" sqref="I47 I33">
      <formula1>IF(G33="弛度補正",TRUE,FALSE)</formula1>
    </dataValidation>
    <dataValidation type="custom" allowBlank="1" showInputMessage="1" showErrorMessage="1" errorTitle="弛度補正値入力" error="使用電線を選択して下さい!!" sqref="C47 C33 N33">
      <formula1>IF(B33="弛度補正",TRUE,FALSE)</formula1>
    </dataValidation>
  </dataValidations>
  <pageMargins left="0.70866141732283472" right="0.39370078740157483" top="0.43307086614173229" bottom="0.43307086614173229" header="0" footer="0"/>
  <pageSetup paperSize="9" scale="98" orientation="portrait" r:id="rId1"/>
  <headerFooter alignWithMargins="0">
    <oddFooter>&amp;RNo.３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8446" r:id="rId4">
          <objectPr defaultSize="0" autoPict="0" r:id="rId5">
            <anchor moveWithCells="1" sizeWithCells="1">
              <from>
                <xdr:col>12</xdr:col>
                <xdr:colOff>466725</xdr:colOff>
                <xdr:row>8</xdr:row>
                <xdr:rowOff>180975</xdr:rowOff>
              </from>
              <to>
                <xdr:col>14</xdr:col>
                <xdr:colOff>66675</xdr:colOff>
                <xdr:row>10</xdr:row>
                <xdr:rowOff>123825</xdr:rowOff>
              </to>
            </anchor>
          </objectPr>
        </oleObject>
      </mc:Choice>
      <mc:Fallback>
        <oleObject progId="Equation.3" shapeId="18446" r:id="rId4"/>
      </mc:Fallback>
    </mc:AlternateContent>
    <mc:AlternateContent xmlns:mc="http://schemas.openxmlformats.org/markup-compatibility/2006">
      <mc:Choice Requires="x14">
        <oleObject progId="Equation.3" shapeId="18447" r:id="rId6">
          <objectPr defaultSize="0" autoPict="0" r:id="rId7">
            <anchor moveWithCells="1" sizeWithCells="1">
              <from>
                <xdr:col>9</xdr:col>
                <xdr:colOff>0</xdr:colOff>
                <xdr:row>7</xdr:row>
                <xdr:rowOff>28575</xdr:rowOff>
              </from>
              <to>
                <xdr:col>11</xdr:col>
                <xdr:colOff>409575</xdr:colOff>
                <xdr:row>8</xdr:row>
                <xdr:rowOff>171450</xdr:rowOff>
              </to>
            </anchor>
          </objectPr>
        </oleObject>
      </mc:Choice>
      <mc:Fallback>
        <oleObject progId="Equation.3" shapeId="18447" r:id="rId6"/>
      </mc:Fallback>
    </mc:AlternateContent>
    <mc:AlternateContent xmlns:mc="http://schemas.openxmlformats.org/markup-compatibility/2006">
      <mc:Choice Requires="x14">
        <oleObject progId="Equation.3" shapeId="18449" r:id="rId8">
          <objectPr defaultSize="0" autoPict="0" r:id="rId9">
            <anchor moveWithCells="1" sizeWithCells="1">
              <from>
                <xdr:col>12</xdr:col>
                <xdr:colOff>352425</xdr:colOff>
                <xdr:row>7</xdr:row>
                <xdr:rowOff>38100</xdr:rowOff>
              </from>
              <to>
                <xdr:col>14</xdr:col>
                <xdr:colOff>85725</xdr:colOff>
                <xdr:row>8</xdr:row>
                <xdr:rowOff>152400</xdr:rowOff>
              </to>
            </anchor>
          </objectPr>
        </oleObject>
      </mc:Choice>
      <mc:Fallback>
        <oleObject progId="Equation.3" shapeId="18449" r:id="rId8"/>
      </mc:Fallback>
    </mc:AlternateContent>
    <mc:AlternateContent xmlns:mc="http://schemas.openxmlformats.org/markup-compatibility/2006">
      <mc:Choice Requires="x14">
        <oleObject progId="Equation.3" shapeId="18450" r:id="rId10">
          <objectPr defaultSize="0" autoPict="0" r:id="rId11">
            <anchor moveWithCells="1" sizeWithCells="1">
              <from>
                <xdr:col>3</xdr:col>
                <xdr:colOff>38100</xdr:colOff>
                <xdr:row>8</xdr:row>
                <xdr:rowOff>200025</xdr:rowOff>
              </from>
              <to>
                <xdr:col>7</xdr:col>
                <xdr:colOff>133350</xdr:colOff>
                <xdr:row>10</xdr:row>
                <xdr:rowOff>123825</xdr:rowOff>
              </to>
            </anchor>
          </objectPr>
        </oleObject>
      </mc:Choice>
      <mc:Fallback>
        <oleObject progId="Equation.3" shapeId="18450" r:id="rId10"/>
      </mc:Fallback>
    </mc:AlternateContent>
    <mc:AlternateContent xmlns:mc="http://schemas.openxmlformats.org/markup-compatibility/2006">
      <mc:Choice Requires="x14">
        <oleObject progId="Equation.3" shapeId="18451" r:id="rId12">
          <objectPr defaultSize="0" autoPict="0" r:id="rId13">
            <anchor moveWithCells="1" sizeWithCells="1">
              <from>
                <xdr:col>8</xdr:col>
                <xdr:colOff>104775</xdr:colOff>
                <xdr:row>8</xdr:row>
                <xdr:rowOff>161925</xdr:rowOff>
              </from>
              <to>
                <xdr:col>10</xdr:col>
                <xdr:colOff>133350</xdr:colOff>
                <xdr:row>10</xdr:row>
                <xdr:rowOff>114300</xdr:rowOff>
              </to>
            </anchor>
          </objectPr>
        </oleObject>
      </mc:Choice>
      <mc:Fallback>
        <oleObject progId="Equation.3" shapeId="18451" r:id="rId12"/>
      </mc:Fallback>
    </mc:AlternateContent>
    <mc:AlternateContent xmlns:mc="http://schemas.openxmlformats.org/markup-compatibility/2006">
      <mc:Choice Requires="x14">
        <oleObject progId="Equation.3" shapeId="18452" r:id="rId14">
          <objectPr defaultSize="0" autoPict="0" r:id="rId15">
            <anchor moveWithCells="1" sizeWithCells="1">
              <from>
                <xdr:col>10</xdr:col>
                <xdr:colOff>304800</xdr:colOff>
                <xdr:row>8</xdr:row>
                <xdr:rowOff>200025</xdr:rowOff>
              </from>
              <to>
                <xdr:col>12</xdr:col>
                <xdr:colOff>209550</xdr:colOff>
                <xdr:row>10</xdr:row>
                <xdr:rowOff>104775</xdr:rowOff>
              </to>
            </anchor>
          </objectPr>
        </oleObject>
      </mc:Choice>
      <mc:Fallback>
        <oleObject progId="Equation.3" shapeId="18452" r:id="rId14"/>
      </mc:Fallback>
    </mc:AlternateContent>
    <mc:AlternateContent xmlns:mc="http://schemas.openxmlformats.org/markup-compatibility/2006">
      <mc:Choice Requires="x14">
        <oleObject progId="Equation.3" shapeId="18453" r:id="rId16">
          <objectPr defaultSize="0" autoPict="0" r:id="rId17">
            <anchor moveWithCells="1" sizeWithCells="1">
              <from>
                <xdr:col>14</xdr:col>
                <xdr:colOff>257175</xdr:colOff>
                <xdr:row>9</xdr:row>
                <xdr:rowOff>0</xdr:rowOff>
              </from>
              <to>
                <xdr:col>15</xdr:col>
                <xdr:colOff>390525</xdr:colOff>
                <xdr:row>10</xdr:row>
                <xdr:rowOff>123825</xdr:rowOff>
              </to>
            </anchor>
          </objectPr>
        </oleObject>
      </mc:Choice>
      <mc:Fallback>
        <oleObject progId="Equation.3" shapeId="18453" r:id="rId16"/>
      </mc:Fallback>
    </mc:AlternateContent>
    <mc:AlternateContent xmlns:mc="http://schemas.openxmlformats.org/markup-compatibility/2006">
      <mc:Choice Requires="x14">
        <oleObject progId="Equation.3" shapeId="18455" r:id="rId18">
          <objectPr defaultSize="0" autoPict="0" r:id="rId19">
            <anchor moveWithCells="1" sizeWithCells="1">
              <from>
                <xdr:col>2</xdr:col>
                <xdr:colOff>66675</xdr:colOff>
                <xdr:row>7</xdr:row>
                <xdr:rowOff>38100</xdr:rowOff>
              </from>
              <to>
                <xdr:col>6</xdr:col>
                <xdr:colOff>180975</xdr:colOff>
                <xdr:row>8</xdr:row>
                <xdr:rowOff>171450</xdr:rowOff>
              </to>
            </anchor>
          </objectPr>
        </oleObject>
      </mc:Choice>
      <mc:Fallback>
        <oleObject progId="Equation.3" shapeId="18455" r:id="rId1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26"/>
  </sheetPr>
  <dimension ref="A1:CA28212"/>
  <sheetViews>
    <sheetView view="pageBreakPreview" zoomScaleNormal="100" zoomScaleSheetLayoutView="100" workbookViewId="0">
      <selection sqref="A1:A59"/>
    </sheetView>
  </sheetViews>
  <sheetFormatPr defaultRowHeight="13.5" x14ac:dyDescent="0.15"/>
  <cols>
    <col min="1" max="1" width="2.125" style="1" customWidth="1"/>
    <col min="2" max="2" width="6.75" style="1" customWidth="1"/>
    <col min="3" max="3" width="7.125" style="1" customWidth="1"/>
    <col min="4" max="4" width="5.875" style="1" customWidth="1"/>
    <col min="5" max="6" width="5.5" style="1" customWidth="1"/>
    <col min="7" max="7" width="3" style="1" customWidth="1"/>
    <col min="8" max="8" width="3.75" style="1" customWidth="1"/>
    <col min="9" max="9" width="7.125" style="1" customWidth="1"/>
    <col min="10" max="10" width="5.75" style="1" customWidth="1"/>
    <col min="11" max="11" width="5.375" style="1" customWidth="1"/>
    <col min="12" max="12" width="5.5" style="1" customWidth="1"/>
    <col min="13" max="14" width="7" style="1" customWidth="1"/>
    <col min="15" max="15" width="5.75" style="1" customWidth="1"/>
    <col min="16" max="16" width="5.625" style="1" customWidth="1"/>
    <col min="17" max="17" width="5.5" style="1" customWidth="1"/>
    <col min="18" max="18" width="1.25" style="1" customWidth="1"/>
    <col min="19" max="31" width="10" style="1" hidden="1" customWidth="1"/>
    <col min="32" max="32" width="11.25" style="1" customWidth="1"/>
    <col min="33" max="33" width="1.25" style="1" customWidth="1"/>
    <col min="34" max="34" width="10" style="1" customWidth="1"/>
    <col min="35" max="79" width="10" style="1" hidden="1" customWidth="1"/>
    <col min="80" max="80" width="10" style="1" customWidth="1"/>
    <col min="81" max="16384" width="9" style="1"/>
  </cols>
  <sheetData>
    <row r="1" spans="1:50" ht="13.5" customHeight="1" thickBot="1" x14ac:dyDescent="0.2">
      <c r="A1" s="339" t="s">
        <v>288</v>
      </c>
      <c r="B1" s="256" t="s">
        <v>289</v>
      </c>
      <c r="C1" s="256"/>
      <c r="D1" s="176"/>
      <c r="E1" s="176"/>
      <c r="F1" s="176"/>
      <c r="G1" s="176"/>
      <c r="H1" s="176"/>
      <c r="I1" s="176"/>
      <c r="J1" s="176"/>
      <c r="K1" s="176"/>
      <c r="L1" s="377"/>
      <c r="M1" s="377"/>
      <c r="N1" s="377"/>
      <c r="O1" s="378">
        <f ca="1">NOW()</f>
        <v>43058.134259837963</v>
      </c>
      <c r="P1" s="378"/>
      <c r="Q1" s="37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K1" s="246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</row>
    <row r="2" spans="1:50" ht="15" customHeight="1" x14ac:dyDescent="0.15">
      <c r="A2" s="339"/>
      <c r="B2" s="398"/>
      <c r="C2" s="413" t="str">
        <f>'WireDip-01'!C2</f>
        <v xml:space="preserve"> 貴社名を入力して下さい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2"/>
      <c r="O2" s="257"/>
      <c r="P2" s="258"/>
      <c r="Q2" s="259"/>
      <c r="AF2" s="42" t="s">
        <v>290</v>
      </c>
      <c r="AH2" s="490" t="s">
        <v>291</v>
      </c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</row>
    <row r="3" spans="1:50" ht="10.5" customHeight="1" x14ac:dyDescent="0.15">
      <c r="A3" s="339"/>
      <c r="B3" s="399"/>
      <c r="C3" s="403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  <c r="O3" s="260"/>
      <c r="P3" s="261"/>
      <c r="Q3" s="262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66" t="str">
        <f>IF('WireDip-01'!AF3="","",'WireDip-01'!AF3)</f>
        <v>01-600V ＯＷ</v>
      </c>
      <c r="AG3" s="24"/>
      <c r="AH3" s="491" t="str">
        <f>IF('WireDip-01'!AH3="","",'WireDip-01'!AH3)</f>
        <v>MW  22sq</v>
      </c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</row>
    <row r="4" spans="1:50" ht="16.5" customHeight="1" thickBot="1" x14ac:dyDescent="0.2">
      <c r="A4" s="339"/>
      <c r="B4" s="488" t="s">
        <v>178</v>
      </c>
      <c r="C4" s="406" t="str">
        <f>'WireDip-01'!C4</f>
        <v xml:space="preserve"> 物件名を入力して下さい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8"/>
      <c r="O4" s="263" t="s">
        <v>180</v>
      </c>
      <c r="P4" s="409" t="str">
        <f>'WireDip-01'!P4</f>
        <v>サイン</v>
      </c>
      <c r="Q4" s="410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66" t="str">
        <f>IF('WireDip-01'!AF4="","",'WireDip-01'!AF4)</f>
        <v>02-6KV ＯＣ</v>
      </c>
      <c r="AG4" s="25"/>
      <c r="AH4" s="266" t="str">
        <f>IF('WireDip-01'!AH4="","",'WireDip-01'!AH4)</f>
        <v>MW  38sq</v>
      </c>
      <c r="AI4" s="26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</row>
    <row r="5" spans="1:50" ht="15.75" customHeight="1" thickBot="1" x14ac:dyDescent="0.2">
      <c r="A5" s="339"/>
      <c r="B5" s="20" t="s">
        <v>182</v>
      </c>
      <c r="C5" s="183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55" t="s">
        <v>183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66" t="str">
        <f>IF('WireDip-01'!AF5="","",'WireDip-01'!AF5)</f>
        <v>03-6KV ＯＥ</v>
      </c>
      <c r="AG5" s="40"/>
      <c r="AH5" s="266" t="str">
        <f>IF('WireDip-01'!AH5="","",'WireDip-01'!AH5)</f>
        <v>MW  55sq</v>
      </c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</row>
    <row r="6" spans="1:50" ht="18" customHeight="1" x14ac:dyDescent="0.15">
      <c r="A6" s="339"/>
      <c r="B6" s="390" t="s">
        <v>12</v>
      </c>
      <c r="C6" s="39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266" t="str">
        <f>IF('WireDip-01'!AF6="","",'WireDip-01'!AF6)</f>
        <v>04-6KV ＯＰ</v>
      </c>
      <c r="AG6" s="41"/>
      <c r="AH6" s="266" t="str">
        <f>IF('WireDip-01'!AH6="","",'WireDip-01'!AH6)</f>
        <v>MW  90sq</v>
      </c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</row>
    <row r="7" spans="1:50" ht="18" customHeight="1" x14ac:dyDescent="0.15">
      <c r="A7" s="339"/>
      <c r="B7" s="215" t="s">
        <v>11</v>
      </c>
      <c r="C7" s="18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266" t="str">
        <f>IF('WireDip-01'!AF7="","",'WireDip-01'!AF7)</f>
        <v>05-6KV ACSR-OC</v>
      </c>
      <c r="AG7" s="41"/>
      <c r="AH7" s="266" t="str">
        <f>IF('WireDip-01'!AH7="","",'WireDip-01'!AH7)</f>
        <v>MW 110sq</v>
      </c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</row>
    <row r="8" spans="1:50" ht="16.5" customHeight="1" x14ac:dyDescent="0.15">
      <c r="A8" s="339"/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266" t="str">
        <f>IF('WireDip-01'!AF8="","",'WireDip-01'!AF8)</f>
        <v>06-6KV ACSR-OE</v>
      </c>
      <c r="AG8" s="41"/>
      <c r="AH8" s="266" t="str">
        <f>IF('WireDip-01'!AH8="","",'WireDip-01'!AH8)</f>
        <v xml:space="preserve">USER Reg. </v>
      </c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</row>
    <row r="9" spans="1:50" ht="16.5" customHeight="1" x14ac:dyDescent="0.15">
      <c r="A9" s="339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266" t="str">
        <f>IF('WireDip-01'!AF9="","",'WireDip-01'!AF9)</f>
        <v>07-6KV AAAC-OC</v>
      </c>
      <c r="AG9" s="41"/>
      <c r="AH9" s="266" t="str">
        <f>IF('WireDip-01'!AH9="","",'WireDip-01'!AH9)</f>
        <v xml:space="preserve">USER Reg. </v>
      </c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</row>
    <row r="10" spans="1:50" ht="18" customHeight="1" x14ac:dyDescent="0.15">
      <c r="A10" s="339"/>
      <c r="B10" s="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266" t="str">
        <f>IF('WireDip-01'!AF10="","",'WireDip-01'!AF10)</f>
        <v>08-6KV CV-T</v>
      </c>
      <c r="AG10" s="41"/>
      <c r="AH10" s="266" t="str">
        <f>IF('WireDip-01'!AH10="","",'WireDip-01'!AH10)</f>
        <v xml:space="preserve">USER Reg. </v>
      </c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</row>
    <row r="11" spans="1:50" ht="18" customHeight="1" x14ac:dyDescent="0.15">
      <c r="A11" s="339"/>
      <c r="B11" s="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3"/>
      <c r="S11" s="3"/>
      <c r="T11" s="3"/>
      <c r="U11" s="3"/>
      <c r="V11" s="212"/>
      <c r="W11" s="3"/>
      <c r="X11" s="3"/>
      <c r="Y11" s="3"/>
      <c r="Z11" s="3"/>
      <c r="AA11" s="3"/>
      <c r="AB11" s="3"/>
      <c r="AC11" s="3"/>
      <c r="AD11" s="3"/>
      <c r="AE11" s="3"/>
      <c r="AF11" s="266" t="str">
        <f>IF('WireDip-01'!AF11="","",'WireDip-01'!AF11)</f>
        <v>09-600V CV-2C</v>
      </c>
      <c r="AG11" s="41"/>
      <c r="AH11" s="266" t="str">
        <f>IF('WireDip-01'!AH11="","",'WireDip-01'!AH11)</f>
        <v>---〃---</v>
      </c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</row>
    <row r="12" spans="1:50" ht="18" customHeight="1" x14ac:dyDescent="0.15">
      <c r="A12" s="339"/>
      <c r="B12" s="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266" t="str">
        <f>IF('WireDip-01'!AF12="","",'WireDip-01'!AF12)</f>
        <v>10-600V CV-3C</v>
      </c>
      <c r="AG12" s="41"/>
      <c r="AH12" s="41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</row>
    <row r="13" spans="1:50" ht="18" customHeight="1" x14ac:dyDescent="0.15">
      <c r="A13" s="339"/>
      <c r="B13" s="5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266" t="str">
        <f>IF('WireDip-01'!AF13="","",'WireDip-01'!AF13)</f>
        <v>11-600V CV-T</v>
      </c>
      <c r="AG13" s="41"/>
      <c r="AH13" s="41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</row>
    <row r="14" spans="1:50" ht="18" customHeight="1" x14ac:dyDescent="0.15">
      <c r="A14" s="339"/>
      <c r="B14" s="5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266" t="str">
        <f>IF('WireDip-01'!AF14="","",'WireDip-01'!AF14)</f>
        <v>12-CVV- 2C</v>
      </c>
      <c r="AG14" s="41"/>
      <c r="AH14" s="41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</row>
    <row r="15" spans="1:50" ht="18" customHeight="1" x14ac:dyDescent="0.15">
      <c r="A15" s="339"/>
      <c r="B15" s="5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48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266" t="str">
        <f>IF('WireDip-01'!AF15="","",'WireDip-01'!AF15)</f>
        <v>13-CVV- 3C</v>
      </c>
      <c r="AG15" s="41"/>
      <c r="AH15" s="41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</row>
    <row r="16" spans="1:50" ht="18" customHeight="1" x14ac:dyDescent="0.15">
      <c r="A16" s="339"/>
      <c r="B16" s="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3"/>
      <c r="S16" s="3"/>
      <c r="T16" s="95" t="s">
        <v>40</v>
      </c>
      <c r="U16" s="95" t="s">
        <v>41</v>
      </c>
      <c r="V16" s="95" t="s">
        <v>42</v>
      </c>
      <c r="W16" s="3"/>
      <c r="X16" s="3"/>
      <c r="Y16" s="3"/>
      <c r="Z16" s="3"/>
      <c r="AA16" s="3"/>
      <c r="AB16" s="3"/>
      <c r="AC16" s="3"/>
      <c r="AD16" s="3"/>
      <c r="AE16" s="3"/>
      <c r="AF16" s="266" t="str">
        <f>IF('WireDip-01'!AF16="","",'WireDip-01'!AF16)</f>
        <v>14-CVV- 4C</v>
      </c>
      <c r="AG16" s="41"/>
      <c r="AH16" s="41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</row>
    <row r="17" spans="1:50" ht="18" customHeight="1" x14ac:dyDescent="0.15">
      <c r="A17" s="339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3"/>
      <c r="S17" s="170">
        <v>23</v>
      </c>
      <c r="T17" s="99">
        <f>IF(AND(AC23=AC24,AC23=AC25,AC23=AC26,AC23=AC27,AC23=AC28,AC23=AC29),S35,IF(AND(AC23=AC24,AC23=AC25,AC23=AC26,AC23=AC27,AC23=AC28),S36,IF(AND(AC23=AC24,AC23=AC25,AC23=AC26,AC23=AC27),S37,IF(AND(AC23=AC24,AC23=AC25,AC23=AC26),S38,IF(AND(AC23=AC24,AC23=AC25),S39,IF(AC23=AC24,S40,0))))))</f>
        <v>0</v>
      </c>
      <c r="U17" s="99">
        <f>IF(AND(AC23=AC24,AC23=AC25,AC23=AC26,AC23=AC27,AC23=AC28,AC23=AC29),S48,IF(AND(AC23=AC24,AC23=AC25,AC23=AC26,AC23=AC27,AC23=AC28),S49,IF(AND(AC23=AC24,AC23=AC25,AC23=AC26,AC23=AC27),S50,IF(AND(AC23=AC24,AC23=AC25,AC23=AC26),S51,IF(AND(AC23=AC24,AC23=AC25),S52,IF(AC23=AC24,S53,0))))))</f>
        <v>0</v>
      </c>
      <c r="V17" s="99">
        <f>IF(AND(AC23=AC24,AC23=AC25,AC23=AC26,AC23=AC27,AC23=AC28,AC23=AC29),S61,IF(AND(AC23=AC24,AC23=AC25,AC23=AC26,AC23=AC27,AC23=AC28),S62,IF(AND(AC23=AC24,AC23=AC25,AC23=AC26,AC23=AC27),S63,IF(AND(AC23=AC24,AC23=AC25,AC23=AC26),S64,IF(AND(AC23=AC24,AC23=AC25),S65,IF(AC23=AC24,S66,0))))))</f>
        <v>0</v>
      </c>
      <c r="W17" s="3"/>
      <c r="X17" s="3"/>
      <c r="Y17" s="3"/>
      <c r="Z17" s="3"/>
      <c r="AA17" s="3"/>
      <c r="AB17" s="3"/>
      <c r="AC17" s="3"/>
      <c r="AD17" s="3"/>
      <c r="AE17" s="3"/>
      <c r="AF17" s="266" t="str">
        <f>IF('WireDip-01'!AF17="","",'WireDip-01'!AF17)</f>
        <v>15-CVV－5C</v>
      </c>
      <c r="AG17" s="41"/>
      <c r="AH17" s="41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</row>
    <row r="18" spans="1:50" ht="13.5" customHeight="1" thickBot="1" x14ac:dyDescent="0.2">
      <c r="A18" s="339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3"/>
      <c r="S18" s="170">
        <v>23</v>
      </c>
      <c r="T18" s="99">
        <f>IF(D23="",0,IF(I23="",SQRT(((K23+S23)/10)^2+(M23+U23)^2),SQRT(((K23/10)*(H23^0.55)+S23/1000)^2+(M23*H23+U23)^2)))</f>
        <v>0</v>
      </c>
      <c r="U18" s="99">
        <f>IF(D23="",0,IF(I23="",SQRT((50*(K23/1000+0.012))^2+(M23+16.9646*(K23/1000+0.006))^2),SQRT((((K23*H23*0.001/H23)*(H23^0.55)+0.012+Y47)*50)^2+(M23*H23+16.9646*((K23*H23*0.001/H23)*(H23^0.55)+0.006)+Z47)^2)))</f>
        <v>0</v>
      </c>
      <c r="V18" s="99">
        <f>IF(D23="",0,IF(I23="",SQRT(((K23+S23)/20)^2+(M23+U23)^2),SQRT(((K23/20)*(H23^0.55)+S23/1000)^2+(M23*H23+U23)^2)))</f>
        <v>0</v>
      </c>
      <c r="W18" s="3"/>
      <c r="X18" s="3"/>
      <c r="Y18" s="3"/>
      <c r="Z18" s="3"/>
      <c r="AA18" s="3"/>
      <c r="AB18" s="3"/>
      <c r="AC18" s="3"/>
      <c r="AD18" s="3"/>
      <c r="AE18" s="3"/>
      <c r="AF18" s="266" t="str">
        <f>IF('WireDip-01'!AF18="","",'WireDip-01'!AF18)</f>
        <v>16-CVV- 6C</v>
      </c>
      <c r="AG18" s="41"/>
      <c r="AH18" s="41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</row>
    <row r="19" spans="1:50" ht="18" customHeight="1" thickBot="1" x14ac:dyDescent="0.2">
      <c r="A19" s="339"/>
      <c r="B19" s="392" t="s">
        <v>44</v>
      </c>
      <c r="C19" s="393"/>
      <c r="D19" s="364" t="s">
        <v>160</v>
      </c>
      <c r="E19" s="365"/>
      <c r="F19" s="477"/>
      <c r="G19" s="349" t="s">
        <v>184</v>
      </c>
      <c r="H19" s="349"/>
      <c r="I19" s="350"/>
      <c r="J19" s="351" t="s">
        <v>45</v>
      </c>
      <c r="K19" s="352"/>
      <c r="L19" s="214"/>
      <c r="M19" s="213" t="str">
        <f>IF(AND(B23="",B24="",B25="",B26="",B27="",B28="",B29="",OR(C33&lt;&gt;"",I33&lt;&gt;"",N33&lt;&gt;"",C47&lt;&gt;"",I47&lt;&gt;"")),"弛度補正値を消去して下さい!!",IF(AND(D23&lt;&gt;"",F19=""),"径間長を入力して下さい!!",IF(AND(D23&lt;&gt;"",L19=""),"基準弛度を入力して下さい!!","")))</f>
        <v/>
      </c>
      <c r="N19" s="38"/>
      <c r="O19" s="38"/>
      <c r="P19" s="38"/>
      <c r="Q19" s="39"/>
      <c r="R19" s="35"/>
      <c r="S19" s="170">
        <v>24</v>
      </c>
      <c r="T19" s="99" t="str">
        <f>IF(AC23=AC24,"",IF(AND(AC24=AC25,AC24=AC26,AC24=AC27,AC24=AC28,AC24=AC29),T36,IF(AND(AC24=AC25,AC24=AC26,AC24=AC27,AC24=AC28),T36,IF(AND(AC24=AC25,AC24=AC26,AC24=AC27),T38,IF(AND(AC24=AC25,AC24=AC26),T39,IF(AC24=AC25,T40,0))))))</f>
        <v/>
      </c>
      <c r="U19" s="99" t="str">
        <f>IF(AC23=AC24,"",IF(AND(AC24=AC25,AC24=AC26,AC24=AC27,AC24=AC28,AC24=AC29),T49,IF(AND(AC24=AC25,AC24=AC26,AC24=AC27,AC24=AC28),T50,IF(AND(AC24=AC25,AC24=AC26,AC24=AC27),T51,IF(AND(AC24=AC25,AC24=AC26),T52,IF(AC24=AC25,T5,0))))))</f>
        <v/>
      </c>
      <c r="V19" s="99" t="str">
        <f>IF(AC23=AC24,"",IF(AND(AC24=AC25,AC24=AC26,AC24=AC27,AC24=AC28,AC24=AC29),T62,IF(AND(AC24=AC25,AC24=AC26,AC24=AC27,AC24=AC28),T63,IF(AND(AC24=AC25,AC24=AC26,AC24=AC27),T64,IF(AND(AC24=AC25,AC24=AC26),T65,IF(AC24=AC25,T66,0))))))</f>
        <v/>
      </c>
      <c r="W19" s="35"/>
      <c r="X19" s="35"/>
      <c r="Y19" s="35"/>
      <c r="Z19" s="35"/>
      <c r="AA19" s="35"/>
      <c r="AB19" s="35"/>
      <c r="AC19" s="35"/>
      <c r="AD19" s="35"/>
      <c r="AE19" s="35"/>
      <c r="AF19" s="266" t="str">
        <f>IF('WireDip-01'!AF19="","",'WireDip-01'!AF19)</f>
        <v>17-CVV- 7C</v>
      </c>
      <c r="AG19" s="41"/>
      <c r="AH19" s="41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</row>
    <row r="20" spans="1:50" ht="11.25" customHeight="1" x14ac:dyDescent="0.15">
      <c r="A20" s="339"/>
      <c r="B20" s="367" t="s">
        <v>60</v>
      </c>
      <c r="C20" s="368"/>
      <c r="D20" s="316" t="s">
        <v>26</v>
      </c>
      <c r="E20" s="317"/>
      <c r="F20" s="316" t="s">
        <v>185</v>
      </c>
      <c r="G20" s="317"/>
      <c r="H20" s="322" t="s">
        <v>29</v>
      </c>
      <c r="I20" s="340" t="s">
        <v>292</v>
      </c>
      <c r="J20" s="353" t="s">
        <v>61</v>
      </c>
      <c r="K20" s="343" t="s">
        <v>43</v>
      </c>
      <c r="L20" s="344"/>
      <c r="M20" s="344"/>
      <c r="N20" s="345"/>
      <c r="O20" s="381" t="s">
        <v>51</v>
      </c>
      <c r="P20" s="344"/>
      <c r="Q20" s="382"/>
      <c r="R20" s="36"/>
      <c r="S20" s="169">
        <v>24</v>
      </c>
      <c r="T20" s="99">
        <f>IF(D24="",0,IF(I24="",SQRT(((K24+S24)/10)^2+(M24+U24)^2),SQRT((K24*(H24^0.55)/10+S24/1000)^2+(M24*H24+U24)^2)))</f>
        <v>0</v>
      </c>
      <c r="U20" s="99">
        <f>IF(D24="",0,IF(I24="",SQRT((50*(K24/1000+0.012))^2+(M24+16.9646*(K24/1000+0.006))^2),SQRT((((K24*H24*0.001/H24)*(H24^0.55)+0.012+Y48)*50)^2+(M24*H24+16.9646*((K24*H24*0.001/H24)*(H24^0.55)+0.006)+Z48)^2)))</f>
        <v>0</v>
      </c>
      <c r="V20" s="99">
        <f>IF(D24="",0,IF(I24="",SQRT(((K24+S24)/20)^2+(M24+U24)^2),SQRT((K24*(H24^0.55)/20+S24/1000)^2+(M24*H24+U24)^2)))</f>
        <v>0</v>
      </c>
      <c r="W20" s="36"/>
      <c r="X20" s="36"/>
      <c r="Y20" s="254" t="s">
        <v>187</v>
      </c>
      <c r="Z20" s="36"/>
      <c r="AA20" s="36"/>
      <c r="AB20" s="36"/>
      <c r="AC20" s="36"/>
      <c r="AD20" s="36"/>
      <c r="AE20" s="36"/>
      <c r="AF20" s="266" t="str">
        <f>IF('WireDip-01'!AF20="","",'WireDip-01'!AF20)</f>
        <v>18-CVV- 8C</v>
      </c>
      <c r="AG20" s="41"/>
      <c r="AH20" s="41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</row>
    <row r="21" spans="1:50" ht="11.25" customHeight="1" x14ac:dyDescent="0.15">
      <c r="A21" s="339"/>
      <c r="B21" s="369"/>
      <c r="C21" s="370"/>
      <c r="D21" s="318"/>
      <c r="E21" s="319"/>
      <c r="F21" s="318"/>
      <c r="G21" s="319"/>
      <c r="H21" s="323"/>
      <c r="I21" s="341"/>
      <c r="J21" s="354"/>
      <c r="K21" s="49" t="s">
        <v>32</v>
      </c>
      <c r="L21" s="50" t="s">
        <v>34</v>
      </c>
      <c r="M21" s="50" t="s">
        <v>36</v>
      </c>
      <c r="N21" s="50" t="s">
        <v>38</v>
      </c>
      <c r="O21" s="50" t="s">
        <v>40</v>
      </c>
      <c r="P21" s="50" t="s">
        <v>41</v>
      </c>
      <c r="Q21" s="52" t="s">
        <v>42</v>
      </c>
      <c r="R21" s="36"/>
      <c r="S21" s="36"/>
      <c r="T21" s="36"/>
      <c r="U21" s="36"/>
      <c r="V21" s="36"/>
      <c r="W21" s="36"/>
      <c r="X21" s="36"/>
      <c r="Y21" s="50" t="s">
        <v>36</v>
      </c>
      <c r="Z21" s="36"/>
      <c r="AA21" s="36"/>
      <c r="AB21" s="36"/>
      <c r="AC21" s="36"/>
      <c r="AD21" s="36"/>
      <c r="AE21" s="36"/>
      <c r="AF21" s="266" t="str">
        <f>IF('WireDip-01'!AF21="","",'WireDip-01'!AF21)</f>
        <v>19-CVV-10C</v>
      </c>
      <c r="AG21" s="41"/>
      <c r="AH21" s="41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</row>
    <row r="22" spans="1:50" ht="11.25" customHeight="1" x14ac:dyDescent="0.15">
      <c r="A22" s="339"/>
      <c r="B22" s="371"/>
      <c r="C22" s="372"/>
      <c r="D22" s="320"/>
      <c r="E22" s="321"/>
      <c r="F22" s="320"/>
      <c r="G22" s="321"/>
      <c r="H22" s="324"/>
      <c r="I22" s="342"/>
      <c r="J22" s="355"/>
      <c r="K22" s="37" t="s">
        <v>293</v>
      </c>
      <c r="L22" s="51" t="s">
        <v>294</v>
      </c>
      <c r="M22" s="51" t="s">
        <v>295</v>
      </c>
      <c r="N22" s="51" t="s">
        <v>296</v>
      </c>
      <c r="O22" s="51" t="s">
        <v>297</v>
      </c>
      <c r="P22" s="51" t="s">
        <v>298</v>
      </c>
      <c r="Q22" s="30" t="s">
        <v>298</v>
      </c>
      <c r="R22" s="36"/>
      <c r="S22" s="103" t="s">
        <v>32</v>
      </c>
      <c r="T22" s="103" t="s">
        <v>34</v>
      </c>
      <c r="U22" s="103" t="s">
        <v>36</v>
      </c>
      <c r="V22" s="104" t="s">
        <v>299</v>
      </c>
      <c r="W22" s="104" t="s">
        <v>300</v>
      </c>
      <c r="X22" s="100"/>
      <c r="Y22" s="51" t="s">
        <v>295</v>
      </c>
      <c r="Z22" s="100"/>
      <c r="AA22" s="36"/>
      <c r="AB22" s="36"/>
      <c r="AC22" s="43" t="s">
        <v>301</v>
      </c>
      <c r="AD22" s="43" t="s">
        <v>302</v>
      </c>
      <c r="AE22" s="36"/>
      <c r="AF22" s="266" t="str">
        <f>IF('WireDip-01'!AF22="","",'WireDip-01'!AF22)</f>
        <v>20-CVV-12C</v>
      </c>
      <c r="AG22" s="41"/>
      <c r="AH22" s="41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</row>
    <row r="23" spans="1:50" ht="15" customHeight="1" x14ac:dyDescent="0.15">
      <c r="A23" s="339"/>
      <c r="B23" s="394" t="str">
        <f>IF(OR(D23="",F23="",H23="",J23=""),"","使用電線-"&amp;AC23)</f>
        <v/>
      </c>
      <c r="C23" s="395"/>
      <c r="D23" s="325"/>
      <c r="E23" s="326"/>
      <c r="F23" s="478"/>
      <c r="G23" s="479" t="str">
        <f t="shared" ref="G23:G29" si="0">IF(F23=0,"",IF(OR(F23=0.5,F23=1.2,F23=2.6,F23=3.2,F23=4,F23=5),"mm","sq"))</f>
        <v/>
      </c>
      <c r="H23" s="480"/>
      <c r="I23" s="481"/>
      <c r="J23" s="482"/>
      <c r="K23" s="190" t="str">
        <f>IF(B23="","",HLOOKUP(F23,Ｗｉｒｅ,3+(VALUE(LEFT(D23,2))-1)*8,FALSE))</f>
        <v/>
      </c>
      <c r="L23" s="189" t="str">
        <f t="shared" ref="L23:L29" si="1">IF(B23="","",IF(I23="",HLOOKUP(F23,Ｗｉｒｅ,4+(VALUE(LEFT(D23,2))-1)*8),T23))</f>
        <v/>
      </c>
      <c r="M23" s="191" t="str">
        <f>IF(AND(I24="---〃---",I25="---〃---",I26="---〃---",I27="---〃---",I28="---〃---",I29="---〃---"),SUM(Y23:Y29),IF(AND(I24="---〃---",I25="---〃---",I26="---〃---",I27="---〃---",I28="---〃---"),SUM(Y23:Y28),IF(AND(I24="---〃---",I25="---〃---",I26="---〃---",I27="---〃---"),SUM(Y23:Y27),IF(AND(I24="---〃---",I25="---〃---",I26="---〃---"),SUM(Y23:Y26),IF(AND(I24="---〃---",I25="---〃---"),SUM(Y23:Y25),IF(I24="---〃---",SUM(Y23:Y24),Y23))))))</f>
        <v/>
      </c>
      <c r="N23" s="192" t="str">
        <f>IF(B23="","",IF(I23="",HLOOKUP(F23,Ｗｉｒｅ,6+(VALUE(LEFT(D23,2))-1)*8,FALSE),VLOOKUP(I23,Ｍ.Ｗｉｒｅ,5,FALSE)))</f>
        <v/>
      </c>
      <c r="O23" s="191" t="str">
        <f>IF(B23="","",IF(T17=0,T18,T17))</f>
        <v/>
      </c>
      <c r="P23" s="191" t="str">
        <f>IF(B23="","",IF(U17=0,U18,U17))</f>
        <v/>
      </c>
      <c r="Q23" s="193" t="str">
        <f>IF(B23="","",IF(V17=0,V18,V17))</f>
        <v/>
      </c>
      <c r="R23" s="58"/>
      <c r="S23" s="54">
        <f>IF(OR(I23=AH3,I23=AH4,I23=AH5,I23=AH6,I23=AH7,I23=AH8,I23=AH9,I23=AH10),VLOOKUP(I23,Ｍ.Ｗｉｒｅ,2,FALSE),0)</f>
        <v>0</v>
      </c>
      <c r="T23" s="54">
        <f>IF(OR(I23=AH3,I23=AH4,I23=AH5,I23=AH6,I23=AH7,I23=AH8,I23=AH9,I23=AH10),VLOOKUP(I23,Ｍ.Ｗｉｒｅ,3,FALSE),0)</f>
        <v>0</v>
      </c>
      <c r="U23" s="54">
        <f>IF(OR(I23=AH3,I23=AH4,I23=AH5,I23=AH6,I23=AH7,I23=AH8,I23=AH9,I23=AH10),VLOOKUP(I23,Ｍ.Ｗｉｒｅ,4,FALSE),0)</f>
        <v>0</v>
      </c>
      <c r="V23" s="96">
        <f t="shared" ref="V23:V29" si="2">IF(B23="",0,IF(I23="---〃---","",IF(I23="",HLOOKUP(F23,Ｗｉｒｅ,7+(VALUE(LEFT(D23,2))-1)*8,FALSE),VLOOKUP(I23,Ｍ.Ｗｉｒｅ,6,FALSE))))</f>
        <v>0</v>
      </c>
      <c r="W23" s="53">
        <f t="shared" ref="W23:W29" si="3">IF(B23="",0,IF(I23="---〃---","",IF(I23="",HLOOKUP(F23,Ｗｉｒｅ,8+(VALUE(LEFT(D23,2))-1)*8,FALSE),VLOOKUP(I23,Ｍ.Ｗｉｒｅ,7,FALSE))))</f>
        <v>0</v>
      </c>
      <c r="X23" s="101"/>
      <c r="Y23" s="54" t="str">
        <f t="shared" ref="Y23:Y29" si="4">IF(B23="","",HLOOKUP(F23,Ｗｉｒｅ,5+(VALUE(LEFT(D23,2))-1)*8)*H23)</f>
        <v/>
      </c>
      <c r="Z23" s="101"/>
      <c r="AA23" s="58"/>
      <c r="AB23" s="53" t="str">
        <f>IF(AC23="","",1)</f>
        <v/>
      </c>
      <c r="AC23" s="53" t="str">
        <f>IF(AND(D23&lt;&gt;"",OR(AD23=0,AD23=1)),1,"")</f>
        <v/>
      </c>
      <c r="AD23" s="53">
        <f t="shared" ref="AD23:AD29" si="5">IF(I23="",0,IF(I23="---〃---",2,IF(I23&lt;&gt;"",1,"入力ミス")))</f>
        <v>0</v>
      </c>
      <c r="AE23" s="58"/>
      <c r="AF23" s="266" t="str">
        <f>IF('WireDip-01'!AF23="","",'WireDip-01'!AF23)</f>
        <v>21-CVV-15C</v>
      </c>
      <c r="AG23" s="41"/>
      <c r="AH23" s="41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</row>
    <row r="24" spans="1:50" ht="15" customHeight="1" x14ac:dyDescent="0.15">
      <c r="A24" s="339"/>
      <c r="B24" s="373" t="str">
        <f>IF(OR(D24="",F24="",H24="",J24=""),"",IF(AC23=AC24,"---〃---","使用電線-"&amp;AC24))</f>
        <v/>
      </c>
      <c r="C24" s="374"/>
      <c r="D24" s="327"/>
      <c r="E24" s="328"/>
      <c r="F24" s="483"/>
      <c r="G24" s="479" t="str">
        <f t="shared" si="0"/>
        <v/>
      </c>
      <c r="H24" s="484"/>
      <c r="I24" s="485"/>
      <c r="J24" s="486"/>
      <c r="K24" s="194" t="str">
        <f>IF(B24="","",HLOOKUP(F24,Ｗｉｒｅ,3+(VALUE(LEFT(D24,2))-1)*8,FALSE))</f>
        <v/>
      </c>
      <c r="L24" s="189" t="str">
        <f t="shared" si="1"/>
        <v/>
      </c>
      <c r="M24" s="195" t="str">
        <f>IF(I24="---〃---",0.00001,IF(AND(I25="---〃---",I26="---〃---",I27="---〃---",I28="---〃---",I29="---〃---"),SUM(Y24:Y29),IF(AND(I25="---〃---",I26="---〃---",I27="---〃---",I28="---〃---"),SUM(Y24:Y28),IF(AND(I25="---〃---",I26="---〃---",I27="---〃---"),SUM(Y24:Y27),IF(AND(I25="---〃---",I26="---〃---"),SUM(Y24:Y26),IF(I25="---〃---",SUM(Y24:Y25),Y24))))))</f>
        <v/>
      </c>
      <c r="N24" s="196" t="str">
        <f>IF(OR(B24="",I24="---〃---"),"",IF(I24="",HLOOKUP(F24,Ｗｉｒｅ,6+(VALUE(LEFT(D24,2))-1)*8,FALSE),VLOOKUP(I24,Ｍ.Ｗｉｒｅ,5,FALSE)))</f>
        <v/>
      </c>
      <c r="O24" s="195" t="str">
        <f>IF(AND(T19=0,T20=0),"",IF(T19=0,T20,T19))</f>
        <v/>
      </c>
      <c r="P24" s="195" t="str">
        <f>IF(AND(U19=0,U20=0),"",IF(U19=0,U20,U19))</f>
        <v/>
      </c>
      <c r="Q24" s="197" t="str">
        <f>IF(AND(V19=0,V20=0),"",IF(V19=0,V20,V19))</f>
        <v/>
      </c>
      <c r="R24" s="58"/>
      <c r="S24" s="54">
        <f>IF(OR(I24=AH3,I24=AH4,I24=AH5,I24=AH6,I24=AH7,I24=AH8,I24=AH9,I24=AH10),VLOOKUP(I24,Ｍ.Ｗｉｒｅ,2,FALSE),0)</f>
        <v>0</v>
      </c>
      <c r="T24" s="54">
        <f>IF(OR(I24=AH3,I24=AH4,I24=AH5,I24=AH6,I24=AH7,I24=AH8,I24=AH9,I24=AH10),VLOOKUP(I24,Ｍ.Ｗｉｒｅ,3,FALSE),0)</f>
        <v>0</v>
      </c>
      <c r="U24" s="54">
        <f>IF(OR(I24=AH3,I24=AH4,I24=AH5,I24=AH6,I24=AH7,I24=AH8,I24=AH9,I24=AH10),VLOOKUP(I24,Ｍ.Ｗｉｒｅ,4,FALSE),0)</f>
        <v>0</v>
      </c>
      <c r="V24" s="96">
        <f t="shared" si="2"/>
        <v>0</v>
      </c>
      <c r="W24" s="53">
        <f t="shared" si="3"/>
        <v>0</v>
      </c>
      <c r="X24" s="101"/>
      <c r="Y24" s="54" t="str">
        <f t="shared" si="4"/>
        <v/>
      </c>
      <c r="Z24" s="101"/>
      <c r="AA24" s="58"/>
      <c r="AB24" s="53" t="str">
        <f t="shared" ref="AB24:AB29" si="6">IF(AC24="","",AB23+1)</f>
        <v/>
      </c>
      <c r="AC24" s="53" t="str">
        <f t="shared" ref="AC24:AC29" si="7">IF(AND(D24&lt;&gt;"",AD24=2),AC23,IF(AND(D24&lt;&gt;"",OR(AD24=0,AD24=1)),AC23+1,""))</f>
        <v/>
      </c>
      <c r="AD24" s="53">
        <f t="shared" si="5"/>
        <v>0</v>
      </c>
      <c r="AE24" s="58"/>
      <c r="AF24" s="266" t="str">
        <f>IF('WireDip-01'!AF24="","",'WireDip-01'!AF24)</f>
        <v>22-CVV-20C</v>
      </c>
      <c r="AG24" s="41"/>
      <c r="AH24" s="41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</row>
    <row r="25" spans="1:50" ht="15" customHeight="1" x14ac:dyDescent="0.15">
      <c r="A25" s="339"/>
      <c r="B25" s="373" t="str">
        <f>IF(OR(D25="",F25="",H25="",J25=""),"",IF(AC24=AC25,"---〃---","使用電線-"&amp;AC25))</f>
        <v/>
      </c>
      <c r="C25" s="374"/>
      <c r="D25" s="327"/>
      <c r="E25" s="328"/>
      <c r="F25" s="483"/>
      <c r="G25" s="479" t="str">
        <f t="shared" si="0"/>
        <v/>
      </c>
      <c r="H25" s="484"/>
      <c r="I25" s="485"/>
      <c r="J25" s="486"/>
      <c r="K25" s="194" t="str">
        <f>IF(B25="","",HLOOKUP(F25,Ｗｉｒｅ,3+(VALUE(LEFT(D25,2))-1)*8,FALSE))</f>
        <v/>
      </c>
      <c r="L25" s="189" t="str">
        <f t="shared" si="1"/>
        <v/>
      </c>
      <c r="M25" s="195" t="str">
        <f>IF(I25="---〃---",0.00001,IF(AND(I26="---〃---",I27="---〃---",I28="---〃---",I29="---〃---"),SUM(Y25:Y29),IF(AND(I26="---〃---",I27="---〃---",I28="---〃---"),SUM(Y25:Y28),IF(AND(I26="---〃---",I27="---〃---"),SUM(Y25:Y27),IF(I26="---〃---",SUM(Y25:Y26),Y25)))))</f>
        <v/>
      </c>
      <c r="N25" s="196" t="str">
        <f>IF(OR(B25="",I25="---〃---"),"",IF(I25="",HLOOKUP(F25,Ｗｉｒｅ,6+(VALUE(LEFT(D25,2))-1)*8,FALSE),VLOOKUP(I25,Ｍ.Ｗｉｒｅ,5,FALSE)))</f>
        <v/>
      </c>
      <c r="O25" s="195" t="str">
        <f>IF(B25="","",IF(AC24=AC25,"",IF(AND(AC25=AC26,AC25=AC27,AC25=AC28,AC25=AC29),U37,IF(AND(AC25=AC26,AC25=AC27,AC25=AC28),U38,IF(AND(AC25=AC26,AC25=AC27),U39,IF(AC25=AC26,U40,IF(I25="",SQRT(((K25+S25)/10)^2+(M25+U25)^2),SQRT(((K25/10)*(H25^0.55)+S25/1000)^2+(M25*H25+U25)^2))))))))</f>
        <v/>
      </c>
      <c r="P25" s="195" t="str">
        <f>IF(O25="","",IF(AC24=AC25,"",IF(AND(AC25=AC26,AC25=AC27,AC25=AC28,AC25=AC29),U50,IF(AND(AC25=AC26,AC25=AC27,AC25=AC28),U51,IF(AND(AC25=AC26,AC25=AC27),U52,IF(AC25=AC26,U53,IF(I25="",SQRT((50*(K25/1000+0.012))^2+(M25+16.9646*(K25/1000+0.006))^2),SQRT((((K25*H25*0.001/H25)*(H25^0.55)+0.012+Y49)*50)^2+(M25*H25+16.9646*((K25*H25*0.001/H25)*(H25^0.55)+0.006)+Z49)^2))))))))</f>
        <v/>
      </c>
      <c r="Q25" s="197" t="str">
        <f>IF(O25="","",IF(AC24=AC25,"",IF(AND(AC25=AC26,AC25=AC27,AC25=AC28,AC25=AC29),U63,IF(AND(AC25=AC26,AC25=AC27,AC25=AC28),U64,IF(AND(AC25=AC26,AC25=AC27),U65,IF(AC25=AC26,U66,IF(I25="",SQRT(((K25+S25)/20)^2+(M25+U25)^2),SQRT(((K25/20)*(H25^0.55)+S25/1000)^2+(M25*H25+U25)^2))))))))</f>
        <v/>
      </c>
      <c r="R25" s="58"/>
      <c r="S25" s="54">
        <f>IF(OR(I25=AH3,I25=AH4,I25=AH5,I25=AH6,I25=AH7,I25=AH8,I25=AH9,I25=AH10),VLOOKUP(I25,Ｍ.Ｗｉｒｅ,2,FALSE),0)</f>
        <v>0</v>
      </c>
      <c r="T25" s="54">
        <f>IF(OR(I25=AH3,I25=AH4,I25=AH5,I25=AH6,I25=AH7,I25=AH8,I25=AH9,I25=AH10),VLOOKUP(I25,Ｍ.Ｗｉｒｅ,3,FALSE),0)</f>
        <v>0</v>
      </c>
      <c r="U25" s="54">
        <f>IF(OR(I25=AH3,I25=AH4,I25=AH5,I25=AH6,I25=AH7,I25=AH8,I25=AH9,I25=AH10),VLOOKUP(I25,Ｍ.Ｗｉｒｅ,4,FALSE),0)</f>
        <v>0</v>
      </c>
      <c r="V25" s="96">
        <f t="shared" si="2"/>
        <v>0</v>
      </c>
      <c r="W25" s="53">
        <f t="shared" si="3"/>
        <v>0</v>
      </c>
      <c r="X25" s="101"/>
      <c r="Y25" s="54" t="str">
        <f t="shared" si="4"/>
        <v/>
      </c>
      <c r="Z25" s="101"/>
      <c r="AA25" s="58"/>
      <c r="AB25" s="53" t="str">
        <f t="shared" si="6"/>
        <v/>
      </c>
      <c r="AC25" s="53" t="str">
        <f t="shared" si="7"/>
        <v/>
      </c>
      <c r="AD25" s="53">
        <f t="shared" si="5"/>
        <v>0</v>
      </c>
      <c r="AE25" s="58"/>
      <c r="AF25" s="266" t="str">
        <f>IF('WireDip-01'!AF25="","",'WireDip-01'!AF25)</f>
        <v>23-CVV-30C</v>
      </c>
      <c r="AG25" s="41"/>
      <c r="AH25" s="41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</row>
    <row r="26" spans="1:50" ht="15" customHeight="1" x14ac:dyDescent="0.15">
      <c r="A26" s="339"/>
      <c r="B26" s="373" t="str">
        <f>IF(OR(D26="",F26="",H26="",J26=""),"",IF(AC25=AC26,"---〃---","使用電線-"&amp;AC26))</f>
        <v/>
      </c>
      <c r="C26" s="374"/>
      <c r="D26" s="327"/>
      <c r="E26" s="328"/>
      <c r="F26" s="483"/>
      <c r="G26" s="479" t="str">
        <f t="shared" si="0"/>
        <v/>
      </c>
      <c r="H26" s="484"/>
      <c r="I26" s="485"/>
      <c r="J26" s="486"/>
      <c r="K26" s="194" t="str">
        <f>IF(B26="","",HLOOKUP(F26,Ｗｉｒｅ,3+(VALUE(LEFT(D26,2))-1)*8,FALSE))</f>
        <v/>
      </c>
      <c r="L26" s="189" t="str">
        <f t="shared" si="1"/>
        <v/>
      </c>
      <c r="M26" s="195" t="str">
        <f>IF(I26="---〃---",0.00001,IF(AND(I27="---〃---",I28="---〃---",I29="---〃---"),SUM(Y26:Y29),IF(AND(I27="---〃---",I28="---〃---"),SUM(Y26:Y28),IF(I27="---〃---",SUM(Y26:Y27),Y26))))</f>
        <v/>
      </c>
      <c r="N26" s="196" t="str">
        <f>IF(OR(B26="",I26="---〃---"),"",IF(I26="",HLOOKUP(F26,Ｗｉｒｅ,6+(VALUE(LEFT(D26,2))-1)*8,FALSE),VLOOKUP(I26,Ｍ.Ｗｉｒｅ,5,FALSE)))</f>
        <v/>
      </c>
      <c r="O26" s="195" t="str">
        <f>IF(B26="","",IF(AC25=AC26,"",IF(AND(AC26=AC27,AC26=AC28,AC26=AC29),V38,IF(AND(AC26=AC27,AC26=AC28),V39,IF(AC26=AC27,V40,IF(I26="",SQRT(((K26+S26)/10)^2+(M26+U26)^2),SQRT(((K26/10)*(H26^0.55)+S26/1000)^2+(M26*H26+U26)^2)))))))</f>
        <v/>
      </c>
      <c r="P26" s="195" t="str">
        <f>IF(O26="","",IF(AC25=AC26,"",IF(AND(AC26=AC27,AC26=AC28,AC26=AC29),V51,IF(AND(AC26=AC27,AC26=AC28),V52,IF(AC26=AC27,V53,IF(I26="",SQRT((50*(K26/1000+0.012))^2+(M26+16.9646*(K26/1000+0.006))^2),SQRT((((K26*H26*0.001/H26)*(H26^0.55)+0.012+Y50)*50)^2+(M26*H26+16.9646*((K26*H26*0.001/H26)*(H26^0.55)+0.006)+Z50)^2)))))))</f>
        <v/>
      </c>
      <c r="Q26" s="197" t="str">
        <f>IF(O26="","",IF(AC25=AC26,"",IF(AND(AC26=AC27,AC26=AC28,AC26=AC29),V64,IF(AND(AC26=AC27,AC26=AC28),V65,IF(AC26=AC27,V66,IF(I26="",SQRT(((K26+S26)/20)^2+(M26+U26)^2),SQRT(((K26/20)*(H26^0.55)+S26/1000)^2+(M26*H26+U26)^2)))))))</f>
        <v/>
      </c>
      <c r="R26" s="58"/>
      <c r="S26" s="54">
        <f>IF(OR(I26=AH3,I26=AH4,I26=AH5,I26=AH6,I26=AH7,I26=AH8,I26=AH9,I26=AH10),VLOOKUP(I26,Ｍ.Ｗｉｒｅ,2,FALSE),0)</f>
        <v>0</v>
      </c>
      <c r="T26" s="54">
        <f>IF(OR(I26=AH3,I26=AH4,I26=AH5,I26=AH6,I26=AH7,I26=AH8,I26=AH9,I26=AH10),VLOOKUP(I26,Ｍ.Ｗｉｒｅ,3,FALSE),0)</f>
        <v>0</v>
      </c>
      <c r="U26" s="54">
        <f>IF(OR(I26=AH3,I26=AH4,I26=AH5,I26=AH6,I26=AH7,I26=AH8,I26=AH9,I26=AH10),VLOOKUP(I26,Ｍ.Ｗｉｒｅ,4,FALSE),0)</f>
        <v>0</v>
      </c>
      <c r="V26" s="96">
        <f t="shared" si="2"/>
        <v>0</v>
      </c>
      <c r="W26" s="53">
        <f t="shared" si="3"/>
        <v>0</v>
      </c>
      <c r="X26" s="101"/>
      <c r="Y26" s="54" t="str">
        <f t="shared" si="4"/>
        <v/>
      </c>
      <c r="Z26" s="101"/>
      <c r="AA26" s="58"/>
      <c r="AB26" s="53" t="str">
        <f t="shared" si="6"/>
        <v/>
      </c>
      <c r="AC26" s="53" t="str">
        <f t="shared" si="7"/>
        <v/>
      </c>
      <c r="AD26" s="53">
        <f t="shared" si="5"/>
        <v>0</v>
      </c>
      <c r="AE26" s="58"/>
      <c r="AF26" s="266" t="str">
        <f>IF('WireDip-01'!AF26="","",'WireDip-01'!AF26)</f>
        <v xml:space="preserve">24-USER Reg. </v>
      </c>
      <c r="AG26" s="41"/>
      <c r="AH26" s="41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</row>
    <row r="27" spans="1:50" ht="15" customHeight="1" x14ac:dyDescent="0.15">
      <c r="A27" s="339"/>
      <c r="B27" s="373" t="str">
        <f>IF(OR(D27="",F27="",H27="",J27=""),"",IF(AC26=AC27,"---〃---","使用電線-"&amp;AC27))</f>
        <v/>
      </c>
      <c r="C27" s="374"/>
      <c r="D27" s="327"/>
      <c r="E27" s="328"/>
      <c r="F27" s="483"/>
      <c r="G27" s="479" t="str">
        <f t="shared" si="0"/>
        <v/>
      </c>
      <c r="H27" s="484"/>
      <c r="I27" s="485"/>
      <c r="J27" s="486"/>
      <c r="K27" s="194" t="str">
        <f>IF(B27="","",HLOOKUP(F27,Ｗｉｒｅ,3+(VALUE(LEFT(D27,2))-1)*8,FALSE))</f>
        <v/>
      </c>
      <c r="L27" s="189" t="str">
        <f t="shared" si="1"/>
        <v/>
      </c>
      <c r="M27" s="195" t="str">
        <f>IF(I27="---〃---",0.00001,IF(AND(I28="---〃---",I29="---〃---"),SUM(Y27:Y29),IF(I28="---〃---",SUM(Y27:Y28),Y27)))</f>
        <v/>
      </c>
      <c r="N27" s="196" t="str">
        <f>IF(OR(B27="",I27="---〃---"),"",IF(I27="",HLOOKUP(F27,Ｗｉｒｅ,6+(VALUE(LEFT(D27,2))-1)*8,FALSE),VLOOKUP(I27,Ｍ.Ｗｉｒｅ,5,FALSE)))</f>
        <v/>
      </c>
      <c r="O27" s="195" t="str">
        <f>IF(B27="","",IF(AC26=AC27,"",IF(AND(AC27=AC28,AC27=AC29),W39,IF(AC27=AC28,W40,IF(I27="",SQRT(((K27+S27)/10)^2+(M27+U27)^2),SQRT(((K27/10)*(H27^0.55)+S27/1000)^2+(M27*H27+U27)^2))))))</f>
        <v/>
      </c>
      <c r="P27" s="195" t="str">
        <f>IF(O27="","",IF(AC26=AC27,"",IF(AND(AC27=AC28,AC27=AC29),W52,IF(AC27=AC28,W53,IF(I27="",SQRT((50*(K27/1000+0.012))^2+(M27+16.9646*(K27/1000+0.006))^2),SQRT((((K27*H27*0.001/H27)*(H27^0.55)+0.012+Y51)*50)^2+(M27*H27+16.9646*((K27*H27*0.001/H27)*(H27^0.55)+0.006)+Z51)^2))))))</f>
        <v/>
      </c>
      <c r="Q27" s="197" t="str">
        <f>IF(O27="","",IF(AC26=AC27,"",IF(AND(AC27=AC28,AC27=AC29),W65,IF(AC27=AC28,W66,IF(I27="",SQRT(((K27+S27)/20)^2+(M27+U27)^2),SQRT(((K27/20)*(H27^0.55)+S27/1000)^2+(M27*H27+U27)^2))))))</f>
        <v/>
      </c>
      <c r="R27" s="58"/>
      <c r="S27" s="54">
        <f>IF(OR(I27=AH3,I27=AH4,I27=AH5,I27=AH6,I27=AH7,I27=AH8,I27=AH9,I27=AH10),VLOOKUP(I27,Ｍ.Ｗｉｒｅ,2,FALSE),0)</f>
        <v>0</v>
      </c>
      <c r="T27" s="54">
        <f>IF(OR(I27=AH3,I27=AH4,I27=AH5,I27=AH6,I27=AH7,I27=AH8,I27=AH9,I27=AH10),VLOOKUP(I27,Ｍ.Ｗｉｒｅ,3,FALSE),0)</f>
        <v>0</v>
      </c>
      <c r="U27" s="54">
        <f>IF(OR(I27=AH3,I27=AH4,I27=AH5,I27=AH6,I27=AH7,I27=AH8,I27=AH9,I27=AH10),VLOOKUP(I27,Ｍ.Ｗｉｒｅ,4,FALSE),0)</f>
        <v>0</v>
      </c>
      <c r="V27" s="96">
        <f t="shared" si="2"/>
        <v>0</v>
      </c>
      <c r="W27" s="53">
        <f t="shared" si="3"/>
        <v>0</v>
      </c>
      <c r="X27" s="101"/>
      <c r="Y27" s="54" t="str">
        <f t="shared" si="4"/>
        <v/>
      </c>
      <c r="Z27" s="101"/>
      <c r="AA27" s="58"/>
      <c r="AB27" s="53" t="str">
        <f t="shared" si="6"/>
        <v/>
      </c>
      <c r="AC27" s="53" t="str">
        <f t="shared" si="7"/>
        <v/>
      </c>
      <c r="AD27" s="53">
        <f t="shared" si="5"/>
        <v>0</v>
      </c>
      <c r="AE27" s="58"/>
      <c r="AF27" s="266" t="str">
        <f>IF('WireDip-01'!AF27="","",'WireDip-01'!AF27)</f>
        <v xml:space="preserve">25-USER Reg. </v>
      </c>
      <c r="AG27" s="41"/>
      <c r="AH27" s="41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</row>
    <row r="28" spans="1:50" ht="15" customHeight="1" x14ac:dyDescent="0.15">
      <c r="A28" s="339"/>
      <c r="B28" s="373" t="str">
        <f>IF(AC28="","",IF(AC28&gt;5,"計算不可",IF(OR(D28="",F28="",H28="",J28=""),"",IF(AC27=AC28,"---〃---","使用電線-"&amp;AC28))))</f>
        <v/>
      </c>
      <c r="C28" s="374"/>
      <c r="D28" s="327"/>
      <c r="E28" s="328"/>
      <c r="F28" s="483"/>
      <c r="G28" s="479" t="str">
        <f t="shared" si="0"/>
        <v/>
      </c>
      <c r="H28" s="484"/>
      <c r="I28" s="485"/>
      <c r="J28" s="486"/>
      <c r="K28" s="194" t="str">
        <f>IF(OR(B28="",B28="計算不可"),"",HLOOKUP(F28,Ｗｉｒｅ,3+(VALUE(LEFT(D28,2))-1)*8,FALSE))</f>
        <v/>
      </c>
      <c r="L28" s="189" t="str">
        <f t="shared" si="1"/>
        <v/>
      </c>
      <c r="M28" s="195" t="str">
        <f>IF(I28="---〃---",0.00001,IF(I29="---〃---",SUM(Y28:Y29),Y28))</f>
        <v/>
      </c>
      <c r="N28" s="196" t="str">
        <f>IF(OR(B28="",I28="---〃---",B28="計算不可"),"",IF(I28="",HLOOKUP(F28,Ｗｉｒｅ,6+(VALUE(LEFT(D28,2))-1)*8,FALSE),VLOOKUP(I28,Ｍ.Ｗｉｒｅ,5,FALSE)))</f>
        <v/>
      </c>
      <c r="O28" s="195" t="str">
        <f>IF(OR(B28="",B28="計算不可"),"",IF(B28="","",IF(AC27=AC28,"",IF(AC28=AC29,X40,IF(I28="",SQRT(((K28+S28)/10)^2+(M28+U28)^2),SQRT(((K28/10)*(H28^0.55)+S28/1000)^2+(M28*H28+U28)^2))))))</f>
        <v/>
      </c>
      <c r="P28" s="195" t="str">
        <f>IF(O28="","",IF(B28="","",IF(AC27=AC28,"",IF(AC28=AC29,X53,IF(I28="",SQRT((50*(K28/1000+0.012))^2+(M28+16.9646*(K28/1000+0.006))^2),SQRT((((K28*H28*0.001/H28)*(H28^0.55)+0.012+Y52)*50)^2+(M28*H28+16.9646*((K28*H28*0.001/H28)*(H28^0.55)+0.006)+Z52)^2))))))</f>
        <v/>
      </c>
      <c r="Q28" s="197" t="str">
        <f>IF(O28="","",IF(B28="","",IF(AC27=AC28,"",IF(AC28=AC29,X66,IF(I28="",SQRT(((K28+S28)/20)^2+(M28+U28)^2),SQRT(((K28/20)*(H28^0.55)+S28/1000)^2+(M28*H28+U28)^2))))))</f>
        <v/>
      </c>
      <c r="R28" s="58"/>
      <c r="S28" s="54">
        <f>IF(OR(I28=AH3,I28=AH4,I28=AH5,I28=AH6,I28=AH7,I28=AH8,I28=AH9,I28=AH10),VLOOKUP(I28,Ｍ.Ｗｉｒｅ,2,FALSE),0)</f>
        <v>0</v>
      </c>
      <c r="T28" s="54">
        <f>IF(OR(I28=AH3,I28=AH4,I28=AH5,I28=AH6,I28=AH7,I28=AH8,I28=AH9,I28=AH10),VLOOKUP(I28,Ｍ.Ｗｉｒｅ,3,FALSE),0)</f>
        <v>0</v>
      </c>
      <c r="U28" s="54">
        <f>IF(OR(I28=AH3,I28=AH4,I28=AH5,I28=AH6,I28=AH7,I28=AH8,I28=AH9,I28=AH10),VLOOKUP(I28,Ｍ.Ｗｉｒｅ,4,FALSE),0)</f>
        <v>0</v>
      </c>
      <c r="V28" s="96">
        <f t="shared" si="2"/>
        <v>0</v>
      </c>
      <c r="W28" s="53">
        <f t="shared" si="3"/>
        <v>0</v>
      </c>
      <c r="X28" s="101"/>
      <c r="Y28" s="54" t="str">
        <f t="shared" si="4"/>
        <v/>
      </c>
      <c r="Z28" s="101"/>
      <c r="AA28" s="58"/>
      <c r="AB28" s="53" t="str">
        <f t="shared" si="6"/>
        <v/>
      </c>
      <c r="AC28" s="53" t="str">
        <f t="shared" si="7"/>
        <v/>
      </c>
      <c r="AD28" s="53">
        <f t="shared" si="5"/>
        <v>0</v>
      </c>
      <c r="AE28" s="58"/>
      <c r="AF28" s="266" t="str">
        <f>IF('WireDip-01'!AF28="","",'WireDip-01'!AF28)</f>
        <v xml:space="preserve">26-USER Reg. </v>
      </c>
      <c r="AG28" s="3"/>
      <c r="AH28" s="3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</row>
    <row r="29" spans="1:50" ht="15" customHeight="1" x14ac:dyDescent="0.15">
      <c r="A29" s="339"/>
      <c r="B29" s="373" t="str">
        <f>IF(AC29="","",IF(AC29&gt;5,"計算不可",IF(OR(D29="",F29="",H29="",J29=""),"",IF(AC28=AC29,"---〃---","使用電線-"&amp;AC29))))</f>
        <v/>
      </c>
      <c r="C29" s="374"/>
      <c r="D29" s="327"/>
      <c r="E29" s="328"/>
      <c r="F29" s="483"/>
      <c r="G29" s="479" t="str">
        <f t="shared" si="0"/>
        <v/>
      </c>
      <c r="H29" s="484"/>
      <c r="I29" s="485"/>
      <c r="J29" s="486"/>
      <c r="K29" s="194" t="str">
        <f>IF(OR(B29="",B29="計算不可"),"",HLOOKUP(F29,Ｗｉｒｅ,3+(VALUE(LEFT(D29,2))-1)*8,FALSE))</f>
        <v/>
      </c>
      <c r="L29" s="189" t="str">
        <f t="shared" si="1"/>
        <v/>
      </c>
      <c r="M29" s="195" t="str">
        <f>IF(I29="---〃---",0.00001,Y29)</f>
        <v/>
      </c>
      <c r="N29" s="196" t="str">
        <f>IF(OR(B29="",I29="---〃---",B29="計算不可"),"",IF(I29="",HLOOKUP(F29,Ｗｉｒｅ,6+(VALUE(LEFT(D29,2))-1)*8,FALSE),VLOOKUP(I29,Ｍ.Ｗｉｒｅ,5,FALSE)))</f>
        <v/>
      </c>
      <c r="O29" s="195" t="str">
        <f>IF(OR(B29="",B29="計算不可"),"",IF(AC28=AC29,"",IF(I29="",SQRT(((K29+S29)/10)^2+(M29+U29)^2),SQRT(((K29/10)*(H29^0.55)+S29/1000)^2+(M29*H29+U29)^2))))</f>
        <v/>
      </c>
      <c r="P29" s="195" t="str">
        <f>IF(O29="","",IF(AC28=AC29,"",IF(I29="",SQRT((50*(K29/1000+0.012))^2+(M29+16.9646*(K29/1000+0.006))^2),SQRT((((K29*H29*0.001/H29)*(H29^0.55)+0.012+Y53)*50)^2+(M29*H29+16.9646*((K29*H29*0.001/H29)*(H29^0.55)+0.006)+Z53)^2))))</f>
        <v/>
      </c>
      <c r="Q29" s="197" t="str">
        <f>IF(O29="","",IF(AC28=AC29,"",IF(I29="",SQRT(((K29+S29)/20)^2+(M29+U29)^2),SQRT(((K29/20)*(H29^0.55)+S29/1000)^2+(M29*H29+U29)^2))))</f>
        <v/>
      </c>
      <c r="R29" s="58"/>
      <c r="S29" s="54">
        <f>IF(OR(I29=AH3,I29=AH4,I29=AH5,I29=AH6,I29=AH7,I29=AH8,I29=AH9,I29=AH10),VLOOKUP(I29,Ｍ.Ｗｉｒｅ,2,FALSE),0)</f>
        <v>0</v>
      </c>
      <c r="T29" s="54">
        <f>IF(OR(I29=AH3,I29=AH4,I29=AH5,I29=AH6,I29=AH7,I29=AH8,I29=AH9,I29=AH10),VLOOKUP(I29,Ｍ.Ｗｉｒｅ,3,FALSE),0)</f>
        <v>0</v>
      </c>
      <c r="U29" s="54">
        <f>IF(OR(I29=AH3,I29=AH4,I29=AH5,I29=AH6,I29=AH7,I29=AH8,I29=AH9,I29=AH10),VLOOKUP(I29,Ｍ.Ｗｉｒｅ,4,FALSE),0)</f>
        <v>0</v>
      </c>
      <c r="V29" s="96">
        <f t="shared" si="2"/>
        <v>0</v>
      </c>
      <c r="W29" s="53">
        <f t="shared" si="3"/>
        <v>0</v>
      </c>
      <c r="X29" s="101"/>
      <c r="Y29" s="54" t="str">
        <f t="shared" si="4"/>
        <v/>
      </c>
      <c r="Z29" s="101"/>
      <c r="AA29" s="58"/>
      <c r="AB29" s="53" t="str">
        <f t="shared" si="6"/>
        <v/>
      </c>
      <c r="AC29" s="53" t="str">
        <f t="shared" si="7"/>
        <v/>
      </c>
      <c r="AD29" s="53">
        <f t="shared" si="5"/>
        <v>0</v>
      </c>
      <c r="AE29" s="58"/>
      <c r="AF29" s="266" t="str">
        <f>IF('WireDip-01'!AF29="","",'WireDip-01'!AF29)</f>
        <v xml:space="preserve">27-USER Reg. </v>
      </c>
      <c r="AG29" s="3"/>
      <c r="AH29" s="3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</row>
    <row r="30" spans="1:50" ht="15" customHeight="1" x14ac:dyDescent="0.15">
      <c r="A30" s="339"/>
      <c r="B30" s="375"/>
      <c r="C30" s="376"/>
      <c r="D30" s="327"/>
      <c r="E30" s="328"/>
      <c r="F30" s="487"/>
      <c r="G30" s="479"/>
      <c r="H30" s="484"/>
      <c r="I30" s="484"/>
      <c r="J30" s="486"/>
      <c r="K30" s="105"/>
      <c r="L30" s="97"/>
      <c r="M30" s="54"/>
      <c r="N30" s="94"/>
      <c r="O30" s="54"/>
      <c r="P30" s="54"/>
      <c r="Q30" s="98"/>
      <c r="R30" s="58"/>
      <c r="S30" s="36"/>
      <c r="T30" s="36"/>
      <c r="U30" s="36"/>
      <c r="V30" s="36"/>
      <c r="W30" s="36"/>
      <c r="X30" s="101"/>
      <c r="Y30" s="101"/>
      <c r="Z30" s="101"/>
      <c r="AA30" s="58"/>
      <c r="AB30" s="36"/>
      <c r="AC30" s="36"/>
      <c r="AD30" s="36"/>
      <c r="AE30" s="58"/>
      <c r="AF30" s="266" t="str">
        <f>IF('WireDip-01'!AF30="","",'WireDip-01'!AF30)</f>
        <v xml:space="preserve">28-USER Reg. </v>
      </c>
      <c r="AG30" s="3"/>
      <c r="AH30" s="3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</row>
    <row r="31" spans="1:50" ht="15" customHeight="1" x14ac:dyDescent="0.15">
      <c r="A31" s="339"/>
      <c r="B31" s="44"/>
      <c r="C31" s="185"/>
      <c r="D31" s="45"/>
      <c r="E31" s="45"/>
      <c r="F31" s="46"/>
      <c r="G31" s="47"/>
      <c r="H31" s="48"/>
      <c r="I31" s="45"/>
      <c r="J31" s="48"/>
      <c r="K31" s="11"/>
      <c r="L31" s="11"/>
      <c r="M31" s="11"/>
      <c r="N31" s="11"/>
      <c r="O31" s="11"/>
      <c r="P31" s="11"/>
      <c r="Q31" s="23"/>
      <c r="R31" s="3"/>
      <c r="S31" s="36"/>
      <c r="T31" s="36"/>
      <c r="U31" s="36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266" t="str">
        <f>IF('WireDip-01'!AF31="","",'WireDip-01'!AF31)</f>
        <v xml:space="preserve">29-USER Reg. </v>
      </c>
      <c r="AG31" s="3"/>
      <c r="AH31" s="3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</row>
    <row r="32" spans="1:50" ht="12.75" customHeight="1" x14ac:dyDescent="0.15">
      <c r="A32" s="339"/>
      <c r="B32" s="386" t="str">
        <f>IF(AC23="","","使用電線-"&amp;AC23)</f>
        <v/>
      </c>
      <c r="C32" s="387"/>
      <c r="D32" s="29" t="s">
        <v>21</v>
      </c>
      <c r="E32" s="29" t="s">
        <v>22</v>
      </c>
      <c r="F32" s="356" t="s">
        <v>23</v>
      </c>
      <c r="G32" s="411" t="str">
        <f>IF(AC24=2,"使用電線-"&amp;AC24,IF(AC25=2,"使用電線-"&amp;AC25,IF(AC26=2,"使用電線-"&amp;AC26,IF(AC27=2,"使用電線-"&amp;AC27,IF(AC28=2,"使用電線-"&amp;AC28,IF(AC29=2,"使用電線-"&amp;AC29,IF(AC30=2,"使用電線-"&amp;AC30,"")))))))</f>
        <v/>
      </c>
      <c r="H32" s="412"/>
      <c r="I32" s="387"/>
      <c r="J32" s="29" t="s">
        <v>21</v>
      </c>
      <c r="K32" s="29" t="s">
        <v>22</v>
      </c>
      <c r="L32" s="356" t="s">
        <v>23</v>
      </c>
      <c r="M32" s="411" t="str">
        <f>IF(AC25=3,"使用電線-"&amp;AC25,IF(AC26=3,"使用電線-"&amp;AC26,IF(AC27=3,"使用電線-"&amp;AC27,IF(AC28=3,"使用電線-"&amp;AC28,IF(AC29=3,"使用電線-"&amp;AC29,IF(AC30=3,"使用電線-"&amp;AC30,""))))))</f>
        <v/>
      </c>
      <c r="N32" s="387"/>
      <c r="O32" s="29" t="s">
        <v>21</v>
      </c>
      <c r="P32" s="29" t="s">
        <v>22</v>
      </c>
      <c r="Q32" s="379" t="s">
        <v>23</v>
      </c>
      <c r="R32" s="36"/>
      <c r="S32" s="36"/>
      <c r="T32" s="10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266" t="str">
        <f>IF('WireDip-01'!AF32="","",'WireDip-01'!AF32)</f>
        <v xml:space="preserve">30-USER Reg. </v>
      </c>
      <c r="AG32" s="36"/>
      <c r="AH32" s="36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</row>
    <row r="33" spans="1:50" ht="12.75" customHeight="1" x14ac:dyDescent="0.15">
      <c r="A33" s="339"/>
      <c r="B33" s="187" t="str">
        <f>IF(B32="","","弛度補正")</f>
        <v/>
      </c>
      <c r="C33" s="182"/>
      <c r="D33" s="55" t="s">
        <v>125</v>
      </c>
      <c r="E33" s="55" t="s">
        <v>24</v>
      </c>
      <c r="F33" s="357"/>
      <c r="G33" s="383" t="str">
        <f>IF(G32="","","弛度補正")</f>
        <v/>
      </c>
      <c r="H33" s="384"/>
      <c r="I33" s="182"/>
      <c r="J33" s="55" t="s">
        <v>125</v>
      </c>
      <c r="K33" s="55" t="s">
        <v>24</v>
      </c>
      <c r="L33" s="357"/>
      <c r="M33" s="181" t="str">
        <f>IF(M32="","","弛度補正")</f>
        <v/>
      </c>
      <c r="N33" s="182"/>
      <c r="O33" s="55" t="s">
        <v>125</v>
      </c>
      <c r="P33" s="55" t="s">
        <v>24</v>
      </c>
      <c r="Q33" s="380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266" t="str">
        <f>IF('WireDip-01'!AF33="","",'WireDip-01'!AF33)</f>
        <v xml:space="preserve">31-USER Reg. </v>
      </c>
      <c r="AG33" s="36"/>
      <c r="AH33" s="36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</row>
    <row r="34" spans="1:50" ht="13.5" customHeight="1" x14ac:dyDescent="0.15">
      <c r="A34" s="339"/>
      <c r="B34" s="346" t="s">
        <v>13</v>
      </c>
      <c r="C34" s="347"/>
      <c r="D34" s="335" t="str">
        <f>IF(B32="","",AQ71*H23*J23)</f>
        <v/>
      </c>
      <c r="E34" s="337" t="str">
        <f>IF(D34="","",AQ70)</f>
        <v/>
      </c>
      <c r="F34" s="360" t="str">
        <f>IF(D34="","",N23*H23*J23/D34)</f>
        <v/>
      </c>
      <c r="G34" s="287" t="s">
        <v>13</v>
      </c>
      <c r="H34" s="288"/>
      <c r="I34" s="289"/>
      <c r="J34" s="335" t="str">
        <f>IF(G32="","",IF(B24="使用電線-2",AZ71*H24*J24,IF(B25="使用電線-2",AZ71*H25*J25,IF(B26="使用電線-2",AZ71*H26*J26,IF(B27="使用電線-2",AZ71*H27*J27,IF(B28="使用電線-2",AZ71*H28*J28,IF(B29="使用電線-2",AZ71*H29*J29,"")))))))</f>
        <v/>
      </c>
      <c r="K34" s="337" t="str">
        <f>IF(J34="","",AZ70)</f>
        <v/>
      </c>
      <c r="L34" s="302" t="str">
        <f>IF(J34="","",IF(B24="使用電線-2",N24*H24*J24/J34,IF(B25="使用電線-2",N25*H25*J25/J34,IF(B26="使用電線-2",N26*H26*J26/J34,IF(B27="使用電線-2",N27*H27*J27/J34,IF(B28="使用電線-2",N28*H28*J28/J34,IF(B29="使用電線-2",N29*H29*J29/J34)))))))</f>
        <v/>
      </c>
      <c r="M34" s="287" t="s">
        <v>13</v>
      </c>
      <c r="N34" s="347"/>
      <c r="O34" s="335" t="str">
        <f>IF(M32="","",IF(B25="使用電線-3",BI71*H25*J25,IF(B26="使用電線-3",BI71*H26*J26,IF(B27="使用電線-3",BI71*H27*J27,IF(B28="使用電線-3",BI71*H28*J28,IF(B29="使用電線-3",BI71*H29*J29,""))))))</f>
        <v/>
      </c>
      <c r="P34" s="337" t="str">
        <f>IF(O34="","",BI70)</f>
        <v/>
      </c>
      <c r="Q34" s="306" t="str">
        <f>IF(O34="","",IF(B25="使用電線-3",N25*H25*J25/O34,IF(B26="使用電線-3",N26*H26*J26/O34,IF(B27="使用電線-3",N27*H27*J27/O34,IF(B28="使用電線-3",N28*H28*J28/O34,IF(B29="使用電線-3",N29*H29*J29/O34))))))</f>
        <v/>
      </c>
      <c r="R34" s="59"/>
      <c r="S34" s="103" t="s">
        <v>121</v>
      </c>
      <c r="T34" s="36"/>
      <c r="U34" s="102"/>
      <c r="V34" s="102"/>
      <c r="W34" s="59"/>
      <c r="X34" s="59"/>
      <c r="Y34" s="59"/>
      <c r="Z34" s="59"/>
      <c r="AA34" s="59"/>
      <c r="AB34" s="59"/>
      <c r="AC34" s="59"/>
      <c r="AD34" s="59"/>
      <c r="AE34" s="59"/>
      <c r="AF34" s="266" t="str">
        <f>IF('WireDip-01'!AF34="","",'WireDip-01'!AF34)</f>
        <v xml:space="preserve">32-USER Reg. </v>
      </c>
      <c r="AG34" s="28"/>
      <c r="AH34" s="28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</row>
    <row r="35" spans="1:50" ht="13.5" customHeight="1" x14ac:dyDescent="0.15">
      <c r="A35" s="339"/>
      <c r="B35" s="348"/>
      <c r="C35" s="292"/>
      <c r="D35" s="336"/>
      <c r="E35" s="338"/>
      <c r="F35" s="361"/>
      <c r="G35" s="290"/>
      <c r="H35" s="291"/>
      <c r="I35" s="292"/>
      <c r="J35" s="336"/>
      <c r="K35" s="338"/>
      <c r="L35" s="303"/>
      <c r="M35" s="290"/>
      <c r="N35" s="292"/>
      <c r="O35" s="336"/>
      <c r="P35" s="338"/>
      <c r="Q35" s="307"/>
      <c r="R35" s="59"/>
      <c r="S35" s="99">
        <f>IF(D29="",0,SQRT(((((K23*H23+K24*H24+K25*H25+K26*H26+K27*H27+K28*H28+K29*H29)*0.001/SUM(H23:H29))*((SUM(H23:H29))^0.55)+S23*0.001)*100)^2+(M23*H23+M24*H24+M25*H25+M26*H26+M27*H27+M28*H28+M29*H29+U23)^2))</f>
        <v>0</v>
      </c>
      <c r="T35" s="103" t="s">
        <v>132</v>
      </c>
      <c r="U35" s="102"/>
      <c r="V35" s="102"/>
      <c r="W35" s="59"/>
      <c r="X35" s="59"/>
      <c r="Y35" s="59"/>
      <c r="Z35" s="59"/>
      <c r="AA35" s="59"/>
      <c r="AB35" s="59"/>
      <c r="AC35" s="59"/>
      <c r="AD35" s="59"/>
      <c r="AE35" s="59"/>
      <c r="AF35" s="266" t="str">
        <f>IF('WireDip-01'!AF35="","",'WireDip-01'!AF35)</f>
        <v xml:space="preserve">33-USER Reg. </v>
      </c>
      <c r="AG35" s="28"/>
      <c r="AH35" s="28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</row>
    <row r="36" spans="1:50" ht="13.5" customHeight="1" x14ac:dyDescent="0.15">
      <c r="A36" s="339"/>
      <c r="B36" s="366" t="s">
        <v>14</v>
      </c>
      <c r="C36" s="295"/>
      <c r="D36" s="314" t="str">
        <f>IF(B32="","",AQ91*H23*J23)</f>
        <v/>
      </c>
      <c r="E36" s="333" t="str">
        <f>IF(D36="","",AQ90)</f>
        <v/>
      </c>
      <c r="F36" s="302" t="str">
        <f>IF(D36="","",N23*H23*J23/D36)</f>
        <v/>
      </c>
      <c r="G36" s="293" t="s">
        <v>14</v>
      </c>
      <c r="H36" s="294"/>
      <c r="I36" s="295"/>
      <c r="J36" s="314" t="str">
        <f>IF(G32="","",IF(B24="使用電線-2",AZ91*H24*J24,IF(B25="使用電線-2",AZ91*H25*J25,IF(B26="使用電線-2",AZ91*H26*J26,IF(B27="使用電線-2",AZ91*H27*J27,IF(B28="使用電線-2",AZ91*H28*J28,IF(B29="使用電線-2",AZ91*H29*J29,"")))))))</f>
        <v/>
      </c>
      <c r="K36" s="333" t="str">
        <f>IF(J36="","",AZ90)</f>
        <v/>
      </c>
      <c r="L36" s="302" t="str">
        <f>IF(J36="","",IF(B24="使用電線-2",N24*H24*J24/J36,IF(B25="使用電線-2",N25*H25*J25/J36,IF(B26="使用電線-2",N26*H26*J26/J36,IF(B27="使用電線-2",N27*H27*J27/J36,IF(B28="使用電線-2",N28*H28*J28/J36,IF(B29="使用電線-2",N29*H29*J29/J36)))))))</f>
        <v/>
      </c>
      <c r="M36" s="293" t="s">
        <v>14</v>
      </c>
      <c r="N36" s="295"/>
      <c r="O36" s="314" t="str">
        <f>IF(M32="","",IF(B25="使用電線-3",BI91*H25*J25,IF(B26="使用電線-3",BI91*H26*J26,IF(B27="使用電線-3",BI91*H27*J27,IF(B28="使用電線-3",BI91*H28*J28,IF(B29="使用電線-3",BI91*H29*J29,""))))))</f>
        <v/>
      </c>
      <c r="P36" s="333" t="str">
        <f>IF(O36="","",BI90)</f>
        <v/>
      </c>
      <c r="Q36" s="358" t="str">
        <f>IF(O36="","",IF(B25="使用電線-3",N25*H25*J25/O36,IF(B26="使用電線-3",N26*H26*J26/O36,IF(B27="使用電線-3",N27*H27*J27/O36,IF(B28="使用電線-3",N28*H28*J28/O36,IF(B29="使用電線-3",N29*H29*J29/O36))))))</f>
        <v/>
      </c>
      <c r="R36" s="59"/>
      <c r="S36" s="99">
        <f>IF(D28="",0,SQRT(((((K23*H23+K24*H24+K25*H25+K26*H26+K27*H27+K28*H28)*0.001/SUM(H23:H28))*((SUM(H23:H28))^0.55)+S23*0.001)*100)^2+(M23*H23+M24*H24+M25*H25+M26*H26+M27*H27+M28*H28+U23)^2))</f>
        <v>0</v>
      </c>
      <c r="T36" s="99">
        <f>IF(D29="",0,SQRT(((((K24*H24+K25*H25+K26*H26+K27*H27+K28*H28+K29*H29)*0.001/SUM(H24:H29))*((SUM(H24:H29))^0.55)+S24*0.001)*100)^2+(M24*H24+M25*H25+M26*H26+M27*H27+M28*H28+M29*H29+U24)^2))</f>
        <v>0</v>
      </c>
      <c r="U36" s="103" t="s">
        <v>128</v>
      </c>
      <c r="V36" s="102"/>
      <c r="W36" s="59"/>
      <c r="X36" s="59"/>
      <c r="Y36" s="59"/>
      <c r="Z36" s="59"/>
      <c r="AA36" s="59"/>
      <c r="AB36" s="59"/>
      <c r="AC36" s="59"/>
      <c r="AD36" s="59"/>
      <c r="AE36" s="59"/>
      <c r="AF36" s="266" t="str">
        <f>IF('WireDip-01'!AF36="","",'WireDip-01'!AF36)</f>
        <v xml:space="preserve">34-USER Reg. </v>
      </c>
      <c r="AG36" s="28"/>
      <c r="AH36" s="28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</row>
    <row r="37" spans="1:50" ht="13.5" customHeight="1" x14ac:dyDescent="0.15">
      <c r="A37" s="339"/>
      <c r="B37" s="348"/>
      <c r="C37" s="292"/>
      <c r="D37" s="315"/>
      <c r="E37" s="334"/>
      <c r="F37" s="303"/>
      <c r="G37" s="290"/>
      <c r="H37" s="291"/>
      <c r="I37" s="292"/>
      <c r="J37" s="315"/>
      <c r="K37" s="334"/>
      <c r="L37" s="303"/>
      <c r="M37" s="290"/>
      <c r="N37" s="292"/>
      <c r="O37" s="315"/>
      <c r="P37" s="334"/>
      <c r="Q37" s="359"/>
      <c r="R37" s="59"/>
      <c r="S37" s="99">
        <f>IF(D27="",0,SQRT(((((K23*H23+K24*H24+K25*H25+K26*H26+K27*H27)*0.001/SUM(H23:H27))*((SUM(H23:H27))^0.55)+S23*0.001)*100)^2+(M23*H23+M24*H24+M25*H25+M26*H26+M27*H27+U23)^2))</f>
        <v>0</v>
      </c>
      <c r="T37" s="99">
        <f>IF(D28="",0,SQRT(((((K24*H24+K25*H25+K26*H26+K27*H27+K28*H28)*0.001/SUM(H24:H28))*((SUM(H24:H28))^0.55)+S24*0.001)*100)^2+(M24*H24+M25*H25+M26*H26+M27*H27+M28*H28+U24)^2))</f>
        <v>0</v>
      </c>
      <c r="U37" s="99">
        <f>IF(D29="",0,SQRT(((((K25*H25+K26*H26+K27*H27+K28*H28+K29*H29)*0.001/SUM(H25:H29))*((SUM(H25:H29))^0.55)+S25*0.001)*100)^2+(M25*H25+M26*H26+M27*H27+M28*H28+M29*H29+U25)^2))</f>
        <v>0</v>
      </c>
      <c r="V37" s="103" t="s">
        <v>129</v>
      </c>
      <c r="W37" s="59"/>
      <c r="X37" s="59"/>
      <c r="Y37" s="59"/>
      <c r="Z37" s="59"/>
      <c r="AA37" s="59"/>
      <c r="AB37" s="59"/>
      <c r="AC37" s="59"/>
      <c r="AD37" s="59"/>
      <c r="AE37" s="59"/>
      <c r="AF37" s="266" t="str">
        <f>IF('WireDip-01'!AF37="","",'WireDip-01'!AF37)</f>
        <v xml:space="preserve">35-USER Reg. </v>
      </c>
      <c r="AG37" s="28"/>
      <c r="AH37" s="28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50" ht="17.25" customHeight="1" x14ac:dyDescent="0.15">
      <c r="A38" s="339"/>
      <c r="B38" s="366" t="s">
        <v>15</v>
      </c>
      <c r="C38" s="295"/>
      <c r="D38" s="314" t="str">
        <f>IF(B32="","",AQ111*H23*J23)</f>
        <v/>
      </c>
      <c r="E38" s="333" t="str">
        <f>IF(D38="","",AQ110)</f>
        <v/>
      </c>
      <c r="F38" s="302" t="str">
        <f>IF(D38="","",N23*H23*J23/D38)</f>
        <v/>
      </c>
      <c r="G38" s="293" t="s">
        <v>15</v>
      </c>
      <c r="H38" s="294"/>
      <c r="I38" s="295"/>
      <c r="J38" s="314" t="str">
        <f>IF(G32="","",IF(B24="使用電線-2",AZ111*H24*J24,IF(B25="使用電線-2",AZ111*H25*J25,IF(B26="使用電線-2",AZ111*H26*J26,IF(B27="使用電線-2",AZ111*H27*J27,IF(B28="使用電線-2",AZ111*H28*J28,IF(B29="使用電線-2",AZ111*H29*J29,"")))))))</f>
        <v/>
      </c>
      <c r="K38" s="333" t="str">
        <f>IF(J38="","",AZ110)</f>
        <v/>
      </c>
      <c r="L38" s="302" t="str">
        <f>IF(J38="","",IF(B24="使用電線-2",N24*H24*J24/J38,IF(B25="使用電線-2",N25*H25*J25/J38,IF(B26="使用電線-2",N26*H26*J26/J38,IF(B27="使用電線-2",N27*H27*J27/J38,IF(B28="使用電線-2",N28*H28*J28/J38,IF(B29="使用電線-2",N29*H29*J29/J38)))))))</f>
        <v/>
      </c>
      <c r="M38" s="293" t="s">
        <v>15</v>
      </c>
      <c r="N38" s="295"/>
      <c r="O38" s="314" t="str">
        <f>IF(M32="","",IF(B25="使用電線-3",BI111*H25*J25,IF(B26="使用電線-3",BI111*H26*J26,IF(B27="使用電線-3",BI111*H27*J27,IF(B28="使用電線-3",BI111*H28*J28,IF(B29="使用電線-3",BI111*H29*J29,""))))))</f>
        <v/>
      </c>
      <c r="P38" s="333" t="str">
        <f>IF(O38="","",BI110)</f>
        <v/>
      </c>
      <c r="Q38" s="358" t="str">
        <f>IF(O38="","",IF(B25="使用電線-3",N25*H25*J25/O38,IF(B26="使用電線-3",N26*H26*J26/O38,IF(B27="使用電線-3",N27*H27*J27/O38,IF(B28="使用電線-3",N28*H28*J28/O38,IF(B29="使用電線-3",N29*H29*J29/O38))))))</f>
        <v/>
      </c>
      <c r="R38" s="59"/>
      <c r="S38" s="99">
        <f>IF(D26="",0,SQRT(((((K23*H23+K24*H24+K25*H25+K26*H26)*0.001/SUM(H23:H26))*((SUM(H23:H26))^0.55)+S23*0.001)*100)^2+(M23*H23+M24*H24+M25*H25+M26*H26+U23)^2))</f>
        <v>0</v>
      </c>
      <c r="T38" s="99">
        <f>IF(D27="",0,SQRT(((((K24*H24+K25*H25+K26*H26+K27*H27)*0.001/SUM(H24:H27))*((SUM(H24:H27))^0.55)+S24*0.001)*100)^2+(M24*H24+M25*H25+M26*H26+M27*H27+U24)^2))</f>
        <v>0</v>
      </c>
      <c r="U38" s="99">
        <f>IF(D28="",0,SQRT(((((K25*H25+K26*H26+K27*H27+K28*H28)*0.001/SUM(H25:H28))*((SUM(H25:H28))^0.55)+S25*0.001)*100)^2+(M25*H25+M26*H26+M27*H27+M28*H28+U25)^2))</f>
        <v>0</v>
      </c>
      <c r="V38" s="99">
        <f>IF(D29="",0,SQRT(((((K26*H26+K27*H27+K28*H28+K29*H29)*0.001/SUM(H26:H29))*((SUM(H26:H29))^0.55)+S26*0.001)*100)^2+(M26*H26+M27*H27+M28*H28+M29*H29+U26)^2))</f>
        <v>0</v>
      </c>
      <c r="W38" s="103" t="s">
        <v>130</v>
      </c>
      <c r="X38" s="59"/>
      <c r="Y38" s="59"/>
      <c r="Z38" s="59"/>
      <c r="AA38" s="59"/>
      <c r="AB38" s="59"/>
      <c r="AC38" s="59"/>
      <c r="AD38" s="59"/>
      <c r="AE38" s="59"/>
      <c r="AF38" s="266" t="str">
        <f>IF('WireDip-01'!AF38="","",'WireDip-01'!AF38)</f>
        <v xml:space="preserve">36-USER Reg. </v>
      </c>
      <c r="AG38" s="28"/>
      <c r="AH38" s="28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50" ht="17.25" customHeight="1" x14ac:dyDescent="0.15">
      <c r="A39" s="339"/>
      <c r="B39" s="348"/>
      <c r="C39" s="292"/>
      <c r="D39" s="315"/>
      <c r="E39" s="334"/>
      <c r="F39" s="303"/>
      <c r="G39" s="290"/>
      <c r="H39" s="291"/>
      <c r="I39" s="292"/>
      <c r="J39" s="315"/>
      <c r="K39" s="334"/>
      <c r="L39" s="303"/>
      <c r="M39" s="290"/>
      <c r="N39" s="292"/>
      <c r="O39" s="315"/>
      <c r="P39" s="334"/>
      <c r="Q39" s="359"/>
      <c r="R39" s="59"/>
      <c r="S39" s="99">
        <f>IF(D25="",0,SQRT(((((K23*H23+K24*H24+K25*H25)*0.001/SUM(H23:H25))*((SUM(H23:H25))^0.55)+S23*0.001)*100)^2+(M23*H23+M24*H24+M25*H25+U23)^2))</f>
        <v>0</v>
      </c>
      <c r="T39" s="99">
        <f>IF(D26="",0,SQRT(((((K24*H24+K25*H25+K26*H26)*0.001/SUM(H24:H26))*((SUM(H24:H26))^0.55)+S24*0.001)*100)^2+(M24*H24+M25*H25+M26*H26+U24)^2))</f>
        <v>0</v>
      </c>
      <c r="U39" s="99">
        <f>IF(D27="",0,SQRT(((((K25*H25+K26*H26+K27*H27)*0.001/SUM(H25:H27))*((SUM(H25:H27))^0.55)+S25*0.001)*100)^2+(M25*H25+M26*H26+M27*H27+U25)^2))</f>
        <v>0</v>
      </c>
      <c r="V39" s="99">
        <f>IF(D28="",0,SQRT(((((K26*H26+K27*H27+K28*H28)*0.001/SUM(H26:H28))*((SUM(H26:H28))^0.55)+S26*0.001)*100)^2+(M26*H26+M27*H27+M28*H28+U26)^2))</f>
        <v>0</v>
      </c>
      <c r="W39" s="99">
        <f>IF(D29="",0,SQRT(((((K27*H27+K28*H28+K29*H29)*0.001/SUM(H27:H29))*((SUM(H27:H29))^0.55)+S27*0.001)*100)^2+(M27*H27+M28*H28+M29*H29+U27)^2))</f>
        <v>0</v>
      </c>
      <c r="X39" s="103" t="s">
        <v>131</v>
      </c>
      <c r="Y39" s="59"/>
      <c r="Z39" s="59"/>
      <c r="AA39" s="59"/>
      <c r="AB39" s="59"/>
      <c r="AC39" s="59"/>
      <c r="AD39" s="59"/>
      <c r="AE39" s="59"/>
      <c r="AF39" s="266" t="str">
        <f>IF('WireDip-01'!AF39="","",'WireDip-01'!AF39)</f>
        <v xml:space="preserve">37-USER Reg. </v>
      </c>
      <c r="AG39" s="28"/>
      <c r="AH39" s="28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50" ht="15" customHeight="1" x14ac:dyDescent="0.15">
      <c r="A40" s="339"/>
      <c r="B40" s="388" t="s">
        <v>16</v>
      </c>
      <c r="C40" s="298"/>
      <c r="D40" s="198" t="str">
        <f>IF(B32="","",AQ131*H23*J23)</f>
        <v/>
      </c>
      <c r="E40" s="199" t="str">
        <f>IF(D40="","",AQ130)</f>
        <v/>
      </c>
      <c r="F40" s="200" t="str">
        <f>IF(D40="","",N23*H23*J23/D40)</f>
        <v/>
      </c>
      <c r="G40" s="296" t="s">
        <v>16</v>
      </c>
      <c r="H40" s="297"/>
      <c r="I40" s="298"/>
      <c r="J40" s="198" t="str">
        <f>IF(G32="","",IF(B24="使用電線-2",AZ131*H24*J24,IF(B25="使用電線-2",AZ131*H25*J25,IF(B26="使用電線-2",AZ131*H26*J26,IF(B27="使用電線-2",AZ131*H27*J27,IF(B28="使用電線-2",AZ131*H28*J28,IF(B29="使用電線-2",AZ131*H29*J29,"")))))))</f>
        <v/>
      </c>
      <c r="K40" s="199" t="str">
        <f>IF(J40="","",AZ130)</f>
        <v/>
      </c>
      <c r="L40" s="200" t="str">
        <f>IF(J40="","",IF(B24="使用電線-2",N24*H24*J24/J40,IF(B25="使用電線-2",N25*H25*J25/J40,IF(B26="使用電線-2",N26*H26*J26/J40,IF(B27="使用電線-2",N27*H27*J27/J40,IF(B28="使用電線-2",N28*H28*J28/J40,IF(B29="使用電線-2",N29*H29*J29/J40)))))))</f>
        <v/>
      </c>
      <c r="M40" s="296" t="s">
        <v>16</v>
      </c>
      <c r="N40" s="298"/>
      <c r="O40" s="198" t="str">
        <f>IF(M32="","",IF(B25="使用電線-3",BI131*H25*J25,IF(B26="使用電線-3",BI131*H26*J26,IF(B27="使用電線-3",BI131*H27*J27,IF(B28="使用電線-3",BI131*H28*J28,IF(B29="使用電線-3",BI131*H29*J29,""))))))</f>
        <v/>
      </c>
      <c r="P40" s="199" t="str">
        <f>IF(O40="","",BI130)</f>
        <v/>
      </c>
      <c r="Q40" s="203" t="str">
        <f>IF(O40="","",IF(B25="使用電線-3",N25*H25*J25/O40,IF(B26="使用電線-3",N26*H26*J26/O40,IF(B27="使用電線-3",N27*H27*J27/O40,IF(B28="使用電線-3",N28*H28*J28/O40,IF(B29="使用電線-3",N29*H29*J29/O40))))))</f>
        <v/>
      </c>
      <c r="R40" s="59"/>
      <c r="S40" s="99">
        <f>IF(D24="",0,SQRT(((((K23*H23+K24*H24)*0.001/SUM(H23:H24))*((SUM(H23:H24))^0.55)+S23*0.001)*100)^2+(M23*H23+M24*H24+U23)^2))</f>
        <v>0</v>
      </c>
      <c r="T40" s="99">
        <f>IF(D25="",0,SQRT(((((K24*H24+K25*H25)*0.001/SUM(H24:H25))*((SUM(H24:H25))^0.55)+S24*0.001)*100)^2+(M24*H24+M25*H25+U24)^2))</f>
        <v>0</v>
      </c>
      <c r="U40" s="99">
        <f>IF(D26="",0,SQRT(((((K25*H25+K26*H26)*0.001/SUM(H25:H26))*((SUM(H25:H26))^0.55)+S25*0.001)*100)^2+(M25*H25+M26*H26+U25)^2))</f>
        <v>0</v>
      </c>
      <c r="V40" s="99">
        <f>IF(D27="",0,SQRT(((((K26*H26+K27*H27)*0.001/SUM(H26:H27))*((SUM(H26:H27))^0.55)+S26*0.001)*100)^2+(M26*H26+M27*H27+U26)^2))</f>
        <v>0</v>
      </c>
      <c r="W40" s="99">
        <f>IF(D28="",0,SQRT(((((K27*H27+K28*H28)*0.001/SUM(H27:H28))*((SUM(H27:H28))^0.55)+S27*0.001)*100)^2+(M27*H27+M28*H28+U27)^2))</f>
        <v>0</v>
      </c>
      <c r="X40" s="99">
        <f>IF(D29="",0,SQRT(((((K28*H28+K29*H29)*0.001/SUM(H28:H29))*((SUM(H28:H29))^0.55)+S28*0.001)*100)^2+(M28*H28+M29*H29+U28)^2))</f>
        <v>0</v>
      </c>
      <c r="Y40" s="59"/>
      <c r="Z40" s="59"/>
      <c r="AA40" s="59"/>
      <c r="AB40" s="59"/>
      <c r="AC40" s="59"/>
      <c r="AD40" s="59"/>
      <c r="AE40" s="59"/>
      <c r="AF40" s="266" t="str">
        <f>IF('WireDip-01'!AF40="","",'WireDip-01'!AF40)</f>
        <v xml:space="preserve">38-USER Reg. </v>
      </c>
      <c r="AG40" s="3"/>
      <c r="AH40" s="3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</row>
    <row r="41" spans="1:50" ht="15" customHeight="1" x14ac:dyDescent="0.15">
      <c r="A41" s="339"/>
      <c r="B41" s="389" t="s">
        <v>17</v>
      </c>
      <c r="C41" s="301"/>
      <c r="D41" s="249" t="str">
        <f>IF(B32="","",AQ151*H23*J23)</f>
        <v/>
      </c>
      <c r="E41" s="250" t="str">
        <f>IF(D41="","",AQ150)</f>
        <v/>
      </c>
      <c r="F41" s="251" t="str">
        <f>IF(D41="","",N23*H23*J23/D41)</f>
        <v/>
      </c>
      <c r="G41" s="299" t="s">
        <v>17</v>
      </c>
      <c r="H41" s="300"/>
      <c r="I41" s="301"/>
      <c r="J41" s="249" t="str">
        <f>IF(G32="","",IF(B24="使用電線-2",AZ151*H24*J24,IF(B25="使用電線-2",AZ151*H25*J25,IF(B26="使用電線-2",AZ151*H26*J26,IF(B27="使用電線-2",AZ151*H27*J27,IF(B28="使用電線-2",AZ151*H28*J28,IF(B29="使用電線-2",AZ151*H29*J29,"")))))))</f>
        <v/>
      </c>
      <c r="K41" s="250" t="str">
        <f>IF(J41="","",AZ150)</f>
        <v/>
      </c>
      <c r="L41" s="251" t="str">
        <f>IF(J41="","",IF(B24="使用電線-2",N24*H24*J24/J41,IF(B25="使用電線-2",N25/J41,IF(B26="使用電線-2",N26/J41,IF(B27="使用電線-2",N27/J41,IF(B28="使用電線-2",N28/J41,IF(B29="使用電線-2",N29/J41)))))))</f>
        <v/>
      </c>
      <c r="M41" s="299" t="s">
        <v>17</v>
      </c>
      <c r="N41" s="301"/>
      <c r="O41" s="249" t="str">
        <f>IF(M32="","",IF(B25="使用電線-3",BI151*H25*J25,IF(B26="使用電線-3",BI151*H26*J26,IF(B27="使用電線-3",BI151*H27*J27,IF(B28="使用電線-3",BI151*H28*J28,IF(B29="使用電線-3",BI151*H29*J29,""))))))</f>
        <v/>
      </c>
      <c r="P41" s="250" t="str">
        <f>IF(O41="","",BI150)</f>
        <v/>
      </c>
      <c r="Q41" s="252" t="str">
        <f>IF(O41="","",IF(B25="使用電線-3",N25*H25*J25/O41,IF(B26="使用電線-3",N26*H26*J26/O41,IF(B27="使用電線-3",N27*H27*J27/O41,IF(B28="使用電線-3",N28*H28*J28/O41,IF(B29="使用電線-3",N29*H29*J29/O41))))))</f>
        <v/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266" t="str">
        <f>IF('WireDip-01'!AF41="","",'WireDip-01'!AF41)</f>
        <v xml:space="preserve">39-USER Reg. </v>
      </c>
      <c r="AG41" s="3"/>
      <c r="AH41" s="3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</row>
    <row r="42" spans="1:50" ht="15" customHeight="1" x14ac:dyDescent="0.15">
      <c r="A42" s="339"/>
      <c r="B42" s="388" t="s">
        <v>18</v>
      </c>
      <c r="C42" s="298"/>
      <c r="D42" s="198" t="str">
        <f>IF(B32="","",AQ171*H23*J23)</f>
        <v/>
      </c>
      <c r="E42" s="199" t="str">
        <f>IF(D42="","",AQ170)</f>
        <v/>
      </c>
      <c r="F42" s="200" t="str">
        <f>IF(D42="","",N23*H23*J23/D42)</f>
        <v/>
      </c>
      <c r="G42" s="296" t="s">
        <v>18</v>
      </c>
      <c r="H42" s="297"/>
      <c r="I42" s="298"/>
      <c r="J42" s="198" t="str">
        <f>IF(G32="","",IF(B24="使用電線-2",AZ171*H24*J24,IF(B25="使用電線-2",AZ171*H25*J25,IF(B26="使用電線-2",AZ171*H26*J26,IF(B27="使用電線-2",AZ171*H27*J27,IF(B28="使用電線-2",AZ171*H28*J28,IF(B29="使用電線-2",AZ171*H29*J29,"")))))))</f>
        <v/>
      </c>
      <c r="K42" s="199" t="str">
        <f>IF(J42="","",AZ170)</f>
        <v/>
      </c>
      <c r="L42" s="200" t="str">
        <f>IF(J42="","",IF(B24="使用電線-2",N24*H24*J24/J42,IF(B25="使用電線-2",N25*H25*J25/J42,IF(B26="使用電線-2",N26*H26*J26/J42,IF(B27="使用電線-2",N27*H27*J27/J42,IF(B28="使用電線-2",N28*H28*J28/J42,IF(B29="使用電線-2",N29*H29*J29/J42)))))))</f>
        <v/>
      </c>
      <c r="M42" s="296" t="s">
        <v>18</v>
      </c>
      <c r="N42" s="298"/>
      <c r="O42" s="198" t="str">
        <f>IF(M32="","",IF(B25="使用電線-3",BI171*H25*J25,IF(B26="使用電線-3",BI171*H26*J26,IF(B27="使用電線-3",BI171*H27*J27,IF(B28="使用電線-3",BI171*H28*J28,IF(B29="使用電線-3",BI171*H29*J29,""))))))</f>
        <v/>
      </c>
      <c r="P42" s="199" t="str">
        <f>IF(O42="","",BI170)</f>
        <v/>
      </c>
      <c r="Q42" s="203" t="str">
        <f>IF(O42="","",IF(B25="使用電線-3",N25*H25*J25/O42,IF(B26="使用電線-3",N26*H26*J26/O42,IF(B27="使用電線-3",N27*H27*J27/O42,IF(B28="使用電線-3",N28*H28*J28/O42,IF(B29="使用電線-3",N29*H29*J29/O42))))))</f>
        <v/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266" t="str">
        <f>IF('WireDip-01'!AF42="","",'WireDip-01'!AF42)</f>
        <v xml:space="preserve">40-USER Reg. </v>
      </c>
      <c r="AG42" s="3"/>
      <c r="AH42" s="3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</row>
    <row r="43" spans="1:50" ht="15" customHeight="1" x14ac:dyDescent="0.15">
      <c r="A43" s="339"/>
      <c r="B43" s="388" t="s">
        <v>19</v>
      </c>
      <c r="C43" s="298"/>
      <c r="D43" s="198" t="str">
        <f>IF(B32="","",AQ191*H23*J23)</f>
        <v/>
      </c>
      <c r="E43" s="199" t="str">
        <f>IF(D43="","",AQ190)</f>
        <v/>
      </c>
      <c r="F43" s="200" t="str">
        <f>IF(D43="","",N23*H23*J23/D43)</f>
        <v/>
      </c>
      <c r="G43" s="296" t="s">
        <v>19</v>
      </c>
      <c r="H43" s="297"/>
      <c r="I43" s="298"/>
      <c r="J43" s="198" t="str">
        <f>IF(G32="","",IF(B24="使用電線-2",AZ191*H24*J24,IF(B25="使用電線-2",AZ191*H25*J25,IF(B26="使用電線-2",AZ191*H26*J26,IF(B27="使用電線-2",AZ191*H27*J27,IF(B28="使用電線-2",AZ191*H28*J28,IF(B29="使用電線-2",AZ191*H29*J29,"")))))))</f>
        <v/>
      </c>
      <c r="K43" s="199" t="str">
        <f>IF(J43="","",AZ190)</f>
        <v/>
      </c>
      <c r="L43" s="200" t="str">
        <f>IF(J43="","",IF(B24="使用電線-2",N24*H24*J24/J43,IF(B25="使用電線-2",N25*H25*J25/J43,IF(B26="使用電線-2",N26*H26*J26/J43,IF(B27="使用電線-2",N27*H27*J27/J43,IF(B28="使用電線-2",N28*H28*J28/J43,IF(B29="使用電線-2",N29*H29*J29/J43)))))))</f>
        <v/>
      </c>
      <c r="M43" s="296" t="s">
        <v>19</v>
      </c>
      <c r="N43" s="298"/>
      <c r="O43" s="198" t="str">
        <f>IF(M32="","",IF(B25="使用電線-3",BI191*H25*J25,IF(B26="使用電線-3",BI191*H26*J26,IF(B27="使用電線-3",BI191*H27*J27,IF(B28="使用電線-3",BI191*H28*J28,IF(B29="使用電線-3",BI191*H29*J29,""))))))</f>
        <v/>
      </c>
      <c r="P43" s="199" t="str">
        <f>IF(O43="","",BI190)</f>
        <v/>
      </c>
      <c r="Q43" s="203" t="str">
        <f>IF(O43="","",IF(B25="使用電線-3",N25*H25*J25/O43,IF(B26="使用電線-3",N26*H26*J26/O43,IF(B27="使用電線-3",N27*H27*J27/O43,IF(B28="使用電線-3",N28*H28*J28/O43,IF(B29="使用電線-3",N29*H29*J29/O43))))))</f>
        <v/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266" t="str">
        <f>IF('WireDip-01'!AF43="","",'WireDip-01'!AF43)</f>
        <v xml:space="preserve">41-USER Reg. </v>
      </c>
      <c r="AG43" s="3"/>
      <c r="AH43" s="3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</row>
    <row r="44" spans="1:50" ht="15" customHeight="1" x14ac:dyDescent="0.15">
      <c r="A44" s="339"/>
      <c r="B44" s="385" t="s">
        <v>20</v>
      </c>
      <c r="C44" s="309"/>
      <c r="D44" s="198" t="str">
        <f>IF(B32="","",IF(AQ211=0,"",AQ211*H23*J23))</f>
        <v/>
      </c>
      <c r="E44" s="199" t="str">
        <f>IF(D44="","",AQ210)</f>
        <v/>
      </c>
      <c r="F44" s="200" t="str">
        <f>IF(D44="","",N23*H23*J23/D44)</f>
        <v/>
      </c>
      <c r="G44" s="308" t="s">
        <v>20</v>
      </c>
      <c r="H44" s="332"/>
      <c r="I44" s="309"/>
      <c r="J44" s="201" t="str">
        <f>IF(AZ211=0,"",IF(B24="使用電線-2",AZ211*H24*J24,IF(B25="使用電線-2",AZ211*H25*J25,IF(B26="使用電線-2",AZ211*H26*J26,IF(B27="使用電線-2",AZ211*H27*J27,IF(B28="使用電線-2",AZ211*H28*J28,IF(B29="使用電線-2",AZ211*H29*J29,"")))))))</f>
        <v/>
      </c>
      <c r="K44" s="199" t="str">
        <f>IF(J44="","",AZ210)</f>
        <v/>
      </c>
      <c r="L44" s="202" t="str">
        <f>IF(J44="","",IF(B24="使用電線-2",N24*H24*J24/J44,IF(B25="使用電線-2",N25*H25*J25/J44,IF(B26="使用電線-2",N26*H26*J26/J44,IF(B27="使用電線-2",N27*H27*J27/J44,IF(B28="使用電線-2",N28*H28244*J28/J44,IF(B29="使用電線-2",N29*H29*J29/J44)))))))</f>
        <v/>
      </c>
      <c r="M44" s="308" t="s">
        <v>20</v>
      </c>
      <c r="N44" s="309"/>
      <c r="O44" s="201" t="str">
        <f>IF(G32="","",IF(BI211=0,"",IF(B25="使用電線-3",BI211*H25*J25,IF(B26="使用電線-3",BI211*H26*J26,IF(B27="使用電線-3",BI211*H27*J27,IF(B28="使用電線-3",BI211*H28*J28,IF(B29="使用電線-3",BI211*H29*J29,"")))))))</f>
        <v/>
      </c>
      <c r="P44" s="199" t="str">
        <f>IF(O44="","",BI210)</f>
        <v/>
      </c>
      <c r="Q44" s="204" t="str">
        <f>IF(O44="","",IF(B25="使用電線-3",N25*H25*J25/O44,IF(B26="使用電線-3",N26*H26*J26/O44,IF(B27="使用電線-3",N27*H27*J27/O44,IF(B28="使用電線-3",N28*H28*J28/O44,IF(B29="使用電線-3",N29*H29*J29/O44))))))</f>
        <v/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266" t="str">
        <f>IF('WireDip-01'!AF44="","",'WireDip-01'!AF44)</f>
        <v xml:space="preserve">42-USER Reg. </v>
      </c>
      <c r="AG44" s="3"/>
      <c r="AH44" s="3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</row>
    <row r="45" spans="1:50" ht="3.75" customHeight="1" x14ac:dyDescent="0.15">
      <c r="A45" s="339"/>
      <c r="B45" s="33"/>
      <c r="C45" s="186"/>
      <c r="D45" s="11"/>
      <c r="E45" s="11"/>
      <c r="F45" s="11"/>
      <c r="G45" s="11"/>
      <c r="H45" s="11"/>
      <c r="I45" s="34"/>
      <c r="J45" s="11"/>
      <c r="K45" s="11"/>
      <c r="L45" s="11"/>
      <c r="M45" s="11"/>
      <c r="N45" s="34"/>
      <c r="O45" s="11"/>
      <c r="P45" s="11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6"/>
      <c r="AG45" s="3"/>
      <c r="AH45" s="3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</row>
    <row r="46" spans="1:50" ht="13.5" customHeight="1" x14ac:dyDescent="0.15">
      <c r="A46" s="339"/>
      <c r="B46" s="386" t="str">
        <f>IF(AC26=4,"使用電線-"&amp;AC26,IF(AC27=4,"使用電線-"&amp;AC27,IF(AC28=4,"使用電線-"&amp;AC28,IF(AC29=4,"使用電線-"&amp;AC29,IF(AC30=4,"使用電線-"&amp;AC30,"")))))</f>
        <v/>
      </c>
      <c r="C46" s="387"/>
      <c r="D46" s="29" t="s">
        <v>21</v>
      </c>
      <c r="E46" s="29" t="s">
        <v>22</v>
      </c>
      <c r="F46" s="356" t="s">
        <v>23</v>
      </c>
      <c r="G46" s="329" t="str">
        <f>IF(AC27=5,"使用電線-"&amp;AC27,IF(AC28=5,"使用電線-"&amp;AC28,IF(AC29=5,"使用電線-"&amp;AC29,IF(AC30=5,"使用電線-"&amp;AC30,""))))</f>
        <v/>
      </c>
      <c r="H46" s="330"/>
      <c r="I46" s="331"/>
      <c r="J46" s="29" t="s">
        <v>21</v>
      </c>
      <c r="K46" s="29" t="s">
        <v>22</v>
      </c>
      <c r="L46" s="362" t="s">
        <v>23</v>
      </c>
      <c r="M46" s="310" t="s">
        <v>25</v>
      </c>
      <c r="N46" s="311"/>
      <c r="O46" s="29" t="s">
        <v>46</v>
      </c>
      <c r="P46" s="29" t="s">
        <v>22</v>
      </c>
      <c r="Q46" s="57" t="s">
        <v>23</v>
      </c>
      <c r="R46" s="60"/>
      <c r="S46" s="3"/>
      <c r="T46" s="3"/>
      <c r="U46" s="59"/>
      <c r="V46" s="59"/>
      <c r="W46" s="59"/>
      <c r="X46" s="59"/>
      <c r="Y46" s="95" t="s">
        <v>158</v>
      </c>
      <c r="Z46" s="95" t="s">
        <v>159</v>
      </c>
      <c r="AA46" s="60"/>
      <c r="AB46" s="60"/>
      <c r="AC46" s="60"/>
      <c r="AD46" s="60"/>
      <c r="AE46" s="60"/>
      <c r="AF46" s="36"/>
      <c r="AG46" s="36"/>
      <c r="AH46" s="36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</row>
    <row r="47" spans="1:50" ht="13.5" customHeight="1" x14ac:dyDescent="0.15">
      <c r="A47" s="339"/>
      <c r="B47" s="187" t="str">
        <f>IF(B46="","","弛度補正")</f>
        <v/>
      </c>
      <c r="C47" s="182"/>
      <c r="D47" s="55" t="s">
        <v>125</v>
      </c>
      <c r="E47" s="55" t="s">
        <v>24</v>
      </c>
      <c r="F47" s="357"/>
      <c r="G47" s="304" t="str">
        <f>IF(G46="","","弛度補正")</f>
        <v/>
      </c>
      <c r="H47" s="305"/>
      <c r="I47" s="182"/>
      <c r="J47" s="188" t="s">
        <v>125</v>
      </c>
      <c r="K47" s="55" t="s">
        <v>24</v>
      </c>
      <c r="L47" s="363"/>
      <c r="M47" s="312"/>
      <c r="N47" s="313"/>
      <c r="O47" s="55" t="s">
        <v>125</v>
      </c>
      <c r="P47" s="167" t="s">
        <v>157</v>
      </c>
      <c r="Q47" s="56" t="s">
        <v>174</v>
      </c>
      <c r="R47" s="61"/>
      <c r="S47" s="103" t="s">
        <v>126</v>
      </c>
      <c r="T47" s="3"/>
      <c r="U47" s="3"/>
      <c r="V47" s="59"/>
      <c r="W47" s="59"/>
      <c r="X47" s="59"/>
      <c r="Y47" s="99">
        <f>IF(I23="---〃---",0,IF(OR(I23=AH3,I23=AH4,I23=AH5,I23=AH6,I23=AH7,I23=AH8,I23=AH9,I23=AH10),S23*0.001+0.012,0))</f>
        <v>0</v>
      </c>
      <c r="Z47" s="99">
        <f>IF(I23="---〃---",0,IF(OR(I23=AH3,I23=AH4,I23=AH5,I23=AH6,I23=AH7,I23=AH8,I23=AH9,I23=AH10),U23+1.884955592*(S23*0.001+0.006)*0.9,0))</f>
        <v>0</v>
      </c>
      <c r="AA47" s="61"/>
      <c r="AB47" s="61"/>
      <c r="AC47" s="61"/>
      <c r="AD47" s="61"/>
      <c r="AE47" s="61"/>
      <c r="AF47" s="36"/>
      <c r="AG47" s="36"/>
      <c r="AH47" s="36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</row>
    <row r="48" spans="1:50" ht="13.5" customHeight="1" x14ac:dyDescent="0.15">
      <c r="A48" s="339"/>
      <c r="B48" s="346" t="s">
        <v>13</v>
      </c>
      <c r="C48" s="347"/>
      <c r="D48" s="335" t="str">
        <f>IF(B46="","",IF(B26="使用電線-4",BR71*H26*J26,IF(B27="使用電線-4",BR71*H27*J27,IF(B28="使用電線-4",BR71*H28*J28,IF(B29="使用電線-4",BR71*H29*J29,"")))))</f>
        <v/>
      </c>
      <c r="E48" s="337" t="str">
        <f>IF(D48="","",BR70)</f>
        <v/>
      </c>
      <c r="F48" s="360" t="str">
        <f>IF(D48="","",IF(B26="使用電線-4",N26*H26*J26/D48,IF(B27="使用電線-4",N27*H27*J27/D48,IF(B28="使用電線-4",N28*H28*J28/D48,IF(B29="使用電線-4",N29*H29*J29/D48)))))</f>
        <v/>
      </c>
      <c r="G48" s="287" t="s">
        <v>13</v>
      </c>
      <c r="H48" s="288"/>
      <c r="I48" s="347"/>
      <c r="J48" s="335" t="str">
        <f>IF(G46="","",IF(B27="使用電線-5",CA71*H27*J27,IF(B28="使用電線-5",CA71*H28*J28,IF(B29="使用電線-5",CA71*H29*J29,""))))</f>
        <v/>
      </c>
      <c r="K48" s="337" t="str">
        <f>IF(J48="","",CA70)</f>
        <v/>
      </c>
      <c r="L48" s="360" t="str">
        <f>IF(J48="","",IF(B27="使用電線-5",N27*H27*J27/J48,IF(B28="使用電線-5",N28*H28*J28/J48,IF(B29="使用電線-5",N29*H29*J29/J48))))</f>
        <v/>
      </c>
      <c r="M48" s="287" t="s">
        <v>13</v>
      </c>
      <c r="N48" s="347"/>
      <c r="O48" s="335" t="str">
        <f>IF(D34="","",SUM(J61:N61))</f>
        <v/>
      </c>
      <c r="P48" s="206" t="str">
        <f>IF(D34="","",MAX(E34,K34,P34,E48,K48))</f>
        <v/>
      </c>
      <c r="Q48" s="306" t="str">
        <f>IF(D34="","",MIN(F34,L34,Q34,F48,L48))</f>
        <v/>
      </c>
      <c r="R48" s="59"/>
      <c r="S48" s="99">
        <f>IF(D29="",0,SQRT(((((K23*H23+K24*H24+K25*H25+K26*H26+K27*H27+K28*H28+K29*H29)*0.001/SUM(H23:H29))*((SUM(H23:H29))^0.55)+0.012+Y47)*50)^2+(M23*H23+M24*H24+M25*H25+M26*H26+M27*H27+M28*H28+M29*H29+16.9646*(((K23*H23+K24*H24+K25*H25+K26*H26+K27*H27+K28*H28+K29*H29)*0.001/SUM(H23:H29))*((SUM(H23:H29))^0.55)+0.006)+Z47)^2))</f>
        <v>0</v>
      </c>
      <c r="T48" s="103" t="s">
        <v>133</v>
      </c>
      <c r="U48" s="3"/>
      <c r="V48" s="59"/>
      <c r="W48" s="59"/>
      <c r="X48" s="59"/>
      <c r="Y48" s="99">
        <f>IF(I24="---〃---",0,IF(OR(I24=AH3,I24=AH4,I24=AH5,I24=AH6,I24=AH7,I24=AH8,I24=AH9,I24=AH10),S24*0.001+0.012,0))</f>
        <v>0</v>
      </c>
      <c r="Z48" s="99">
        <f>IF(I24="---〃---",0,IF(OR(I24=AH3,I24=AH4,I24=AH5,I24=AH6,I24=AH7,I24=AH8,I24=AH9,I24=AH10),U24+1.884955592*(S24*0.001+0.006)*0.9,0))</f>
        <v>0</v>
      </c>
      <c r="AA48" s="59"/>
      <c r="AB48" s="59"/>
      <c r="AC48" s="59"/>
      <c r="AD48" s="59"/>
      <c r="AE48" s="59"/>
      <c r="AF48" s="28"/>
      <c r="AG48" s="28"/>
      <c r="AH48" s="28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</row>
    <row r="49" spans="1:79" ht="13.5" customHeight="1" x14ac:dyDescent="0.15">
      <c r="A49" s="339"/>
      <c r="B49" s="348"/>
      <c r="C49" s="292"/>
      <c r="D49" s="336"/>
      <c r="E49" s="338"/>
      <c r="F49" s="361"/>
      <c r="G49" s="290"/>
      <c r="H49" s="291"/>
      <c r="I49" s="292"/>
      <c r="J49" s="336"/>
      <c r="K49" s="338"/>
      <c r="L49" s="361"/>
      <c r="M49" s="290"/>
      <c r="N49" s="292"/>
      <c r="O49" s="336"/>
      <c r="P49" s="207" t="str">
        <f>IF(D34="","",MIN(E34,K34,P34,E48,K48))</f>
        <v/>
      </c>
      <c r="Q49" s="307"/>
      <c r="R49" s="59"/>
      <c r="S49" s="99">
        <f>IF(D28="",0,SQRT(((((K23*H23+K24*H24+K25*H25+K26*H26+K27*H27+K28*H28)*0.001/SUM(H23:H28))*((SUM(H23:H28))^0.55)+0.012+Y51)*47)^2+(M23*H23+M24*H24+M25*H25+M26*H26+M27*H27+M28*H28+16.9646*(((K23*H23+K24*H24+K25*H25+K26*H26+K27*H27+K28*H28)*0.001/SUM(H23:H28))*((SUM(H23:H28))^0.55)+0.006)+Z47)^2))</f>
        <v>0</v>
      </c>
      <c r="T49" s="99">
        <f>IF(D29="",0,SQRT(((((K24*H24+K25*H25+K26*H26+K27*H27+K28*H28+K29*H29)*0.001/SUM(H24:H29))*((SUM(H24:H29))^0.55)+0.012+Y48)*50)^2+(M24*H24+M25*H25+M26*H26+M27*H27+M28*H28+M29*H29+16.9646*(((K24*H24+K25*H25+K26*H26+K27*H27+K28*H28+K29*H29)*0.001/SUM(H24:H29))*((SUM(H24:H29))^0.55)+0.006)+Z48)^2))</f>
        <v>0</v>
      </c>
      <c r="U49" s="103" t="s">
        <v>134</v>
      </c>
      <c r="V49" s="3"/>
      <c r="W49" s="3"/>
      <c r="X49" s="59"/>
      <c r="Y49" s="99">
        <f>IF(I25="---〃---",0,IF(OR(I25=AH3,I25=AH4,I25=AH5,I25=AH6,I25=AH7,I25=AH8,I25=AH9,I25=AH10),S25*0.001+0.012,0))</f>
        <v>0</v>
      </c>
      <c r="Z49" s="99">
        <f>IF(I25="---〃---",0,IF(OR(I25=AH3,I25=AH4,I25=AH5,I25=AH6,I25=AH7,I25=AH8,I25=AH9,I25=AH10),U25+1.884955592*(S25*0.001+0.006)*0.9,0))</f>
        <v>0</v>
      </c>
      <c r="AA49" s="59"/>
      <c r="AB49" s="59"/>
      <c r="AC49" s="59"/>
      <c r="AD49" s="59"/>
      <c r="AE49" s="59"/>
      <c r="AF49" s="28"/>
      <c r="AG49" s="28"/>
      <c r="AH49" s="28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</row>
    <row r="50" spans="1:79" ht="13.5" customHeight="1" x14ac:dyDescent="0.15">
      <c r="A50" s="339"/>
      <c r="B50" s="366" t="s">
        <v>14</v>
      </c>
      <c r="C50" s="295"/>
      <c r="D50" s="314" t="str">
        <f>IF(B46="","",IF(B26="使用電線-4",BR91*H26*J26,IF(B27="使用電線-4",BR91*H27*J27,IF(B28="使用電線-4",BR91*H28*J28,IF(B29="使用電線-4",BR91*H29*J29,"")))))</f>
        <v/>
      </c>
      <c r="E50" s="333" t="str">
        <f>IF(D50="","",BR90)</f>
        <v/>
      </c>
      <c r="F50" s="302" t="str">
        <f>IF(D50="","",IF(B26="使用電線-4",N26*H26*J26/D50,IF(B27="使用電線-4",N27*H27*J27/D50,IF(B28="使用電線-4",N28*H28*J28/D50,IF(B29="使用電線-4",N29*H29*J29/D50)))))</f>
        <v/>
      </c>
      <c r="G50" s="293" t="s">
        <v>14</v>
      </c>
      <c r="H50" s="294"/>
      <c r="I50" s="295"/>
      <c r="J50" s="314" t="str">
        <f>IF(G46="","",IF(B27="使用電線-5",CA91*H27*J27,IF(B28="使用電線-5",CA91*H28*J28,IF(B29="使用電線-5",CA91*H29*J29,""))))</f>
        <v/>
      </c>
      <c r="K50" s="333" t="str">
        <f>IF(J50="","",CA90)</f>
        <v/>
      </c>
      <c r="L50" s="302" t="str">
        <f>IF(J50="","",IF(B27="使用電線-5",N27*H27*J27/J50,IF(B28="使用電線-5",N28*H28*J28/J50,IF(B29="使用電線-5",N29*H29*J29/J50))))</f>
        <v/>
      </c>
      <c r="M50" s="293" t="s">
        <v>14</v>
      </c>
      <c r="N50" s="295"/>
      <c r="O50" s="314" t="str">
        <f>IF(D34="","",SUM(J62:N62))</f>
        <v/>
      </c>
      <c r="P50" s="208" t="str">
        <f>IF(D36="","",MAX(E36,K36,P36,E50,K50))</f>
        <v/>
      </c>
      <c r="Q50" s="358" t="str">
        <f>IF(D36="","",MIN(F36,L36,Q36,F50,L50))</f>
        <v/>
      </c>
      <c r="R50" s="59"/>
      <c r="S50" s="99">
        <f>IF(D27="",0,SQRT(((((K23*H23+K24*H24+K25*H25+K26*H26+K27*H27)*0.001/SUM(H23:H27))*((SUM(H23:H27))^0.55)+0.012+Y47)*50)^2+(M23*H23+M24*H24+M25*H25+M26*H26+M27*H27+16.9646*(((K23*H23+K24*H24+K25*H25+K26*H26+K27*H27)*0.001/SUM(H23:H27))*((SUM(H23:H27))^0.55)+0.006)+Z47)^2))</f>
        <v>0</v>
      </c>
      <c r="T50" s="99">
        <f>IF(D28="",0,SQRT(((((K24*H24+K25*H25+K26*H26+K27*H27+K28*H28)*0.001/SUM(H24:H28))*((SUM(H24:H28))^0.55)+0.012+Y48)*50)^2+(M24*H24+M25*H25+M26*H26+M27*H27+M28*H28+16.9646*(((K24*H24+K25*H25+K26*H26+K27*H27+K28*H28)*0.001/SUM(H24:H28))*((SUM(H24:H28))^0.55)+0.006)+Z48)^2))</f>
        <v>0</v>
      </c>
      <c r="U50" s="99">
        <f>IF(D29="",0,SQRT(((((K25*H25+K26*H26+K27*H27+K28*H28+K29*H29)*0.001/SUM(H25:H29))*((SUM(H25:H29))^0.55)+0.012+Y49)*50)^2+(M25*H25+M26*H26+M27*H27+M28*H28+M29*H29+16.9646*(((K25*H25+K26*H26+K27*H27+K28*H28+K29*H29)*0.001/SUM(H25:H29))*((SUM(H25:H29))^0.55)+0.006)+Z49)^2))</f>
        <v>0</v>
      </c>
      <c r="V50" s="103" t="s">
        <v>135</v>
      </c>
      <c r="W50" s="3"/>
      <c r="X50" s="3"/>
      <c r="Y50" s="99">
        <f>IF(I26="---〃---",0,IF(OR(I26=AH3,I26=AH4,I26=AH5,I26=AH6,I26=AH7,I26=AH8,I26=AH9,I26=AH10),S26*0.001+0.012,0))</f>
        <v>0</v>
      </c>
      <c r="Z50" s="99">
        <f>IF(I26="---〃---",0,IF(OR(I26=AH3,I26=AH4,I26=AH5,I26=AH6,I26=AH7,I26=AH8,I26=AH9,I26=AH10),U26+1.884955592*(S26*0.001+0.006)*0.9,0))</f>
        <v>0</v>
      </c>
      <c r="AA50" s="59"/>
      <c r="AB50" s="59"/>
      <c r="AC50" s="59"/>
      <c r="AD50" s="59"/>
      <c r="AE50" s="59"/>
      <c r="AF50" s="28"/>
      <c r="AG50" s="28"/>
      <c r="AH50" s="28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</row>
    <row r="51" spans="1:79" ht="13.5" customHeight="1" x14ac:dyDescent="0.15">
      <c r="A51" s="339"/>
      <c r="B51" s="348"/>
      <c r="C51" s="292"/>
      <c r="D51" s="315"/>
      <c r="E51" s="334"/>
      <c r="F51" s="303"/>
      <c r="G51" s="290"/>
      <c r="H51" s="291"/>
      <c r="I51" s="292"/>
      <c r="J51" s="315"/>
      <c r="K51" s="334"/>
      <c r="L51" s="303"/>
      <c r="M51" s="290"/>
      <c r="N51" s="292"/>
      <c r="O51" s="315"/>
      <c r="P51" s="207" t="str">
        <f>IF(D36="","",MIN(E36,K36,P36,E50,K50))</f>
        <v/>
      </c>
      <c r="Q51" s="359"/>
      <c r="R51" s="59"/>
      <c r="S51" s="99">
        <f>IF(D26="",0,SQRT(((((K23*H23+K24*H24+K25*H25+K26*H26)*0.001/SUM(H23:H26))*((SUM(H23:H26))^0.55)+0.012+Y47)*50)^2+(M23*H23+M24*H24+M25*H25+M26*H26+16.9646*(((K23*H23+K24*H24+K25*H25+K26*H26)*0.001/SUM(H23:H26))*((SUM(H23:H26))^0.55)+0.006)+Z47)^2))</f>
        <v>0</v>
      </c>
      <c r="T51" s="99">
        <f>IF(D27="",0,SQRT(((((K24*H24+K25*H25+K26*H26+K27*H27)*0.001/SUM(H24:H27))*((SUM(H24:H27))^0.55)+0.012+Y48)*50)^2+(M24*H24+M25*H25+M26*H26+M27*H27+16.9646*(((K24*H24+K25*H25+K26*H26+K27*H27)*0.001/SUM(H24:H27))*((SUM(H24:H27))^0.55)+0.006)+Z48)^2))</f>
        <v>0</v>
      </c>
      <c r="U51" s="99">
        <f>IF(D28="",0,SQRT(((((K25*H25+K26*H26+K27*H27+K28*H28)*0.001/SUM(H25:H28))*((SUM(H25:H28))^0.55)+0.012+Y49)*50)^2+(M25*H25+M26*H26+M27*H27+M28*H28+16.9646*(((K25*H25+K26*H26+K27*H27+K28*H28)*0.001/SUM(H25:H28))*((SUM(H25:H28))^0.55)+0.006)+Z49)^2))</f>
        <v>0</v>
      </c>
      <c r="V51" s="99">
        <f>IF(D29="",0,SQRT(((((K26*H26+K27*H27+K28*H28+K29*H29)*0.001/SUM(H26:H29))*((SUM(H26:H29))^0.55)+0.012+Y50)*50)^2+(M26*H26+M27*H27+M28*H28+M29*H29+16.9646*(((K26*H26+K27*H27+K28*H28+K29*H29)*0.001/SUM(H26:H29))*((SUM(H26:H29))^0.55)+0.006)+Z50)^2))</f>
        <v>0</v>
      </c>
      <c r="W51" s="103" t="s">
        <v>136</v>
      </c>
      <c r="X51" s="3"/>
      <c r="Y51" s="99">
        <f>IF(I27="---〃---",0,IF(OR(I27=AH3,I27=AH4,I27=AH5,I27=AH6,I27=AH7,I27=AH8,I27=AH9,I27=AH10),S27*0.001+0.012,0))</f>
        <v>0</v>
      </c>
      <c r="Z51" s="99">
        <f>IF(I27="---〃---",0,IF(OR(I27=AH3,I27=AH4,I27=AH5,I27=AH6,I27=AH7,I27=AH8,I27=AH9,I27=AH10),U27+1.884955592*(S27*0.001+0.006)*0.9,0))</f>
        <v>0</v>
      </c>
      <c r="AA51" s="59"/>
      <c r="AB51" s="59"/>
      <c r="AC51" s="59"/>
      <c r="AD51" s="59"/>
      <c r="AE51" s="59"/>
      <c r="AF51" s="28"/>
      <c r="AG51" s="28"/>
      <c r="AH51" s="28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BV51" s="168"/>
    </row>
    <row r="52" spans="1:79" ht="17.25" customHeight="1" x14ac:dyDescent="0.15">
      <c r="A52" s="339"/>
      <c r="B52" s="366" t="s">
        <v>15</v>
      </c>
      <c r="C52" s="295"/>
      <c r="D52" s="314" t="str">
        <f>IF(B46="","",IF(B26="使用電線-4",BR111*H26*J26,IF(B27="使用電線-4",BR111*H27*J27,IF(B28="使用電線-4",BR111*H28*J28,IF(B29="使用電線-4",BR111*H29*J29,"")))))</f>
        <v/>
      </c>
      <c r="E52" s="333" t="str">
        <f>IF(D52="","",BR110)</f>
        <v/>
      </c>
      <c r="F52" s="302" t="str">
        <f>IF(D52="","",IF(B26="使用電線-4",N26*H26*J26/D52,IF(B27="使用電線-4",N27*H27*J27/D52,IF(B28="使用電線-4",N28*H28*J28/D52,IF(B29="使用電線-4",N29*H29*J29/D52)))))</f>
        <v/>
      </c>
      <c r="G52" s="293" t="s">
        <v>15</v>
      </c>
      <c r="H52" s="294"/>
      <c r="I52" s="295"/>
      <c r="J52" s="314" t="str">
        <f>IF(G46="","",IF(B27="使用電線-5",CA111*H27*J27,IF(B28="使用電線-5",CA111*H28*J28,IF(B29="使用電線-5",CA111*H29*J29,""))))</f>
        <v/>
      </c>
      <c r="K52" s="333" t="str">
        <f>IF(J52="","",CA110)</f>
        <v/>
      </c>
      <c r="L52" s="302" t="str">
        <f>IF(J52="","",IF(B27="使用電線-5",N27*H27*J27/J52,IF(B28="使用電線-5",N28*H28*J28/J52,IF(B29="使用電線-5",N29*H29*J29/J52))))</f>
        <v/>
      </c>
      <c r="M52" s="293" t="s">
        <v>15</v>
      </c>
      <c r="N52" s="295"/>
      <c r="O52" s="336" t="str">
        <f>IF(D34="","",SUM(J63:N63))</f>
        <v/>
      </c>
      <c r="P52" s="209" t="str">
        <f>IF(D38="","",MAX(E38,K38,P38,E52,K52))</f>
        <v/>
      </c>
      <c r="Q52" s="358" t="str">
        <f>IF(D38="","",MIN(F38,L38,Q38,F52,L52))</f>
        <v/>
      </c>
      <c r="R52" s="59"/>
      <c r="S52" s="99">
        <f>IF(D25="",0,SQRT(((((K23*H23+K24*H24+K25*H25)*0.001/SUM(H23:H25))*((SUM(H23:H25))^0.55)+0.012+Y47)*50)^2+(M23*H23+M24*H24+M25*H25+16.9646*(((K23*H23+K24*H24+K25*H25)*0.001/SUM(H23:H25))*((SUM(H23:H25))^0.55)+0.006)+Z47)^2))</f>
        <v>0</v>
      </c>
      <c r="T52" s="99">
        <f>IF(D26="",0,SQRT(((((K24*H24+K25*H25+K26*H26)*0.001/SUM(H24:H26))*((SUM(H24:H26))^0.55)+0.012+Y48)*50)^2+(M24*H24+M25*H25+M26*H26+16.9646*(((K24*H24+K25*H25+K26*H26)*0.001/SUM(H24:H26))*((SUM(H24:H26))^0.55)+0.006)+Z48)^2))</f>
        <v>0</v>
      </c>
      <c r="U52" s="99">
        <f>IF(D27="",0,SQRT(((((K25*H25+K26*H26+K27*H27)*0.001/SUM(H25:H27))*((SUM(H25:H27))^0.55)+0.012+Y49)*50)^2+(M25*H25+M26*H26+M27*H27+16.9646*(((K25*H25+K26*H26+K27*H27)*0.001/SUM(H25:H27))*((SUM(H25:H27))^0.55)+0.006)+Z49)^2))</f>
        <v>0</v>
      </c>
      <c r="V52" s="99">
        <f>IF(D28="",0,SQRT(((((K26*H26+K27*H27+K28*H28)*0.001/SUM(H26:H28))*((SUM(H26:H28))^0.55)+0.012+Y50)*50)^2+(M26*H26+M27*H27+M28*H28+16.9646*(((K26*H26+K27*H27+K28*H28)*0.001/SUM(H26:H28))*((SUM(H26:H28))^0.55)+0.006)+Z50)^2))</f>
        <v>0</v>
      </c>
      <c r="W52" s="99">
        <f>IF(D29="",0,SQRT(((((K27*H27+K28*H28+K29*H29)*0.001/SUM(H27:H29))*((SUM(H27:H29))^0.55)+0.012+Y51)*50)^2+(M27*H27+M28*H28+M29*H29+16.9646*(((K27*H27+K28*H28+K29*H29)*0.001/SUM(H27:H29))*((SUM(H27:H29))^0.55)+0.006)+Z51)^2))</f>
        <v>0</v>
      </c>
      <c r="X52" s="103" t="s">
        <v>137</v>
      </c>
      <c r="Y52" s="99">
        <f>IF(I28="---〃---",0,IF(OR(I28=AH3,I28=AH4,I28=AH5,I28=AH6,I28=AH7,I28=AH8,I28=AH9,I28=AH10),S28*0.001+0.012,0))</f>
        <v>0</v>
      </c>
      <c r="Z52" s="99">
        <f>IF(I28="---〃---",0,IF(OR(I28=AH3,I28=AH4,I28=AH5,I28=AH6,I28=AH7,I28=AH8,I28=AH9,I28=AH10),U28+1.884955592*(S28*0.001+0.006)*0.9,0))</f>
        <v>0</v>
      </c>
      <c r="AA52" s="59"/>
      <c r="AB52" s="59"/>
      <c r="AC52" s="59"/>
      <c r="AD52" s="59"/>
      <c r="AE52" s="59"/>
      <c r="AF52" s="28"/>
      <c r="AG52" s="28"/>
      <c r="AH52" s="28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</row>
    <row r="53" spans="1:79" ht="17.25" customHeight="1" x14ac:dyDescent="0.15">
      <c r="A53" s="339"/>
      <c r="B53" s="348"/>
      <c r="C53" s="292"/>
      <c r="D53" s="315"/>
      <c r="E53" s="334"/>
      <c r="F53" s="303"/>
      <c r="G53" s="290"/>
      <c r="H53" s="291"/>
      <c r="I53" s="292"/>
      <c r="J53" s="315"/>
      <c r="K53" s="334"/>
      <c r="L53" s="303"/>
      <c r="M53" s="290"/>
      <c r="N53" s="292"/>
      <c r="O53" s="336"/>
      <c r="P53" s="210" t="str">
        <f>IF(D38="","",MIN(E38,K38,P38,E52,K52))</f>
        <v/>
      </c>
      <c r="Q53" s="359"/>
      <c r="R53" s="59"/>
      <c r="S53" s="99">
        <f>IF(D24="",0,SQRT(((((K23*H23+K24*H24)*0.001/SUM(H23:H24))*((SUM(H23:H24))^0.55)+0.012+Y47)*50)^2+(M23*H23+M24*H24+16.9646*(((K23*H23+K24*H24)*0.001/SUM(H23:H24))*((SUM(H23:H24))^0.55)+0.006)+Z47)^2))</f>
        <v>0</v>
      </c>
      <c r="T53" s="99">
        <f>IF(D25="",0,SQRT(((((K24*H24+K25*H25)*0.001/SUM(H24:H25))*((SUM(H24:H25))^0.55)+0.012+Y48)*50)^2+(M24*H24+M25*H25+16.9646*(((K24*H24+K25*H25)*0.001/SUM(H24:H25))*((SUM(H24:H25))^0.55)+0.006)+Z48)^2))</f>
        <v>0</v>
      </c>
      <c r="U53" s="99">
        <f>IF(D26="",0,SQRT(((((K25*H25+K26*H26)*0.001/SUM(H25:H26))*((SUM(H25:H26))^0.55)+0.012+Y49)*50)^2+(M25*H25+M26*H26+16.9646*(((K25*H25+K26*H26)*0.001/SUM(H25:H26))*((SUM(H25:H26))^0.55)+0.006)+Z49)^2))</f>
        <v>0</v>
      </c>
      <c r="V53" s="99">
        <f>IF(D27="",0,SQRT(((((K26*H26+K27*H27)*0.001/SUM(H26:H27))*((SUM(H26:H27))^0.55)+0.012+Y50)*50)^2+(M26*H26+M27*H27+16.9646*(((K26*H26+K27*H27)*0.001/SUM(H26:H27))*((SUM(H26:H27))^0.55)+0.006)+Z50)^2))</f>
        <v>0</v>
      </c>
      <c r="W53" s="99">
        <f>IF(D28="",0,SQRT(((((K27*H27+K28*H28)*0.001/SUM(H27:H28))*((SUM(H27:H28))^0.55)+0.012+Y51)*50)^2+(M27*H27+M28*H28+16.9646*(((K27*H27+K28*H28)*0.001/SUM(H27:H28))*((SUM(H27:H28))^0.55)+0.006)+Z51)^2))</f>
        <v>0</v>
      </c>
      <c r="X53" s="99">
        <f>IF(D29="",0,SQRT(((((K28*H28+K29*H29)*0.001/SUM(H28:H29))*((SUM(H28:H29))^0.55)+0.012+Y52)*50)^2+(M28*H28+M29*H29+16.9646*(((K28*H28+K29*H29)*0.001/SUM(H28:H29))*((SUM(H28:H29))^0.55)+0.006)+Z52)^2))</f>
        <v>0</v>
      </c>
      <c r="Y53" s="99">
        <f>IF(I29="---〃---",0,IF(OR(I29=AH3,I29=AH4,I29=AH5,I29=AH6,I29=AH7,I29=AH8,I29=AH9,I29=AH10),S29*0.001+0.012,0))</f>
        <v>0</v>
      </c>
      <c r="Z53" s="99">
        <f>IF(I29="---〃---",0,IF(OR(I29=AH3,I29=AH4,I29=AH5,I29=AH6,I29=AH7,I29=AH8,I29=AH9,I29=AH10),U29+1.884955592*(S29*0.001+0.006)*0.9,0))</f>
        <v>0</v>
      </c>
      <c r="AA53" s="59"/>
      <c r="AB53" s="59"/>
      <c r="AC53" s="59"/>
      <c r="AD53" s="59"/>
      <c r="AE53" s="59"/>
      <c r="AF53" s="28"/>
      <c r="AG53" s="28"/>
      <c r="AH53" s="28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</row>
    <row r="54" spans="1:79" ht="15" customHeight="1" x14ac:dyDescent="0.15">
      <c r="A54" s="339"/>
      <c r="B54" s="388" t="s">
        <v>16</v>
      </c>
      <c r="C54" s="298"/>
      <c r="D54" s="198" t="str">
        <f>IF(B46="","",IF(B26="使用電線-4",BR131*H26*J26,IF(B27="使用電線-4",BR131*H27*J27,IF(B28="使用電線-4",BR131*H28*J28,IF(B29="使用電線-4",BR131*H29*J29,"")))))</f>
        <v/>
      </c>
      <c r="E54" s="199" t="str">
        <f>IF(D54="","",BR130)</f>
        <v/>
      </c>
      <c r="F54" s="200" t="str">
        <f>IF(D54="","",IF(B26="使用電線-4",N26*H26*J26/D54,IF(B27="使用電線-4",N27*H27*J27/D54,IF(B28="使用電線-4",N28*H28*J28/D54,IF(B29="使用電線-4",N29*H29*J29/D54)))))</f>
        <v/>
      </c>
      <c r="G54" s="296" t="s">
        <v>16</v>
      </c>
      <c r="H54" s="297"/>
      <c r="I54" s="298"/>
      <c r="J54" s="198" t="str">
        <f>IF(G46="","",IF(B27="使用電線-5",CA131*H27*J27,IF(B28="使用電線-5",CA131*H28*J28,IF(B29="使用電線-5",CA131*H29*J29,""))))</f>
        <v/>
      </c>
      <c r="K54" s="199" t="str">
        <f>IF(J54="","",CA130)</f>
        <v/>
      </c>
      <c r="L54" s="200" t="str">
        <f>IF(J54="","",IF(B27="使用電線-5",N27*H27*J27/J54,IF(B28="使用電線-5",N28*H28*J28/J54,IF(B29="使用電線-5",N29*H29*J29/J54))))</f>
        <v/>
      </c>
      <c r="M54" s="296" t="s">
        <v>16</v>
      </c>
      <c r="N54" s="298"/>
      <c r="O54" s="198" t="str">
        <f>IF(D34="","",SUM(J64:N64))</f>
        <v/>
      </c>
      <c r="P54" s="189" t="str">
        <f>IF(D40="","",MAX(E40,K40,P40,E54,K54))</f>
        <v/>
      </c>
      <c r="Q54" s="203" t="str">
        <f>IF(D40="","",MIN(F40,L40,Q40,F54,L54))</f>
        <v/>
      </c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3"/>
      <c r="AG54" s="3"/>
      <c r="AH54" s="3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</row>
    <row r="55" spans="1:79" ht="15" customHeight="1" x14ac:dyDescent="0.15">
      <c r="A55" s="339"/>
      <c r="B55" s="389" t="s">
        <v>17</v>
      </c>
      <c r="C55" s="301"/>
      <c r="D55" s="249" t="str">
        <f>IF(B46="","",IF(B26="使用電線-4",BR151*H26*J26,IF(B27="使用電線-4",BR151*H27*J27,IF(B28="使用電線-4",BR151*H28*J28,IF(B29="使用電線-4",BR151*H29*J29,"")))))</f>
        <v/>
      </c>
      <c r="E55" s="250" t="str">
        <f>IF(D55="","",BR150)</f>
        <v/>
      </c>
      <c r="F55" s="251" t="str">
        <f>IF(D55="","",IF(B26="使用電線-4",N26*H26*J26/D55,IF(B27="使用電線-4",N27*H27*J27/D55,IF(B28="使用電線-4",N28*H28*J28/D55,IF(B29="使用電線-4",N29*H29*J29/D55)))))</f>
        <v/>
      </c>
      <c r="G55" s="299" t="s">
        <v>17</v>
      </c>
      <c r="H55" s="300"/>
      <c r="I55" s="301"/>
      <c r="J55" s="249" t="str">
        <f>IF(G46="","",IF(B27="使用電線-5",CA151*H27*J27,IF(B28="使用電線-5",CA151*H28*J28,IF(B29="使用電線-5",CA151*H29*J29,""))))</f>
        <v/>
      </c>
      <c r="K55" s="250" t="str">
        <f>IF(J55="","",CA150)</f>
        <v/>
      </c>
      <c r="L55" s="251" t="str">
        <f>IF(J55="","",IF(B27="使用電線-5",N27*H27*J27/J55,IF(B28="使用電線-5",N28*H28*J28/J55,IF(B29="使用電線-5",N29*H29*J29/J55))))</f>
        <v/>
      </c>
      <c r="M55" s="299" t="s">
        <v>17</v>
      </c>
      <c r="N55" s="301"/>
      <c r="O55" s="249" t="str">
        <f>IF(D34="","",SUM(J65:N65))</f>
        <v/>
      </c>
      <c r="P55" s="253" t="str">
        <f>IF(D41="","",MAX(E41,K41,P41,E55,K55))</f>
        <v/>
      </c>
      <c r="Q55" s="252" t="str">
        <f>IF(D41="","",MIN(F41,L41,Q41,F55,L55))</f>
        <v/>
      </c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3"/>
      <c r="AG55" s="3"/>
      <c r="AH55" s="3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</row>
    <row r="56" spans="1:79" ht="15" customHeight="1" x14ac:dyDescent="0.15">
      <c r="A56" s="339"/>
      <c r="B56" s="388" t="s">
        <v>18</v>
      </c>
      <c r="C56" s="298"/>
      <c r="D56" s="198" t="str">
        <f>IF(B46="","",IF(B26="使用電線-4",BR171*H26*J26,IF(B27="使用電線-4",BR171*H27*J27,IF(B28="使用電線-4",BR171*H28*J28,IF(B29="使用電線-4",BR171*H29*J29,"")))))</f>
        <v/>
      </c>
      <c r="E56" s="199" t="str">
        <f>IF(D56="","",BR170)</f>
        <v/>
      </c>
      <c r="F56" s="200" t="str">
        <f>IF(D56="","",IF(B26="使用電線-4",N26*H26*J26/D56,IF(B27="使用電線-4",N27*H27*J27/D56,IF(B28="使用電線-4",N28*H28*J28/D56,IF(B29="使用電線-4",N29*H29*J29/D56)))))</f>
        <v/>
      </c>
      <c r="G56" s="296" t="s">
        <v>18</v>
      </c>
      <c r="H56" s="297"/>
      <c r="I56" s="298"/>
      <c r="J56" s="198" t="str">
        <f>IF(G46="","",IF(B27="使用電線-5",CA171*H27*J27,IF(B28="使用電線-5",CA171*H28*J28,IF(B29="使用電線-5",CA171*H29*J29,""))))</f>
        <v/>
      </c>
      <c r="K56" s="199" t="str">
        <f>IF(J56="","",CA170)</f>
        <v/>
      </c>
      <c r="L56" s="200" t="str">
        <f>IF(J56="","",IF(B27="使用電線-5",N27*H27*J27/J56,IF(B28="使用電線-5",N28*H28*J28/J56,IF(B29="使用電線-5",N29*H29*J29/J56))))</f>
        <v/>
      </c>
      <c r="M56" s="296" t="s">
        <v>18</v>
      </c>
      <c r="N56" s="298"/>
      <c r="O56" s="198" t="str">
        <f>IF(D34="","",SUM(J66:N66))</f>
        <v/>
      </c>
      <c r="P56" s="189" t="str">
        <f>IF(D42="","",MAX(E42,K42,P42,E56,K56))</f>
        <v/>
      </c>
      <c r="Q56" s="203" t="str">
        <f>IF(D42="","",MIN(F42,L42,Q42,F56,L56))</f>
        <v/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265">
        <f>IF(AF57="入力完了",1,0)</f>
        <v>0</v>
      </c>
      <c r="AG56" s="3"/>
      <c r="AH56" s="3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</row>
    <row r="57" spans="1:79" ht="15" customHeight="1" x14ac:dyDescent="0.15">
      <c r="A57" s="339"/>
      <c r="B57" s="388" t="s">
        <v>19</v>
      </c>
      <c r="C57" s="298"/>
      <c r="D57" s="198" t="str">
        <f>IF(B46="","",IF(B26="使用電線-4",BR191*H26*J26,IF(B27="使用電線-4",BR191*H27*J27,IF(B28="使用電線-4",BR191*H28*J28,IF(B29="使用電線-4",BR191*H29*J29,"")))))</f>
        <v/>
      </c>
      <c r="E57" s="199" t="str">
        <f>IF(D57="","",BR190)</f>
        <v/>
      </c>
      <c r="F57" s="200" t="str">
        <f>IF(D57="","",IF(B26="使用電線-4",N26*H26*J26/D57,IF(B27="使用電線-4",N27*H27*J27/D57,IF(B28="使用電線-4",N28*H28*J28/D57,IF(B29="使用電線-4",N29*H29*J29/D57)))))</f>
        <v/>
      </c>
      <c r="G57" s="296" t="s">
        <v>19</v>
      </c>
      <c r="H57" s="297"/>
      <c r="I57" s="298"/>
      <c r="J57" s="198" t="str">
        <f>IF(G46="","",IF(B27="使用電線-5",CA191*H27*J27,IF(B28="使用電線-5",CA191*H28*J28,IF(B29="使用電線-5",CA191*H29*J29,""))))</f>
        <v/>
      </c>
      <c r="K57" s="199" t="str">
        <f>IF(J57="","",CA190)</f>
        <v/>
      </c>
      <c r="L57" s="200" t="str">
        <f>IF(J57="","",IF(B27="使用電線-5",N27*H27*J27/J57,IF(B28="使用電線-5",N28*H28*J28/J57,IF(B29="使用電線-5",N29*H29*J29/J57))))</f>
        <v/>
      </c>
      <c r="M57" s="296" t="s">
        <v>19</v>
      </c>
      <c r="N57" s="298"/>
      <c r="O57" s="198" t="str">
        <f>IF(D34="","",SUM(J67:N67))</f>
        <v/>
      </c>
      <c r="P57" s="189" t="str">
        <f>IF(D43="","",MAX(E43,K43,P43,E57,K57))</f>
        <v/>
      </c>
      <c r="Q57" s="203" t="str">
        <f>IF(D43="","",MIN(F43,L43,Q43,F57,L57))</f>
        <v/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396" t="str">
        <f>IF(OR(C2="",C4="",P4="",B23=""),"入力未完","入力完了")</f>
        <v>入力未完</v>
      </c>
      <c r="AG57" s="3"/>
      <c r="AH57" s="3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</row>
    <row r="58" spans="1:79" ht="15" customHeight="1" x14ac:dyDescent="0.15">
      <c r="A58" s="339"/>
      <c r="B58" s="385" t="s">
        <v>20</v>
      </c>
      <c r="C58" s="309"/>
      <c r="D58" s="201" t="str">
        <f>IF(B46="","",IF(BR211=0,"",IF(B26="使用電線-4",BR211*H26*J26,IF(B27="使用電線-4",BR211*H27*J27,IF(B28="使用電線-4",BR211*H28*J28,IF(B29="使用電線-4",BR211*H29*J29,""))))))</f>
        <v/>
      </c>
      <c r="E58" s="205" t="str">
        <f>IF(D58="","",BR210)</f>
        <v/>
      </c>
      <c r="F58" s="202" t="str">
        <f>IF(D58="","",IF(B26="使用電線-4",N26*H26*J26/D58,IF(B27="使用電線-4",N27*H27*J27/D58,IF(B28="使用電線-4",N28*H28*J28/D58,IF(B29="使用電線-4",N29*H29*J29/D58)))))</f>
        <v/>
      </c>
      <c r="G58" s="308" t="s">
        <v>20</v>
      </c>
      <c r="H58" s="332"/>
      <c r="I58" s="309"/>
      <c r="J58" s="201" t="str">
        <f>IF(G46="","",IF(CA211=0,"",IF(B27="使用電線-5",CA211*H27*J27,IF(B28="使用電線-5",CA211*H28*J28,IF(B29="使用電線-5",CA211*H29*J29,"")))))</f>
        <v/>
      </c>
      <c r="K58" s="205" t="str">
        <f>IF(J58="","",CA210)</f>
        <v/>
      </c>
      <c r="L58" s="202" t="str">
        <f>IF(J58="","",IF(B27="使用電線-5",N27*H27*J27/J58,IF(B28="使用電線-5",N28*H28*J28/J58,IF(B29="使用電線-5",N29*H29*J29/J58))))</f>
        <v/>
      </c>
      <c r="M58" s="308" t="s">
        <v>20</v>
      </c>
      <c r="N58" s="309"/>
      <c r="O58" s="201" t="str">
        <f>IF(SUM(J68:N68)=0,"",SUM(J68:N68))</f>
        <v/>
      </c>
      <c r="P58" s="211" t="str">
        <f>IF(O58="","",IF(MAX(E44,K44,P44,E58,K58)=0,"",MAX(E44,K44,P44,E58,K58)))</f>
        <v/>
      </c>
      <c r="Q58" s="204" t="str">
        <f>IF(O58="","",IF(MIN(F44,L44,Q44,F58,L58)=0,"",MIN(F44,L44,Q44,F58,L58)))</f>
        <v/>
      </c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397"/>
      <c r="AG58" s="3"/>
      <c r="AH58" s="3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</row>
    <row r="59" spans="1:79" ht="3.75" customHeight="1" thickBot="1" x14ac:dyDescent="0.2">
      <c r="A59" s="339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79" ht="18" hidden="1" customHeight="1" thickBot="1" x14ac:dyDescent="0.2">
      <c r="B60" s="36"/>
      <c r="C60" s="36"/>
      <c r="D60" s="102"/>
      <c r="E60" s="102"/>
      <c r="F60" s="59"/>
      <c r="G60" s="59"/>
      <c r="S60" s="103" t="s">
        <v>138</v>
      </c>
      <c r="T60" s="36"/>
      <c r="U60" s="102"/>
      <c r="V60" s="102"/>
      <c r="W60" s="59"/>
      <c r="X60" s="59"/>
    </row>
    <row r="61" spans="1:79" ht="18" hidden="1" customHeight="1" x14ac:dyDescent="0.15">
      <c r="J61" s="53">
        <f>IF(D34="",0,D34)</f>
        <v>0</v>
      </c>
      <c r="K61" s="53">
        <f>IF(J34="",0,J34)</f>
        <v>0</v>
      </c>
      <c r="L61" s="53">
        <f>IF(O34="",0,O34)</f>
        <v>0</v>
      </c>
      <c r="M61" s="53">
        <f>IF(D48="",0,D48)</f>
        <v>0</v>
      </c>
      <c r="N61" s="53">
        <f>IF(J48="",0,J48)</f>
        <v>0</v>
      </c>
      <c r="S61" s="99">
        <f>IF(D29="",0,SQRT(((((K23*H23+K24*H24+K25*H25+K26*H26+K27*H27+K28*H28+K29*H29)*0.001/SUM(H23:H29))*((SUM(H23:H29))^0.55)+S23*0.001)*50)^2+(M23*H23+M24*H24+M25*H25+M26*H26+M27*H27+M28*H28+M29*H29+U23)^2))</f>
        <v>0</v>
      </c>
      <c r="T61" s="103" t="s">
        <v>303</v>
      </c>
      <c r="U61" s="102"/>
      <c r="V61" s="102"/>
      <c r="W61" s="59"/>
      <c r="X61" s="59"/>
      <c r="AJ61" s="2" t="s">
        <v>304</v>
      </c>
      <c r="AK61" s="111" t="s">
        <v>305</v>
      </c>
      <c r="AL61" s="12" t="s">
        <v>306</v>
      </c>
      <c r="AM61" s="12" t="s">
        <v>307</v>
      </c>
      <c r="AN61" s="12" t="s">
        <v>308</v>
      </c>
      <c r="AO61" s="12" t="s">
        <v>309</v>
      </c>
      <c r="AP61" s="12" t="s">
        <v>310</v>
      </c>
      <c r="AQ61" s="13" t="s">
        <v>311</v>
      </c>
      <c r="AS61" s="2" t="s">
        <v>304</v>
      </c>
      <c r="AT61" s="111" t="s">
        <v>305</v>
      </c>
      <c r="AU61" s="12" t="s">
        <v>306</v>
      </c>
      <c r="AV61" s="12" t="s">
        <v>307</v>
      </c>
      <c r="AW61" s="12" t="s">
        <v>308</v>
      </c>
      <c r="AX61" s="12" t="s">
        <v>309</v>
      </c>
      <c r="AY61" s="12" t="s">
        <v>310</v>
      </c>
      <c r="AZ61" s="13" t="s">
        <v>311</v>
      </c>
      <c r="BB61" s="2" t="s">
        <v>304</v>
      </c>
      <c r="BC61" s="111" t="s">
        <v>305</v>
      </c>
      <c r="BD61" s="12" t="s">
        <v>306</v>
      </c>
      <c r="BE61" s="12" t="s">
        <v>307</v>
      </c>
      <c r="BF61" s="12" t="s">
        <v>308</v>
      </c>
      <c r="BG61" s="12" t="s">
        <v>309</v>
      </c>
      <c r="BH61" s="12" t="s">
        <v>310</v>
      </c>
      <c r="BI61" s="13" t="s">
        <v>311</v>
      </c>
      <c r="BK61" s="2" t="s">
        <v>304</v>
      </c>
      <c r="BL61" s="111" t="s">
        <v>305</v>
      </c>
      <c r="BM61" s="12" t="s">
        <v>306</v>
      </c>
      <c r="BN61" s="12" t="s">
        <v>307</v>
      </c>
      <c r="BO61" s="12" t="s">
        <v>308</v>
      </c>
      <c r="BP61" s="12" t="s">
        <v>309</v>
      </c>
      <c r="BQ61" s="12" t="s">
        <v>310</v>
      </c>
      <c r="BR61" s="13" t="s">
        <v>311</v>
      </c>
      <c r="BT61" s="2" t="s">
        <v>304</v>
      </c>
      <c r="BU61" s="111" t="s">
        <v>305</v>
      </c>
      <c r="BV61" s="12" t="s">
        <v>306</v>
      </c>
      <c r="BW61" s="12" t="s">
        <v>307</v>
      </c>
      <c r="BX61" s="12" t="s">
        <v>308</v>
      </c>
      <c r="BY61" s="12" t="s">
        <v>309</v>
      </c>
      <c r="BZ61" s="12" t="s">
        <v>310</v>
      </c>
      <c r="CA61" s="13" t="s">
        <v>311</v>
      </c>
    </row>
    <row r="62" spans="1:79" ht="18" hidden="1" customHeight="1" x14ac:dyDescent="0.15">
      <c r="J62" s="53">
        <f>IF(D36="",0,D36)</f>
        <v>0</v>
      </c>
      <c r="K62" s="53">
        <f>IF(J36="",0,J36)</f>
        <v>0</v>
      </c>
      <c r="L62" s="53">
        <f>IF(O36="",0,O36)</f>
        <v>0</v>
      </c>
      <c r="M62" s="53">
        <f>IF(D50="",0,D50)</f>
        <v>0</v>
      </c>
      <c r="N62" s="53">
        <f>IF(J50="",0,J50)</f>
        <v>0</v>
      </c>
      <c r="S62" s="99">
        <f>IF(D28="",0,SQRT(((((K23*H23+K24*H24+K25*H25+K26*H26+K27*H27+K28*H28)*0.001/SUM(H23:H28))*((SUM(H23:H28))^0.55)+S23*0.001)*50)^2+(M23*H23+M24*H24+M25*H25+M26*H26+M27*H27+M28*H28+U23)^2))</f>
        <v>0</v>
      </c>
      <c r="T62" s="99">
        <f>IF(D29="",0,SQRT(((((K24*H24+K25*H25+K26*H26+K27*H27+K28*H28+K29*H29)*0.001/SUM(H24:H29))*((SUM(H24:H29))^0.55)+S24*0.001)*50)^2+(M24*H24+M25*H25+M26*H26+M27*H27+M28*H28+M29*H29+U24)^2))</f>
        <v>0</v>
      </c>
      <c r="U62" s="103" t="s">
        <v>312</v>
      </c>
      <c r="V62" s="102"/>
      <c r="W62" s="59"/>
      <c r="X62" s="59"/>
      <c r="AJ62" s="16" t="e">
        <f>-AJ65+AJ68</f>
        <v>#VALUE!</v>
      </c>
      <c r="AK62" s="17" t="e">
        <f>-AJ71</f>
        <v>#VALUE!</v>
      </c>
      <c r="AL62" s="18" t="e">
        <f>IF(AND(AP65&lt;0,AQ65&lt;0),AQ62*1.2,IF(AND(AP65&gt;0,AQ65&gt;0),AP62*0.8,10))</f>
        <v>#VALUE!</v>
      </c>
      <c r="AM62" s="18" t="e">
        <f>AL62^3+AJ62*AL62+AK62</f>
        <v>#VALUE!</v>
      </c>
      <c r="AN62" s="18" t="e">
        <f>3*AL62^2+AJ62</f>
        <v>#VALUE!</v>
      </c>
      <c r="AO62" s="18" t="e">
        <f t="shared" ref="AO62:AO76" si="8">AL62-AM62/AN62</f>
        <v>#VALUE!</v>
      </c>
      <c r="AP62" s="18" t="e">
        <f>-SQRT(ABS(-4*3*AJ62))/6</f>
        <v>#VALUE!</v>
      </c>
      <c r="AQ62" s="19" t="e">
        <f>SQRT(ABS(-4*3*AJ62))/6</f>
        <v>#VALUE!</v>
      </c>
      <c r="AS62" s="16" t="e">
        <f>-AS65+AS68</f>
        <v>#VALUE!</v>
      </c>
      <c r="AT62" s="17" t="e">
        <f>-AS71</f>
        <v>#VALUE!</v>
      </c>
      <c r="AU62" s="18" t="e">
        <f>IF(AND(AY65&lt;0,AZ65&lt;0),AZ62*1.2,IF(AND(AY65&gt;0,AZ65&gt;0),AY62*0.8,10))</f>
        <v>#VALUE!</v>
      </c>
      <c r="AV62" s="18" t="e">
        <f>AU62^3+AS62*AU62+AT62</f>
        <v>#VALUE!</v>
      </c>
      <c r="AW62" s="18" t="e">
        <f>3*AU62^2+AS62</f>
        <v>#VALUE!</v>
      </c>
      <c r="AX62" s="18" t="e">
        <f t="shared" ref="AX62:AX76" si="9">AU62-AV62/AW62</f>
        <v>#VALUE!</v>
      </c>
      <c r="AY62" s="18" t="e">
        <f>-SQRT(ABS(-4*3*AS62))/6</f>
        <v>#VALUE!</v>
      </c>
      <c r="AZ62" s="19" t="e">
        <f>SQRT(ABS(-4*3*AS62))/6</f>
        <v>#VALUE!</v>
      </c>
      <c r="BB62" s="16" t="e">
        <f>-BB65+BB68</f>
        <v>#VALUE!</v>
      </c>
      <c r="BC62" s="17" t="e">
        <f>-BB71</f>
        <v>#VALUE!</v>
      </c>
      <c r="BD62" s="18" t="e">
        <f>IF(AND(BH65&lt;0,BI65&lt;0),BI62*1.2,IF(AND(BH65&gt;0,BI65&gt;0),BH62*0.8,10))</f>
        <v>#VALUE!</v>
      </c>
      <c r="BE62" s="18" t="e">
        <f>BD62^3+BB62*BD62+BC62</f>
        <v>#VALUE!</v>
      </c>
      <c r="BF62" s="18" t="e">
        <f>3*BD62^2+BB62</f>
        <v>#VALUE!</v>
      </c>
      <c r="BG62" s="18" t="e">
        <f t="shared" ref="BG62:BG76" si="10">BD62-BE62/BF62</f>
        <v>#VALUE!</v>
      </c>
      <c r="BH62" s="18" t="e">
        <f>-SQRT(ABS(-4*3*BB62))/6</f>
        <v>#VALUE!</v>
      </c>
      <c r="BI62" s="19" t="e">
        <f>SQRT(ABS(-4*3*BB62))/6</f>
        <v>#VALUE!</v>
      </c>
      <c r="BK62" s="16" t="e">
        <f>-BK65+BK68</f>
        <v>#VALUE!</v>
      </c>
      <c r="BL62" s="17" t="e">
        <f>-BK71</f>
        <v>#VALUE!</v>
      </c>
      <c r="BM62" s="18" t="e">
        <f>IF(AND(BQ65&lt;0,BR65&lt;0),BR62*1.2,IF(AND(BQ65&gt;0,BR65&gt;0),BQ62*0.8,10))</f>
        <v>#VALUE!</v>
      </c>
      <c r="BN62" s="18" t="e">
        <f>BM62^3+BK62*BM62+BL62</f>
        <v>#VALUE!</v>
      </c>
      <c r="BO62" s="18" t="e">
        <f>3*BM62^2+BK62</f>
        <v>#VALUE!</v>
      </c>
      <c r="BP62" s="18" t="e">
        <f t="shared" ref="BP62:BP76" si="11">BM62-BN62/BO62</f>
        <v>#VALUE!</v>
      </c>
      <c r="BQ62" s="18" t="e">
        <f>-SQRT(ABS(-4*3*BK62))/6</f>
        <v>#VALUE!</v>
      </c>
      <c r="BR62" s="19" t="e">
        <f>SQRT(ABS(-4*3*BK62))/6</f>
        <v>#VALUE!</v>
      </c>
      <c r="BT62" s="16" t="e">
        <f>-BT65+BT68</f>
        <v>#VALUE!</v>
      </c>
      <c r="BU62" s="17" t="e">
        <f>-BT71</f>
        <v>#VALUE!</v>
      </c>
      <c r="BV62" s="18" t="e">
        <f>IF(AND(BZ65&lt;0,CA65&lt;0),CA62*1.2,IF(AND(BZ65&gt;0,CA65&gt;0),BZ62*0.8,10))</f>
        <v>#VALUE!</v>
      </c>
      <c r="BW62" s="18" t="e">
        <f>BV62^3+BT62*BV62+BU62</f>
        <v>#VALUE!</v>
      </c>
      <c r="BX62" s="18" t="e">
        <f>3*BV62^2+BT62</f>
        <v>#VALUE!</v>
      </c>
      <c r="BY62" s="18" t="e">
        <f t="shared" ref="BY62:BY76" si="12">BV62-BW62/BX62</f>
        <v>#VALUE!</v>
      </c>
      <c r="BZ62" s="18" t="e">
        <f>-SQRT(ABS(-4*3*BT62))/6</f>
        <v>#VALUE!</v>
      </c>
      <c r="CA62" s="19" t="e">
        <f>SQRT(ABS(-4*3*BT62))/6</f>
        <v>#VALUE!</v>
      </c>
    </row>
    <row r="63" spans="1:79" ht="18" hidden="1" customHeight="1" x14ac:dyDescent="0.15">
      <c r="J63" s="53">
        <f>IF(D38="",0,D38)</f>
        <v>0</v>
      </c>
      <c r="K63" s="53">
        <f>IF(J38="",0,J38)</f>
        <v>0</v>
      </c>
      <c r="L63" s="53">
        <f>IF(O38="",0,O38)</f>
        <v>0</v>
      </c>
      <c r="M63" s="53">
        <f>IF(D52="",0,D52)</f>
        <v>0</v>
      </c>
      <c r="N63" s="53">
        <f>IF(J52="",0,J52)</f>
        <v>0</v>
      </c>
      <c r="S63" s="99">
        <f>IF(D27="",0,SQRT(((((K23*H23+K24*H24+K25*H25+K26*H26+K27*H27)*0.001/SUM(H23:H27))*((SUM(H23:H27))^0.55)+S23*0.001)*50)^2+(M23*H23+M24*H24+M25*H25+M26*H26+M27*H27+U23)^2))</f>
        <v>0</v>
      </c>
      <c r="T63" s="99">
        <f>IF(D28="",0,SQRT(((((K24*H24+K25*H25+K26*H26+K27*H27+K28*H28)*0.001/SUM(H24:H28))*((SUM(H24:H28))^0.55)+S24*0.001)*50)^2+(M24*H24+M25*H25+M26*H26+M27*H27+M28*H28+U24)^2))</f>
        <v>0</v>
      </c>
      <c r="U63" s="99">
        <f>IF(D29="",0,SQRT(((((K25*H25+K26*H26+K27*H27+K28*H28+K29*H29)*0.001/SUM(H25:H29))*((SUM(H25:H29))^0.55)+S25*0.001)*50)^2+(M25*H25+M26*H26+M27*H27+M28*H28+M29*H29+U25)^2))</f>
        <v>0</v>
      </c>
      <c r="V63" s="103" t="s">
        <v>313</v>
      </c>
      <c r="W63" s="59"/>
      <c r="X63" s="59"/>
      <c r="AJ63" s="267"/>
      <c r="AK63" s="268"/>
      <c r="AL63" s="18" t="e">
        <f t="shared" ref="AL63:AL76" si="13">AO62</f>
        <v>#VALUE!</v>
      </c>
      <c r="AM63" s="18" t="e">
        <f>AL63^3+AJ62*AL63+AK62</f>
        <v>#VALUE!</v>
      </c>
      <c r="AN63" s="18" t="e">
        <f>3*AL63^2+AJ62</f>
        <v>#VALUE!</v>
      </c>
      <c r="AO63" s="18" t="e">
        <f t="shared" si="8"/>
        <v>#VALUE!</v>
      </c>
      <c r="AP63" s="6"/>
      <c r="AQ63" s="7"/>
      <c r="AS63" s="267"/>
      <c r="AT63" s="268"/>
      <c r="AU63" s="18" t="e">
        <f t="shared" ref="AU63:AU76" si="14">AX62</f>
        <v>#VALUE!</v>
      </c>
      <c r="AV63" s="18" t="e">
        <f>AU63^3+AS62*AU63+AT62</f>
        <v>#VALUE!</v>
      </c>
      <c r="AW63" s="18" t="e">
        <f>3*AU63^2+AS62</f>
        <v>#VALUE!</v>
      </c>
      <c r="AX63" s="18" t="e">
        <f t="shared" si="9"/>
        <v>#VALUE!</v>
      </c>
      <c r="AY63" s="6"/>
      <c r="AZ63" s="7"/>
      <c r="BB63" s="267"/>
      <c r="BC63" s="268"/>
      <c r="BD63" s="18" t="e">
        <f t="shared" ref="BD63:BD76" si="15">BG62</f>
        <v>#VALUE!</v>
      </c>
      <c r="BE63" s="18" t="e">
        <f>BD63^3+BB62*BD63+BC62</f>
        <v>#VALUE!</v>
      </c>
      <c r="BF63" s="18" t="e">
        <f>3*BD63^2+BB62</f>
        <v>#VALUE!</v>
      </c>
      <c r="BG63" s="18" t="e">
        <f t="shared" si="10"/>
        <v>#VALUE!</v>
      </c>
      <c r="BH63" s="6"/>
      <c r="BI63" s="7"/>
      <c r="BK63" s="267"/>
      <c r="BL63" s="268"/>
      <c r="BM63" s="18" t="e">
        <f t="shared" ref="BM63:BM76" si="16">BP62</f>
        <v>#VALUE!</v>
      </c>
      <c r="BN63" s="18" t="e">
        <f>BM63^3+BK62*BM63+BL62</f>
        <v>#VALUE!</v>
      </c>
      <c r="BO63" s="18" t="e">
        <f>3*BM63^2+BK62</f>
        <v>#VALUE!</v>
      </c>
      <c r="BP63" s="18" t="e">
        <f t="shared" si="11"/>
        <v>#VALUE!</v>
      </c>
      <c r="BQ63" s="6"/>
      <c r="BR63" s="7"/>
      <c r="BT63" s="267"/>
      <c r="BU63" s="268"/>
      <c r="BV63" s="18" t="e">
        <f t="shared" ref="BV63:BV76" si="17">BY62</f>
        <v>#VALUE!</v>
      </c>
      <c r="BW63" s="18" t="e">
        <f>BV63^3+BT62*BV63+BU62</f>
        <v>#VALUE!</v>
      </c>
      <c r="BX63" s="18" t="e">
        <f>3*BV63^2+BT62</f>
        <v>#VALUE!</v>
      </c>
      <c r="BY63" s="18" t="e">
        <f t="shared" si="12"/>
        <v>#VALUE!</v>
      </c>
      <c r="BZ63" s="6"/>
      <c r="CA63" s="7"/>
    </row>
    <row r="64" spans="1:79" ht="18" hidden="1" customHeight="1" x14ac:dyDescent="0.15">
      <c r="J64" s="53">
        <f>IF(D40="",0,D40)</f>
        <v>0</v>
      </c>
      <c r="K64" s="53">
        <f>IF(J40="",0,J40)</f>
        <v>0</v>
      </c>
      <c r="L64" s="53">
        <f>IF(O40="",0,O40)</f>
        <v>0</v>
      </c>
      <c r="M64" s="53">
        <f>IF(D54="",0,D54)</f>
        <v>0</v>
      </c>
      <c r="N64" s="53">
        <f>IF(J54="",0,J54)</f>
        <v>0</v>
      </c>
      <c r="S64" s="99">
        <f>IF(D26="",0,SQRT(((((K23*H23+K24*H24+K25*H25+K26*H26)*0.001/SUM(H23:H26))*((SUM(H23:H26))^0.55)+S23*0.001)*50)^2+(M23*H23+M24*H24+M25*H25+M26*H26+U23)^2))</f>
        <v>0</v>
      </c>
      <c r="T64" s="99">
        <f>IF(D27="",0,SQRT(((((K24*H24+K25*H25+K26*H26+K27*H27)*0.001/SUM(H24:H27))*((SUM(H24:H27))^0.55)+S24*0.001)*50)^2+(M24*H24+M25*H25+M26*H26+M27*H27+U24)^2))</f>
        <v>0</v>
      </c>
      <c r="U64" s="99">
        <f>IF(D28="",0,SQRT(((((K25*H25+K26*H26+K27*H27+K28*H28)*0.001/SUM(H25:H28))*((SUM(H25:H28))^0.55)+S25*0.001)*50)^2+(M25*H25+M26*H26+M27*H27+M28*H28+U25)^2))</f>
        <v>0</v>
      </c>
      <c r="V64" s="99">
        <f>IF(D29="",0,SQRT(((((K26*H26+K27*H27+K28*H28+K29*H29)*0.001/SUM(H26:H29))*((SUM(H26:H29))^0.55)+S26*0.001)*50)^2+(M26*H26+M27*H27+M28*H28+M29*H29+U26)^2))</f>
        <v>0</v>
      </c>
      <c r="W64" s="103" t="s">
        <v>314</v>
      </c>
      <c r="X64" s="59"/>
      <c r="AJ64" s="269" t="s">
        <v>315</v>
      </c>
      <c r="AK64" s="270"/>
      <c r="AL64" s="18" t="e">
        <f t="shared" si="13"/>
        <v>#VALUE!</v>
      </c>
      <c r="AM64" s="18" t="e">
        <f>AL64^3+AJ62*AL64+AK62</f>
        <v>#VALUE!</v>
      </c>
      <c r="AN64" s="18" t="e">
        <f>3*AL64^2+AJ62</f>
        <v>#VALUE!</v>
      </c>
      <c r="AO64" s="18" t="e">
        <f t="shared" si="8"/>
        <v>#VALUE!</v>
      </c>
      <c r="AP64" s="14" t="s">
        <v>316</v>
      </c>
      <c r="AQ64" s="15" t="s">
        <v>317</v>
      </c>
      <c r="AS64" s="269" t="s">
        <v>315</v>
      </c>
      <c r="AT64" s="270"/>
      <c r="AU64" s="18" t="e">
        <f t="shared" si="14"/>
        <v>#VALUE!</v>
      </c>
      <c r="AV64" s="18" t="e">
        <f>AU64^3+AS62*AU64+AT62</f>
        <v>#VALUE!</v>
      </c>
      <c r="AW64" s="18" t="e">
        <f>3*AU64^2+AS62</f>
        <v>#VALUE!</v>
      </c>
      <c r="AX64" s="18" t="e">
        <f t="shared" si="9"/>
        <v>#VALUE!</v>
      </c>
      <c r="AY64" s="14" t="s">
        <v>316</v>
      </c>
      <c r="AZ64" s="15" t="s">
        <v>317</v>
      </c>
      <c r="BB64" s="269" t="s">
        <v>315</v>
      </c>
      <c r="BC64" s="270"/>
      <c r="BD64" s="18" t="e">
        <f t="shared" si="15"/>
        <v>#VALUE!</v>
      </c>
      <c r="BE64" s="18" t="e">
        <f>BD64^3+BB62*BD64+BC62</f>
        <v>#VALUE!</v>
      </c>
      <c r="BF64" s="18" t="e">
        <f>3*BD64^2+BB62</f>
        <v>#VALUE!</v>
      </c>
      <c r="BG64" s="18" t="e">
        <f t="shared" si="10"/>
        <v>#VALUE!</v>
      </c>
      <c r="BH64" s="14" t="s">
        <v>316</v>
      </c>
      <c r="BI64" s="15" t="s">
        <v>317</v>
      </c>
      <c r="BK64" s="269" t="s">
        <v>315</v>
      </c>
      <c r="BL64" s="270"/>
      <c r="BM64" s="18" t="e">
        <f t="shared" si="16"/>
        <v>#VALUE!</v>
      </c>
      <c r="BN64" s="18" t="e">
        <f>BM64^3+BK62*BM64+BL62</f>
        <v>#VALUE!</v>
      </c>
      <c r="BO64" s="18" t="e">
        <f>3*BM64^2+BK62</f>
        <v>#VALUE!</v>
      </c>
      <c r="BP64" s="18" t="e">
        <f t="shared" si="11"/>
        <v>#VALUE!</v>
      </c>
      <c r="BQ64" s="14" t="s">
        <v>316</v>
      </c>
      <c r="BR64" s="15" t="s">
        <v>317</v>
      </c>
      <c r="BT64" s="269" t="s">
        <v>315</v>
      </c>
      <c r="BU64" s="270"/>
      <c r="BV64" s="18" t="e">
        <f t="shared" si="17"/>
        <v>#VALUE!</v>
      </c>
      <c r="BW64" s="18" t="e">
        <f>BV64^3+BT62*BV64+BU62</f>
        <v>#VALUE!</v>
      </c>
      <c r="BX64" s="18" t="e">
        <f>3*BV64^2+BT62</f>
        <v>#VALUE!</v>
      </c>
      <c r="BY64" s="18" t="e">
        <f t="shared" si="12"/>
        <v>#VALUE!</v>
      </c>
      <c r="BZ64" s="14" t="s">
        <v>316</v>
      </c>
      <c r="CA64" s="15" t="s">
        <v>317</v>
      </c>
    </row>
    <row r="65" spans="10:79" ht="18" hidden="1" customHeight="1" x14ac:dyDescent="0.15">
      <c r="J65" s="53">
        <f>IF(D41="",0,D41)</f>
        <v>0</v>
      </c>
      <c r="K65" s="53">
        <f>IF(J41="",0,J41)</f>
        <v>0</v>
      </c>
      <c r="L65" s="53">
        <f>IF(O41="",0,O41)</f>
        <v>0</v>
      </c>
      <c r="M65" s="53">
        <f>IF(D55="",0,D55)</f>
        <v>0</v>
      </c>
      <c r="N65" s="53">
        <f>IF(J55="",0,J55)</f>
        <v>0</v>
      </c>
      <c r="S65" s="99">
        <f>IF(D25="",0,SQRT(((((K23*H23+K24*H24+K25*H25)*0.001/SUM(H23:H25))*((SUM(H23:H25))^0.55)+S23*0.001)*50)^2+(M23*H23+M24*H24+M25*H25+U23)^2))</f>
        <v>0</v>
      </c>
      <c r="T65" s="99">
        <f>IF(D26="",0,SQRT(((((K24*H24+K25*H25+K26*H26)*0.001/SUM(H24:H26))*((SUM(H24:H26))^0.55)+S24*0.001)*50)^2+(M24*H24+M25*H25+M26*H26+U24)^2))</f>
        <v>0</v>
      </c>
      <c r="U65" s="99">
        <f>IF(D27="",0,SQRT(((((K25*H25+K26*H26+K27*H27)*0.001/SUM(H25:H27))*((SUM(H25:H27))^0.55)+S25*0.001)*50)^2+(M25*H25+M26*H26+M27*H27+U25)^2))</f>
        <v>0</v>
      </c>
      <c r="V65" s="99">
        <f>IF(D28="",0,SQRT(((((K26*H26+K27*H27+K28*H28)*0.001/SUM(H26:H28))*((SUM(H26:H28))^0.55)+S26*0.001)*50)^2+(M26*H26+M27*H27+M28*H28+U26)^2))</f>
        <v>0</v>
      </c>
      <c r="W65" s="99">
        <f>IF(D29="",0,SQRT(((((K27*H27+K28*H28+K29*H29)*0.001/SUM(H27:H29))*((SUM(H27:H29))^0.55)+S27*0.001)*50)^2+(M27*H27+M28*H28+M29*H29+U27)^2))</f>
        <v>0</v>
      </c>
      <c r="X65" s="103" t="s">
        <v>318</v>
      </c>
      <c r="AJ65" s="269">
        <f>(AL78^2)+3*(AM78^2)*AQ78*(AQ73-15)/(8*10^7)</f>
        <v>0</v>
      </c>
      <c r="AK65" s="270"/>
      <c r="AL65" s="18" t="e">
        <f t="shared" si="13"/>
        <v>#VALUE!</v>
      </c>
      <c r="AM65" s="18" t="e">
        <f>AL65^3+AJ62*AL65+AK62</f>
        <v>#VALUE!</v>
      </c>
      <c r="AN65" s="18" t="e">
        <f>3*AL65^2+AJ62</f>
        <v>#VALUE!</v>
      </c>
      <c r="AO65" s="18" t="e">
        <f t="shared" si="8"/>
        <v>#VALUE!</v>
      </c>
      <c r="AP65" s="18" t="e">
        <f>AP62^3+AJ62*AP62+AK62</f>
        <v>#VALUE!</v>
      </c>
      <c r="AQ65" s="19" t="e">
        <f>AQ62^3+AJ62*AQ62+AK62</f>
        <v>#VALUE!</v>
      </c>
      <c r="AS65" s="269" t="e">
        <f>(AU78^2)+3*(AV78^2)*AZ78*(AZ73-15)/(8*10^7)</f>
        <v>#VALUE!</v>
      </c>
      <c r="AT65" s="270"/>
      <c r="AU65" s="18" t="e">
        <f t="shared" si="14"/>
        <v>#VALUE!</v>
      </c>
      <c r="AV65" s="18" t="e">
        <f>AU65^3+AS62*AU65+AT62</f>
        <v>#VALUE!</v>
      </c>
      <c r="AW65" s="18" t="e">
        <f>3*AU65^2+AS62</f>
        <v>#VALUE!</v>
      </c>
      <c r="AX65" s="18" t="e">
        <f t="shared" si="9"/>
        <v>#VALUE!</v>
      </c>
      <c r="AY65" s="18" t="e">
        <f>AY62^3+AS62*AY62+AT62</f>
        <v>#VALUE!</v>
      </c>
      <c r="AZ65" s="19" t="e">
        <f>AZ62^3+AS62*AZ62+AT62</f>
        <v>#VALUE!</v>
      </c>
      <c r="BB65" s="269" t="e">
        <f>(BD78^2)+3*(BE78^2)*BI78*(BI73-15)/(8*10^7)</f>
        <v>#VALUE!</v>
      </c>
      <c r="BC65" s="270"/>
      <c r="BD65" s="18" t="e">
        <f t="shared" si="15"/>
        <v>#VALUE!</v>
      </c>
      <c r="BE65" s="18" t="e">
        <f>BD65^3+BB62*BD65+BC62</f>
        <v>#VALUE!</v>
      </c>
      <c r="BF65" s="18" t="e">
        <f>3*BD65^2+BB62</f>
        <v>#VALUE!</v>
      </c>
      <c r="BG65" s="18" t="e">
        <f t="shared" si="10"/>
        <v>#VALUE!</v>
      </c>
      <c r="BH65" s="18" t="e">
        <f>BH62^3+BB62*BH62+BC62</f>
        <v>#VALUE!</v>
      </c>
      <c r="BI65" s="19" t="e">
        <f>BI62^3+BB62*BI62+BC62</f>
        <v>#VALUE!</v>
      </c>
      <c r="BK65" s="269" t="e">
        <f>(BM78^2)+3*(BN78^2)*BR78*(BR73-15)/(8*10^7)</f>
        <v>#VALUE!</v>
      </c>
      <c r="BL65" s="270"/>
      <c r="BM65" s="18" t="e">
        <f t="shared" si="16"/>
        <v>#VALUE!</v>
      </c>
      <c r="BN65" s="18" t="e">
        <f>BM65^3+BK62*BM65+BL62</f>
        <v>#VALUE!</v>
      </c>
      <c r="BO65" s="18" t="e">
        <f>3*BM65^2+BK62</f>
        <v>#VALUE!</v>
      </c>
      <c r="BP65" s="18" t="e">
        <f t="shared" si="11"/>
        <v>#VALUE!</v>
      </c>
      <c r="BQ65" s="18" t="e">
        <f>BQ62^3+BK62*BQ62+BL62</f>
        <v>#VALUE!</v>
      </c>
      <c r="BR65" s="19" t="e">
        <f>BR62^3+BK62*BR62+BL62</f>
        <v>#VALUE!</v>
      </c>
      <c r="BT65" s="269" t="e">
        <f>(BV78^2)+3*(BW78^2)*CA78*(CA73-15)/(8*10^7)</f>
        <v>#VALUE!</v>
      </c>
      <c r="BU65" s="270"/>
      <c r="BV65" s="18" t="e">
        <f t="shared" si="17"/>
        <v>#VALUE!</v>
      </c>
      <c r="BW65" s="18" t="e">
        <f>BV65^3+BT62*BV65+BU62</f>
        <v>#VALUE!</v>
      </c>
      <c r="BX65" s="18" t="e">
        <f>3*BV65^2+BT62</f>
        <v>#VALUE!</v>
      </c>
      <c r="BY65" s="18" t="e">
        <f t="shared" si="12"/>
        <v>#VALUE!</v>
      </c>
      <c r="BZ65" s="18" t="e">
        <f>BZ62^3+BT62*BZ62+BU62</f>
        <v>#VALUE!</v>
      </c>
      <c r="CA65" s="19" t="e">
        <f>CA62^3+BT62*CA62+BU62</f>
        <v>#VALUE!</v>
      </c>
    </row>
    <row r="66" spans="10:79" ht="18" hidden="1" customHeight="1" x14ac:dyDescent="0.15">
      <c r="J66" s="53">
        <f>IF(D42="",0,D42)</f>
        <v>0</v>
      </c>
      <c r="K66" s="53">
        <f>IF(J42="",0,J42)</f>
        <v>0</v>
      </c>
      <c r="L66" s="53">
        <f>IF(O42="",0,O42)</f>
        <v>0</v>
      </c>
      <c r="M66" s="53">
        <f>IF(D56="",0,D56)</f>
        <v>0</v>
      </c>
      <c r="N66" s="53">
        <f>IF(J56="",0,J56)</f>
        <v>0</v>
      </c>
      <c r="S66" s="99">
        <f>IF(D24="",0,SQRT(((((K23*H23+K24*H24)*0.001/SUM(H23:H24))*((SUM(H23:H24))^0.55)+S23*0.001)*50)^2+(M23*H23+M24*H24+U23)^2))</f>
        <v>0</v>
      </c>
      <c r="T66" s="99">
        <f>IF(D25="",0,SQRT(((((K24*H24+K25*H25)*0.001/SUM(H24:H25))*((SUM(H24:H25))^0.55)+S24*0.001)*50)^2+(M24*H24+M25*H25+U24)^2))</f>
        <v>0</v>
      </c>
      <c r="U66" s="99">
        <f>IF(D26="",0,SQRT(((((K25*H25+K26*H26)*0.001/SUM(H25:H26))*((SUM(H25:H26))^0.55)+S25*0.001)*50)^2+(M25*H25+M26*H26+U25)^2))</f>
        <v>0</v>
      </c>
      <c r="V66" s="99">
        <f>IF(D27="",0,SQRT(((((K26*H26+K27*H27)*0.001/SUM(H26:H27))*((SUM(H26:H27))^0.55)+S26*0.001)*50)^2+(M26*H26+M27*H27+U26)^2))</f>
        <v>0</v>
      </c>
      <c r="W66" s="99">
        <f>IF(D28="",0,SQRT(((((K27*H27+K28*H28)*0.001/SUM(H27:H28))*((SUM(H27:H28))^0.55)+S27*0.001)*50)^2+(M27*H27+M28*H28+U27)^2))</f>
        <v>0</v>
      </c>
      <c r="X66" s="99">
        <f>IF(D29="",0,SQRT(((((K28*H28+K29*H29)*0.001/SUM(H28:H29))*((SUM(H28:H29))^0.55)+S28*0.001)*50)^2+(M28*H28+M29*H29+U28)^2))</f>
        <v>0</v>
      </c>
      <c r="AJ66" s="267"/>
      <c r="AK66" s="268"/>
      <c r="AL66" s="18" t="e">
        <f t="shared" si="13"/>
        <v>#VALUE!</v>
      </c>
      <c r="AM66" s="18" t="e">
        <f>AL66^3+AJ62*AL66+AK62</f>
        <v>#VALUE!</v>
      </c>
      <c r="AN66" s="18" t="e">
        <f>3*AL66^2+AJ62</f>
        <v>#VALUE!</v>
      </c>
      <c r="AO66" s="18" t="e">
        <f t="shared" si="8"/>
        <v>#VALUE!</v>
      </c>
      <c r="AP66" s="31"/>
      <c r="AQ66" s="32"/>
      <c r="AS66" s="267"/>
      <c r="AT66" s="268"/>
      <c r="AU66" s="18" t="e">
        <f t="shared" si="14"/>
        <v>#VALUE!</v>
      </c>
      <c r="AV66" s="18" t="e">
        <f>AU66^3+AS62*AU66+AT62</f>
        <v>#VALUE!</v>
      </c>
      <c r="AW66" s="18" t="e">
        <f>3*AU66^2+AS62</f>
        <v>#VALUE!</v>
      </c>
      <c r="AX66" s="18" t="e">
        <f t="shared" si="9"/>
        <v>#VALUE!</v>
      </c>
      <c r="AY66" s="31"/>
      <c r="AZ66" s="32"/>
      <c r="BB66" s="267"/>
      <c r="BC66" s="268"/>
      <c r="BD66" s="18" t="e">
        <f t="shared" si="15"/>
        <v>#VALUE!</v>
      </c>
      <c r="BE66" s="18" t="e">
        <f>BD66^3+BB62*BD66+BC62</f>
        <v>#VALUE!</v>
      </c>
      <c r="BF66" s="18" t="e">
        <f>3*BD66^2+BB62</f>
        <v>#VALUE!</v>
      </c>
      <c r="BG66" s="18" t="e">
        <f t="shared" si="10"/>
        <v>#VALUE!</v>
      </c>
      <c r="BH66" s="31"/>
      <c r="BI66" s="32"/>
      <c r="BK66" s="267"/>
      <c r="BL66" s="268"/>
      <c r="BM66" s="18" t="e">
        <f t="shared" si="16"/>
        <v>#VALUE!</v>
      </c>
      <c r="BN66" s="18" t="e">
        <f>BM66^3+BK62*BM66+BL62</f>
        <v>#VALUE!</v>
      </c>
      <c r="BO66" s="18" t="e">
        <f>3*BM66^2+BK62</f>
        <v>#VALUE!</v>
      </c>
      <c r="BP66" s="18" t="e">
        <f t="shared" si="11"/>
        <v>#VALUE!</v>
      </c>
      <c r="BQ66" s="31"/>
      <c r="BR66" s="32"/>
      <c r="BT66" s="267"/>
      <c r="BU66" s="268"/>
      <c r="BV66" s="18" t="e">
        <f t="shared" si="17"/>
        <v>#VALUE!</v>
      </c>
      <c r="BW66" s="18" t="e">
        <f>BV66^3+BT62*BV66+BU62</f>
        <v>#VALUE!</v>
      </c>
      <c r="BX66" s="18" t="e">
        <f>3*BV66^2+BT62</f>
        <v>#VALUE!</v>
      </c>
      <c r="BY66" s="18" t="e">
        <f t="shared" si="12"/>
        <v>#VALUE!</v>
      </c>
      <c r="BZ66" s="31"/>
      <c r="CA66" s="32"/>
    </row>
    <row r="67" spans="10:79" ht="18" hidden="1" customHeight="1" x14ac:dyDescent="0.15">
      <c r="J67" s="53">
        <f>IF(D43="",0,D43)</f>
        <v>0</v>
      </c>
      <c r="K67" s="53">
        <f>IF(J43="",0,J43)</f>
        <v>0</v>
      </c>
      <c r="L67" s="53">
        <f>IF(O43="",0,O43)</f>
        <v>0</v>
      </c>
      <c r="M67" s="53">
        <f>IF(D57="",0,D57)</f>
        <v>0</v>
      </c>
      <c r="N67" s="53">
        <f>IF(J57="",0,J57)</f>
        <v>0</v>
      </c>
      <c r="AJ67" s="269" t="s">
        <v>319</v>
      </c>
      <c r="AK67" s="270"/>
      <c r="AL67" s="18" t="e">
        <f t="shared" si="13"/>
        <v>#VALUE!</v>
      </c>
      <c r="AM67" s="18" t="e">
        <f>AL67^3+AJ62*AL67+AK62</f>
        <v>#VALUE!</v>
      </c>
      <c r="AN67" s="18" t="e">
        <f>3*AL67^2+AJ62</f>
        <v>#VALUE!</v>
      </c>
      <c r="AO67" s="18" t="e">
        <f t="shared" si="8"/>
        <v>#VALUE!</v>
      </c>
      <c r="AP67" s="31"/>
      <c r="AQ67" s="32"/>
      <c r="AS67" s="269" t="s">
        <v>319</v>
      </c>
      <c r="AT67" s="270"/>
      <c r="AU67" s="18" t="e">
        <f t="shared" si="14"/>
        <v>#VALUE!</v>
      </c>
      <c r="AV67" s="18" t="e">
        <f>AU67^3+AS62*AU67+AT62</f>
        <v>#VALUE!</v>
      </c>
      <c r="AW67" s="18" t="e">
        <f>3*AU67^2+AS62</f>
        <v>#VALUE!</v>
      </c>
      <c r="AX67" s="18" t="e">
        <f t="shared" si="9"/>
        <v>#VALUE!</v>
      </c>
      <c r="AY67" s="31"/>
      <c r="AZ67" s="32"/>
      <c r="BB67" s="269" t="s">
        <v>319</v>
      </c>
      <c r="BC67" s="270"/>
      <c r="BD67" s="18" t="e">
        <f t="shared" si="15"/>
        <v>#VALUE!</v>
      </c>
      <c r="BE67" s="18" t="e">
        <f>BD67^3+BB62*BD67+BC62</f>
        <v>#VALUE!</v>
      </c>
      <c r="BF67" s="18" t="e">
        <f>3*BD67^2+BB62</f>
        <v>#VALUE!</v>
      </c>
      <c r="BG67" s="18" t="e">
        <f t="shared" si="10"/>
        <v>#VALUE!</v>
      </c>
      <c r="BH67" s="31"/>
      <c r="BI67" s="32"/>
      <c r="BK67" s="269" t="s">
        <v>319</v>
      </c>
      <c r="BL67" s="270"/>
      <c r="BM67" s="18" t="e">
        <f t="shared" si="16"/>
        <v>#VALUE!</v>
      </c>
      <c r="BN67" s="18" t="e">
        <f>BM67^3+BK62*BM67+BL62</f>
        <v>#VALUE!</v>
      </c>
      <c r="BO67" s="18" t="e">
        <f>3*BM67^2+BK62</f>
        <v>#VALUE!</v>
      </c>
      <c r="BP67" s="18" t="e">
        <f t="shared" si="11"/>
        <v>#VALUE!</v>
      </c>
      <c r="BQ67" s="31"/>
      <c r="BR67" s="32"/>
      <c r="BT67" s="269" t="s">
        <v>319</v>
      </c>
      <c r="BU67" s="270"/>
      <c r="BV67" s="18" t="e">
        <f t="shared" si="17"/>
        <v>#VALUE!</v>
      </c>
      <c r="BW67" s="18" t="e">
        <f>BV67^3+BT62*BV67+BU62</f>
        <v>#VALUE!</v>
      </c>
      <c r="BX67" s="18" t="e">
        <f>3*BV67^2+BT62</f>
        <v>#VALUE!</v>
      </c>
      <c r="BY67" s="18" t="e">
        <f t="shared" si="12"/>
        <v>#VALUE!</v>
      </c>
      <c r="BZ67" s="31"/>
      <c r="CA67" s="32"/>
    </row>
    <row r="68" spans="10:79" ht="18" hidden="1" customHeight="1" x14ac:dyDescent="0.15">
      <c r="J68" s="53">
        <f>IF(D44="",0,D44)</f>
        <v>0</v>
      </c>
      <c r="K68" s="53">
        <f>IF(J44="",0,J44)</f>
        <v>0</v>
      </c>
      <c r="L68" s="53">
        <f>IF(O44="",0,O44)</f>
        <v>0</v>
      </c>
      <c r="M68" s="53">
        <f>IF(D58="",0,D58)</f>
        <v>0</v>
      </c>
      <c r="N68" s="53">
        <f>IF(J58="",0,J58)</f>
        <v>0</v>
      </c>
      <c r="AJ68" s="277" t="e">
        <f>3*(AM78^2)*AN78/(8*AO78*AP78)</f>
        <v>#VALUE!</v>
      </c>
      <c r="AK68" s="278"/>
      <c r="AL68" s="118" t="e">
        <f t="shared" si="13"/>
        <v>#VALUE!</v>
      </c>
      <c r="AM68" s="118" t="e">
        <f>AL68^3+AJ62*AL68+AK62</f>
        <v>#VALUE!</v>
      </c>
      <c r="AN68" s="118" t="e">
        <f>3*AL68^2+AJ62</f>
        <v>#VALUE!</v>
      </c>
      <c r="AO68" s="118" t="e">
        <f t="shared" si="8"/>
        <v>#VALUE!</v>
      </c>
      <c r="AP68" s="116"/>
      <c r="AQ68" s="117"/>
      <c r="AS68" s="277" t="e">
        <f>3*(AV78^2)*AW78/(8*AX78*AY78)</f>
        <v>#VALUE!</v>
      </c>
      <c r="AT68" s="278"/>
      <c r="AU68" s="118" t="e">
        <f t="shared" si="14"/>
        <v>#VALUE!</v>
      </c>
      <c r="AV68" s="118" t="e">
        <f>AU68^3+AS62*AU68+AT62</f>
        <v>#VALUE!</v>
      </c>
      <c r="AW68" s="118" t="e">
        <f>3*AU68^2+AS62</f>
        <v>#VALUE!</v>
      </c>
      <c r="AX68" s="118" t="e">
        <f t="shared" si="9"/>
        <v>#VALUE!</v>
      </c>
      <c r="AY68" s="116"/>
      <c r="AZ68" s="117"/>
      <c r="BB68" s="277" t="e">
        <f>3*(BE78^2)*BF78/(8*BG78*BH78)</f>
        <v>#VALUE!</v>
      </c>
      <c r="BC68" s="278"/>
      <c r="BD68" s="118" t="e">
        <f t="shared" si="15"/>
        <v>#VALUE!</v>
      </c>
      <c r="BE68" s="118" t="e">
        <f>BD68^3+BB62*BD68+BC62</f>
        <v>#VALUE!</v>
      </c>
      <c r="BF68" s="118" t="e">
        <f>3*BD68^2+BB62</f>
        <v>#VALUE!</v>
      </c>
      <c r="BG68" s="118" t="e">
        <f t="shared" si="10"/>
        <v>#VALUE!</v>
      </c>
      <c r="BH68" s="116"/>
      <c r="BI68" s="117"/>
      <c r="BK68" s="277" t="e">
        <f>3*(BN78^2)*BO78/(8*BP78*BQ78)</f>
        <v>#VALUE!</v>
      </c>
      <c r="BL68" s="278"/>
      <c r="BM68" s="118" t="e">
        <f t="shared" si="16"/>
        <v>#VALUE!</v>
      </c>
      <c r="BN68" s="118" t="e">
        <f>BM68^3+BK62*BM68+BL62</f>
        <v>#VALUE!</v>
      </c>
      <c r="BO68" s="118" t="e">
        <f>3*BM68^2+BK62</f>
        <v>#VALUE!</v>
      </c>
      <c r="BP68" s="118" t="e">
        <f t="shared" si="11"/>
        <v>#VALUE!</v>
      </c>
      <c r="BQ68" s="116"/>
      <c r="BR68" s="117"/>
      <c r="BT68" s="277" t="e">
        <f>3*(BW78^2)*BX78/(8*BY78*BZ78)</f>
        <v>#VALUE!</v>
      </c>
      <c r="BU68" s="278"/>
      <c r="BV68" s="118" t="e">
        <f t="shared" si="17"/>
        <v>#VALUE!</v>
      </c>
      <c r="BW68" s="118" t="e">
        <f>BV68^3+BT62*BV68+BU62</f>
        <v>#VALUE!</v>
      </c>
      <c r="BX68" s="118" t="e">
        <f>3*BV68^2+BT62</f>
        <v>#VALUE!</v>
      </c>
      <c r="BY68" s="118" t="e">
        <f t="shared" si="12"/>
        <v>#VALUE!</v>
      </c>
      <c r="BZ68" s="116"/>
      <c r="CA68" s="117"/>
    </row>
    <row r="69" spans="10:79" ht="18" hidden="1" customHeight="1" x14ac:dyDescent="0.15">
      <c r="AJ69" s="121"/>
      <c r="AK69" s="122"/>
      <c r="AL69" s="118" t="e">
        <f t="shared" si="13"/>
        <v>#VALUE!</v>
      </c>
      <c r="AM69" s="118" t="e">
        <f>AL69^3+AJ62*AL69+AK62</f>
        <v>#VALUE!</v>
      </c>
      <c r="AN69" s="118" t="e">
        <f>3*AL69^2+AJ62</f>
        <v>#VALUE!</v>
      </c>
      <c r="AO69" s="118" t="e">
        <f t="shared" si="8"/>
        <v>#VALUE!</v>
      </c>
      <c r="AP69" s="119"/>
      <c r="AQ69" s="120"/>
      <c r="AS69" s="121"/>
      <c r="AT69" s="122"/>
      <c r="AU69" s="118" t="e">
        <f t="shared" si="14"/>
        <v>#VALUE!</v>
      </c>
      <c r="AV69" s="118" t="e">
        <f>AU69^3+AS62*AU69+AT62</f>
        <v>#VALUE!</v>
      </c>
      <c r="AW69" s="118" t="e">
        <f>3*AU69^2+AS62</f>
        <v>#VALUE!</v>
      </c>
      <c r="AX69" s="118" t="e">
        <f t="shared" si="9"/>
        <v>#VALUE!</v>
      </c>
      <c r="AY69" s="119"/>
      <c r="AZ69" s="120"/>
      <c r="BB69" s="121"/>
      <c r="BC69" s="122"/>
      <c r="BD69" s="118" t="e">
        <f t="shared" si="15"/>
        <v>#VALUE!</v>
      </c>
      <c r="BE69" s="118" t="e">
        <f>BD69^3+BB62*BD69+BC62</f>
        <v>#VALUE!</v>
      </c>
      <c r="BF69" s="118" t="e">
        <f>3*BD69^2+BB62</f>
        <v>#VALUE!</v>
      </c>
      <c r="BG69" s="118" t="e">
        <f t="shared" si="10"/>
        <v>#VALUE!</v>
      </c>
      <c r="BH69" s="119"/>
      <c r="BI69" s="120"/>
      <c r="BK69" s="121"/>
      <c r="BL69" s="122"/>
      <c r="BM69" s="118" t="e">
        <f t="shared" si="16"/>
        <v>#VALUE!</v>
      </c>
      <c r="BN69" s="118" t="e">
        <f>BM69^3+BK62*BM69+BL62</f>
        <v>#VALUE!</v>
      </c>
      <c r="BO69" s="118" t="e">
        <f>3*BM69^2+BK62</f>
        <v>#VALUE!</v>
      </c>
      <c r="BP69" s="118" t="e">
        <f t="shared" si="11"/>
        <v>#VALUE!</v>
      </c>
      <c r="BQ69" s="119"/>
      <c r="BR69" s="120"/>
      <c r="BT69" s="121"/>
      <c r="BU69" s="122"/>
      <c r="BV69" s="118" t="e">
        <f t="shared" si="17"/>
        <v>#VALUE!</v>
      </c>
      <c r="BW69" s="118" t="e">
        <f>BV69^3+BT62*BV69+BU62</f>
        <v>#VALUE!</v>
      </c>
      <c r="BX69" s="118" t="e">
        <f>3*BV69^2+BT62</f>
        <v>#VALUE!</v>
      </c>
      <c r="BY69" s="118" t="e">
        <f t="shared" si="12"/>
        <v>#VALUE!</v>
      </c>
      <c r="BZ69" s="119"/>
      <c r="CA69" s="120"/>
    </row>
    <row r="70" spans="10:79" ht="18" hidden="1" customHeight="1" x14ac:dyDescent="0.15">
      <c r="AJ70" s="269" t="s">
        <v>320</v>
      </c>
      <c r="AK70" s="270"/>
      <c r="AL70" s="118" t="e">
        <f t="shared" si="13"/>
        <v>#VALUE!</v>
      </c>
      <c r="AM70" s="118" t="e">
        <f>AL70^3+AJ62*AL70+AK62</f>
        <v>#VALUE!</v>
      </c>
      <c r="AN70" s="118" t="e">
        <f>3*AL70^2+AJ62</f>
        <v>#VALUE!</v>
      </c>
      <c r="AO70" s="118" t="e">
        <f t="shared" si="8"/>
        <v>#VALUE!</v>
      </c>
      <c r="AP70" s="14" t="s">
        <v>321</v>
      </c>
      <c r="AQ70" s="123" t="e">
        <f>AO76</f>
        <v>#VALUE!</v>
      </c>
      <c r="AS70" s="269" t="s">
        <v>320</v>
      </c>
      <c r="AT70" s="270"/>
      <c r="AU70" s="118" t="e">
        <f t="shared" si="14"/>
        <v>#VALUE!</v>
      </c>
      <c r="AV70" s="118" t="e">
        <f>AU70^3+AS62*AU70+AT62</f>
        <v>#VALUE!</v>
      </c>
      <c r="AW70" s="118" t="e">
        <f>3*AU70^2+AS62</f>
        <v>#VALUE!</v>
      </c>
      <c r="AX70" s="118" t="e">
        <f t="shared" si="9"/>
        <v>#VALUE!</v>
      </c>
      <c r="AY70" s="14" t="s">
        <v>321</v>
      </c>
      <c r="AZ70" s="123" t="e">
        <f>AX76</f>
        <v>#VALUE!</v>
      </c>
      <c r="BB70" s="269" t="s">
        <v>320</v>
      </c>
      <c r="BC70" s="270"/>
      <c r="BD70" s="118" t="e">
        <f t="shared" si="15"/>
        <v>#VALUE!</v>
      </c>
      <c r="BE70" s="118" t="e">
        <f>BD70^3+BB62*BD70+BC62</f>
        <v>#VALUE!</v>
      </c>
      <c r="BF70" s="118" t="e">
        <f>3*BD70^2+BB62</f>
        <v>#VALUE!</v>
      </c>
      <c r="BG70" s="118" t="e">
        <f t="shared" si="10"/>
        <v>#VALUE!</v>
      </c>
      <c r="BH70" s="14" t="s">
        <v>321</v>
      </c>
      <c r="BI70" s="123" t="e">
        <f>BG76</f>
        <v>#VALUE!</v>
      </c>
      <c r="BK70" s="269" t="s">
        <v>320</v>
      </c>
      <c r="BL70" s="270"/>
      <c r="BM70" s="118" t="e">
        <f t="shared" si="16"/>
        <v>#VALUE!</v>
      </c>
      <c r="BN70" s="118" t="e">
        <f>BM70^3+BK62*BM70+BL62</f>
        <v>#VALUE!</v>
      </c>
      <c r="BO70" s="118" t="e">
        <f>3*BM70^2+BK62</f>
        <v>#VALUE!</v>
      </c>
      <c r="BP70" s="118" t="e">
        <f t="shared" si="11"/>
        <v>#VALUE!</v>
      </c>
      <c r="BQ70" s="14" t="s">
        <v>321</v>
      </c>
      <c r="BR70" s="123" t="e">
        <f>BP76</f>
        <v>#VALUE!</v>
      </c>
      <c r="BT70" s="269" t="s">
        <v>320</v>
      </c>
      <c r="BU70" s="270"/>
      <c r="BV70" s="118" t="e">
        <f t="shared" si="17"/>
        <v>#VALUE!</v>
      </c>
      <c r="BW70" s="118" t="e">
        <f>BV70^3+BT62*BV70+BU62</f>
        <v>#VALUE!</v>
      </c>
      <c r="BX70" s="118" t="e">
        <f>3*BV70^2+BT62</f>
        <v>#VALUE!</v>
      </c>
      <c r="BY70" s="118" t="e">
        <f t="shared" si="12"/>
        <v>#VALUE!</v>
      </c>
      <c r="BZ70" s="14" t="s">
        <v>321</v>
      </c>
      <c r="CA70" s="123" t="e">
        <f>BY76</f>
        <v>#VALUE!</v>
      </c>
    </row>
    <row r="71" spans="10:79" ht="18" hidden="1" customHeight="1" x14ac:dyDescent="0.15">
      <c r="AJ71" s="271" t="e">
        <f>AJ68*AL78*AJ78/AK78</f>
        <v>#VALUE!</v>
      </c>
      <c r="AK71" s="272"/>
      <c r="AL71" s="118" t="e">
        <f t="shared" si="13"/>
        <v>#VALUE!</v>
      </c>
      <c r="AM71" s="118" t="e">
        <f>AL71^3+AJ62*AL71+AK62</f>
        <v>#VALUE!</v>
      </c>
      <c r="AN71" s="118" t="e">
        <f>3*AL71^2+AJ62</f>
        <v>#VALUE!</v>
      </c>
      <c r="AO71" s="118" t="e">
        <f t="shared" si="8"/>
        <v>#VALUE!</v>
      </c>
      <c r="AP71" s="14" t="s">
        <v>322</v>
      </c>
      <c r="AQ71" s="124" t="e">
        <f>AJ78*AM78^2/(8*AO76)</f>
        <v>#VALUE!</v>
      </c>
      <c r="AS71" s="271" t="e">
        <f>AS68*AU78*AS78/AT78</f>
        <v>#VALUE!</v>
      </c>
      <c r="AT71" s="272"/>
      <c r="AU71" s="118" t="e">
        <f t="shared" si="14"/>
        <v>#VALUE!</v>
      </c>
      <c r="AV71" s="118" t="e">
        <f>AU71^3+AS62*AU71+AT62</f>
        <v>#VALUE!</v>
      </c>
      <c r="AW71" s="118" t="e">
        <f>3*AU71^2+AS62</f>
        <v>#VALUE!</v>
      </c>
      <c r="AX71" s="118" t="e">
        <f t="shared" si="9"/>
        <v>#VALUE!</v>
      </c>
      <c r="AY71" s="14" t="s">
        <v>322</v>
      </c>
      <c r="AZ71" s="124" t="e">
        <f>AS78*AV78^2/(8*AX76)</f>
        <v>#VALUE!</v>
      </c>
      <c r="BB71" s="271" t="e">
        <f>BB68*BD78*BB78/BC78</f>
        <v>#VALUE!</v>
      </c>
      <c r="BC71" s="272"/>
      <c r="BD71" s="118" t="e">
        <f t="shared" si="15"/>
        <v>#VALUE!</v>
      </c>
      <c r="BE71" s="118" t="e">
        <f>BD71^3+BB62*BD71+BC62</f>
        <v>#VALUE!</v>
      </c>
      <c r="BF71" s="118" t="e">
        <f>3*BD71^2+BB62</f>
        <v>#VALUE!</v>
      </c>
      <c r="BG71" s="118" t="e">
        <f t="shared" si="10"/>
        <v>#VALUE!</v>
      </c>
      <c r="BH71" s="14" t="s">
        <v>322</v>
      </c>
      <c r="BI71" s="124" t="e">
        <f>BB78*BE78^2/(8*BG76)</f>
        <v>#VALUE!</v>
      </c>
      <c r="BK71" s="271" t="e">
        <f>BK68*BM78*BK78/BL78</f>
        <v>#VALUE!</v>
      </c>
      <c r="BL71" s="272"/>
      <c r="BM71" s="118" t="e">
        <f t="shared" si="16"/>
        <v>#VALUE!</v>
      </c>
      <c r="BN71" s="118" t="e">
        <f>BM71^3+BK62*BM71+BL62</f>
        <v>#VALUE!</v>
      </c>
      <c r="BO71" s="118" t="e">
        <f>3*BM71^2+BK62</f>
        <v>#VALUE!</v>
      </c>
      <c r="BP71" s="118" t="e">
        <f t="shared" si="11"/>
        <v>#VALUE!</v>
      </c>
      <c r="BQ71" s="14" t="s">
        <v>322</v>
      </c>
      <c r="BR71" s="124" t="e">
        <f>BK78*BN78^2/(8*BP76)</f>
        <v>#VALUE!</v>
      </c>
      <c r="BT71" s="271" t="e">
        <f>BT68*BV78*BT78/BU78</f>
        <v>#VALUE!</v>
      </c>
      <c r="BU71" s="272"/>
      <c r="BV71" s="118" t="e">
        <f t="shared" si="17"/>
        <v>#VALUE!</v>
      </c>
      <c r="BW71" s="118" t="e">
        <f>BV71^3+BT62*BV71+BU62</f>
        <v>#VALUE!</v>
      </c>
      <c r="BX71" s="118" t="e">
        <f>3*BV71^2+BT62</f>
        <v>#VALUE!</v>
      </c>
      <c r="BY71" s="118" t="e">
        <f t="shared" si="12"/>
        <v>#VALUE!</v>
      </c>
      <c r="BZ71" s="14" t="s">
        <v>322</v>
      </c>
      <c r="CA71" s="124" t="e">
        <f>BT78*BW78^2/(8*BY76)</f>
        <v>#VALUE!</v>
      </c>
    </row>
    <row r="72" spans="10:79" ht="18" hidden="1" customHeight="1" x14ac:dyDescent="0.15">
      <c r="AJ72" s="125"/>
      <c r="AK72" s="126"/>
      <c r="AL72" s="118" t="e">
        <f t="shared" si="13"/>
        <v>#VALUE!</v>
      </c>
      <c r="AM72" s="118" t="e">
        <f>AL72^3+AJ62*AL72+AK62</f>
        <v>#VALUE!</v>
      </c>
      <c r="AN72" s="118" t="e">
        <f>3*AL72^2+AJ62</f>
        <v>#VALUE!</v>
      </c>
      <c r="AO72" s="118" t="e">
        <f t="shared" si="8"/>
        <v>#VALUE!</v>
      </c>
      <c r="AP72" s="116"/>
      <c r="AQ72" s="117"/>
      <c r="AS72" s="125"/>
      <c r="AT72" s="126"/>
      <c r="AU72" s="118" t="e">
        <f t="shared" si="14"/>
        <v>#VALUE!</v>
      </c>
      <c r="AV72" s="118" t="e">
        <f>AU72^3+AS62*AU72+AT62</f>
        <v>#VALUE!</v>
      </c>
      <c r="AW72" s="118" t="e">
        <f>3*AU72^2+AS62</f>
        <v>#VALUE!</v>
      </c>
      <c r="AX72" s="118" t="e">
        <f t="shared" si="9"/>
        <v>#VALUE!</v>
      </c>
      <c r="AY72" s="116"/>
      <c r="AZ72" s="117"/>
      <c r="BB72" s="125"/>
      <c r="BC72" s="126"/>
      <c r="BD72" s="118" t="e">
        <f t="shared" si="15"/>
        <v>#VALUE!</v>
      </c>
      <c r="BE72" s="118" t="e">
        <f>BD72^3+BB62*BD72+BC62</f>
        <v>#VALUE!</v>
      </c>
      <c r="BF72" s="118" t="e">
        <f>3*BD72^2+BB62</f>
        <v>#VALUE!</v>
      </c>
      <c r="BG72" s="118" t="e">
        <f t="shared" si="10"/>
        <v>#VALUE!</v>
      </c>
      <c r="BH72" s="116"/>
      <c r="BI72" s="117"/>
      <c r="BK72" s="125"/>
      <c r="BL72" s="126"/>
      <c r="BM72" s="118" t="e">
        <f t="shared" si="16"/>
        <v>#VALUE!</v>
      </c>
      <c r="BN72" s="118" t="e">
        <f>BM72^3+BK62*BM72+BL62</f>
        <v>#VALUE!</v>
      </c>
      <c r="BO72" s="118" t="e">
        <f>3*BM72^2+BK62</f>
        <v>#VALUE!</v>
      </c>
      <c r="BP72" s="118" t="e">
        <f t="shared" si="11"/>
        <v>#VALUE!</v>
      </c>
      <c r="BQ72" s="116"/>
      <c r="BR72" s="117"/>
      <c r="BT72" s="125"/>
      <c r="BU72" s="126"/>
      <c r="BV72" s="118" t="e">
        <f t="shared" si="17"/>
        <v>#VALUE!</v>
      </c>
      <c r="BW72" s="118" t="e">
        <f>BV72^3+BT62*BV72+BU62</f>
        <v>#VALUE!</v>
      </c>
      <c r="BX72" s="118" t="e">
        <f>3*BV72^2+BT62</f>
        <v>#VALUE!</v>
      </c>
      <c r="BY72" s="118" t="e">
        <f t="shared" si="12"/>
        <v>#VALUE!</v>
      </c>
      <c r="BZ72" s="116"/>
      <c r="CA72" s="117"/>
    </row>
    <row r="73" spans="10:79" ht="18" hidden="1" customHeight="1" x14ac:dyDescent="0.15">
      <c r="AJ73" s="125"/>
      <c r="AK73" s="126"/>
      <c r="AL73" s="118" t="e">
        <f t="shared" si="13"/>
        <v>#VALUE!</v>
      </c>
      <c r="AM73" s="118" t="e">
        <f>AL73^3+AJ62*AL73+AK62</f>
        <v>#VALUE!</v>
      </c>
      <c r="AN73" s="118" t="e">
        <f>3*AL73^2+AJ62</f>
        <v>#VALUE!</v>
      </c>
      <c r="AO73" s="118" t="e">
        <f t="shared" si="8"/>
        <v>#VALUE!</v>
      </c>
      <c r="AP73" s="112" t="s">
        <v>147</v>
      </c>
      <c r="AQ73" s="113">
        <v>15</v>
      </c>
      <c r="AS73" s="125"/>
      <c r="AT73" s="126"/>
      <c r="AU73" s="118" t="e">
        <f t="shared" si="14"/>
        <v>#VALUE!</v>
      </c>
      <c r="AV73" s="118" t="e">
        <f>AU73^3+AS62*AU73+AT62</f>
        <v>#VALUE!</v>
      </c>
      <c r="AW73" s="118" t="e">
        <f>3*AU73^2+AS62</f>
        <v>#VALUE!</v>
      </c>
      <c r="AX73" s="118" t="e">
        <f t="shared" si="9"/>
        <v>#VALUE!</v>
      </c>
      <c r="AY73" s="112" t="s">
        <v>147</v>
      </c>
      <c r="AZ73" s="113">
        <v>15</v>
      </c>
      <c r="BB73" s="125"/>
      <c r="BC73" s="126"/>
      <c r="BD73" s="118" t="e">
        <f t="shared" si="15"/>
        <v>#VALUE!</v>
      </c>
      <c r="BE73" s="118" t="e">
        <f>BD73^3+BB62*BD73+BC62</f>
        <v>#VALUE!</v>
      </c>
      <c r="BF73" s="118" t="e">
        <f>3*BD73^2+BB62</f>
        <v>#VALUE!</v>
      </c>
      <c r="BG73" s="118" t="e">
        <f t="shared" si="10"/>
        <v>#VALUE!</v>
      </c>
      <c r="BH73" s="112" t="s">
        <v>147</v>
      </c>
      <c r="BI73" s="113">
        <v>15</v>
      </c>
      <c r="BK73" s="125"/>
      <c r="BL73" s="126"/>
      <c r="BM73" s="118" t="e">
        <f t="shared" si="16"/>
        <v>#VALUE!</v>
      </c>
      <c r="BN73" s="118" t="e">
        <f>BM73^3+BK62*BM73+BL62</f>
        <v>#VALUE!</v>
      </c>
      <c r="BO73" s="118" t="e">
        <f>3*BM73^2+BK62</f>
        <v>#VALUE!</v>
      </c>
      <c r="BP73" s="118" t="e">
        <f t="shared" si="11"/>
        <v>#VALUE!</v>
      </c>
      <c r="BQ73" s="112" t="s">
        <v>147</v>
      </c>
      <c r="BR73" s="113">
        <v>15</v>
      </c>
      <c r="BT73" s="125"/>
      <c r="BU73" s="126"/>
      <c r="BV73" s="118" t="e">
        <f t="shared" si="17"/>
        <v>#VALUE!</v>
      </c>
      <c r="BW73" s="118" t="e">
        <f>BV73^3+BT62*BV73+BU62</f>
        <v>#VALUE!</v>
      </c>
      <c r="BX73" s="118" t="e">
        <f>3*BV73^2+BT62</f>
        <v>#VALUE!</v>
      </c>
      <c r="BY73" s="118" t="e">
        <f t="shared" si="12"/>
        <v>#VALUE!</v>
      </c>
      <c r="BZ73" s="112" t="s">
        <v>147</v>
      </c>
      <c r="CA73" s="113">
        <v>15</v>
      </c>
    </row>
    <row r="74" spans="10:79" ht="18" hidden="1" customHeight="1" x14ac:dyDescent="0.15">
      <c r="AJ74" s="125"/>
      <c r="AK74" s="126"/>
      <c r="AL74" s="118" t="e">
        <f t="shared" si="13"/>
        <v>#VALUE!</v>
      </c>
      <c r="AM74" s="118" t="e">
        <f>AL74^3+AJ62*AL74+AK62</f>
        <v>#VALUE!</v>
      </c>
      <c r="AN74" s="118" t="e">
        <f>3*AL74^2+AJ62</f>
        <v>#VALUE!</v>
      </c>
      <c r="AO74" s="118" t="e">
        <f t="shared" si="8"/>
        <v>#VALUE!</v>
      </c>
      <c r="AP74" s="128" t="s">
        <v>218</v>
      </c>
      <c r="AQ74" s="32"/>
      <c r="AS74" s="125"/>
      <c r="AT74" s="126"/>
      <c r="AU74" s="118" t="e">
        <f t="shared" si="14"/>
        <v>#VALUE!</v>
      </c>
      <c r="AV74" s="118" t="e">
        <f>AU74^3+AS62*AU74+AT62</f>
        <v>#VALUE!</v>
      </c>
      <c r="AW74" s="118" t="e">
        <f>3*AU74^2+AS62</f>
        <v>#VALUE!</v>
      </c>
      <c r="AX74" s="118" t="e">
        <f t="shared" si="9"/>
        <v>#VALUE!</v>
      </c>
      <c r="AY74" s="128" t="s">
        <v>219</v>
      </c>
      <c r="AZ74" s="32"/>
      <c r="BB74" s="125"/>
      <c r="BC74" s="126"/>
      <c r="BD74" s="118" t="e">
        <f t="shared" si="15"/>
        <v>#VALUE!</v>
      </c>
      <c r="BE74" s="118" t="e">
        <f>BD74^3+BB62*BD74+BC62</f>
        <v>#VALUE!</v>
      </c>
      <c r="BF74" s="118" t="e">
        <f>3*BD74^2+BB62</f>
        <v>#VALUE!</v>
      </c>
      <c r="BG74" s="118" t="e">
        <f t="shared" si="10"/>
        <v>#VALUE!</v>
      </c>
      <c r="BH74" s="128" t="s">
        <v>220</v>
      </c>
      <c r="BI74" s="32"/>
      <c r="BK74" s="125"/>
      <c r="BL74" s="126"/>
      <c r="BM74" s="118" t="e">
        <f t="shared" si="16"/>
        <v>#VALUE!</v>
      </c>
      <c r="BN74" s="118" t="e">
        <f>BM74^3+BK62*BM74+BL62</f>
        <v>#VALUE!</v>
      </c>
      <c r="BO74" s="118" t="e">
        <f>3*BM74^2+BK62</f>
        <v>#VALUE!</v>
      </c>
      <c r="BP74" s="118" t="e">
        <f t="shared" si="11"/>
        <v>#VALUE!</v>
      </c>
      <c r="BQ74" s="128" t="s">
        <v>221</v>
      </c>
      <c r="BR74" s="32"/>
      <c r="BT74" s="125"/>
      <c r="BU74" s="126"/>
      <c r="BV74" s="118" t="e">
        <f t="shared" si="17"/>
        <v>#VALUE!</v>
      </c>
      <c r="BW74" s="118" t="e">
        <f>BV74^3+BT62*BV74+BU62</f>
        <v>#VALUE!</v>
      </c>
      <c r="BX74" s="118" t="e">
        <f>3*BV74^2+BT62</f>
        <v>#VALUE!</v>
      </c>
      <c r="BY74" s="118" t="e">
        <f t="shared" si="12"/>
        <v>#VALUE!</v>
      </c>
      <c r="BZ74" s="128" t="s">
        <v>222</v>
      </c>
      <c r="CA74" s="32"/>
    </row>
    <row r="75" spans="10:79" ht="18" hidden="1" customHeight="1" x14ac:dyDescent="0.15">
      <c r="AJ75" s="125"/>
      <c r="AK75" s="126"/>
      <c r="AL75" s="18" t="e">
        <f t="shared" si="13"/>
        <v>#VALUE!</v>
      </c>
      <c r="AM75" s="18" t="e">
        <f>AL75^3+AJ62*AL75+AK62</f>
        <v>#VALUE!</v>
      </c>
      <c r="AN75" s="18" t="e">
        <f>3*AL75^2+AJ62</f>
        <v>#VALUE!</v>
      </c>
      <c r="AO75" s="18" t="e">
        <f t="shared" si="8"/>
        <v>#VALUE!</v>
      </c>
      <c r="AP75" s="283" t="str">
        <f>M48</f>
        <v>高温季最悪条件時
15[℃],100[Kg/ｍ2]</v>
      </c>
      <c r="AQ75" s="284"/>
      <c r="AS75" s="125"/>
      <c r="AT75" s="126"/>
      <c r="AU75" s="18" t="e">
        <f t="shared" si="14"/>
        <v>#VALUE!</v>
      </c>
      <c r="AV75" s="18" t="e">
        <f>AU75^3+AS62*AU75+AT62</f>
        <v>#VALUE!</v>
      </c>
      <c r="AW75" s="18" t="e">
        <f>3*AU75^2+AS62</f>
        <v>#VALUE!</v>
      </c>
      <c r="AX75" s="18" t="e">
        <f t="shared" si="9"/>
        <v>#VALUE!</v>
      </c>
      <c r="AY75" s="283" t="str">
        <f>M48</f>
        <v>高温季最悪条件時
15[℃],100[Kg/ｍ2]</v>
      </c>
      <c r="AZ75" s="284"/>
      <c r="BB75" s="125"/>
      <c r="BC75" s="126"/>
      <c r="BD75" s="18" t="e">
        <f t="shared" si="15"/>
        <v>#VALUE!</v>
      </c>
      <c r="BE75" s="18" t="e">
        <f>BD75^3+BB62*BD75+BC62</f>
        <v>#VALUE!</v>
      </c>
      <c r="BF75" s="18" t="e">
        <f>3*BD75^2+BB62</f>
        <v>#VALUE!</v>
      </c>
      <c r="BG75" s="18" t="e">
        <f t="shared" si="10"/>
        <v>#VALUE!</v>
      </c>
      <c r="BH75" s="283" t="str">
        <f>M48</f>
        <v>高温季最悪条件時
15[℃],100[Kg/ｍ2]</v>
      </c>
      <c r="BI75" s="284"/>
      <c r="BK75" s="125"/>
      <c r="BL75" s="126"/>
      <c r="BM75" s="18" t="e">
        <f t="shared" si="16"/>
        <v>#VALUE!</v>
      </c>
      <c r="BN75" s="18" t="e">
        <f>BM75^3+BK62*BM75+BL62</f>
        <v>#VALUE!</v>
      </c>
      <c r="BO75" s="18" t="e">
        <f>3*BM75^2+BK62</f>
        <v>#VALUE!</v>
      </c>
      <c r="BP75" s="18" t="e">
        <f t="shared" si="11"/>
        <v>#VALUE!</v>
      </c>
      <c r="BQ75" s="283" t="str">
        <f>M48</f>
        <v>高温季最悪条件時
15[℃],100[Kg/ｍ2]</v>
      </c>
      <c r="BR75" s="284"/>
      <c r="BT75" s="125"/>
      <c r="BU75" s="126"/>
      <c r="BV75" s="18" t="e">
        <f t="shared" si="17"/>
        <v>#VALUE!</v>
      </c>
      <c r="BW75" s="18" t="e">
        <f>BV75^3+BT62*BV75+BU62</f>
        <v>#VALUE!</v>
      </c>
      <c r="BX75" s="18" t="e">
        <f>3*BV75^2+BT62</f>
        <v>#VALUE!</v>
      </c>
      <c r="BY75" s="18" t="e">
        <f t="shared" si="12"/>
        <v>#VALUE!</v>
      </c>
      <c r="BZ75" s="283" t="str">
        <f>M48</f>
        <v>高温季最悪条件時
15[℃],100[Kg/ｍ2]</v>
      </c>
      <c r="CA75" s="284"/>
    </row>
    <row r="76" spans="10:79" ht="18" hidden="1" customHeight="1" thickBot="1" x14ac:dyDescent="0.2">
      <c r="AJ76" s="125"/>
      <c r="AK76" s="126"/>
      <c r="AL76" s="114" t="e">
        <f t="shared" si="13"/>
        <v>#VALUE!</v>
      </c>
      <c r="AM76" s="115" t="e">
        <f>AL76^3+AJ62*AL76+AK62</f>
        <v>#VALUE!</v>
      </c>
      <c r="AN76" s="115" t="e">
        <f>3*AL76^2+AJ62</f>
        <v>#VALUE!</v>
      </c>
      <c r="AO76" s="115" t="e">
        <f t="shared" si="8"/>
        <v>#VALUE!</v>
      </c>
      <c r="AP76" s="285"/>
      <c r="AQ76" s="286"/>
      <c r="AS76" s="125"/>
      <c r="AT76" s="126"/>
      <c r="AU76" s="114" t="e">
        <f t="shared" si="14"/>
        <v>#VALUE!</v>
      </c>
      <c r="AV76" s="115" t="e">
        <f>AU76^3+AS62*AU76+AT62</f>
        <v>#VALUE!</v>
      </c>
      <c r="AW76" s="115" t="e">
        <f>3*AU76^2+AS62</f>
        <v>#VALUE!</v>
      </c>
      <c r="AX76" s="115" t="e">
        <f t="shared" si="9"/>
        <v>#VALUE!</v>
      </c>
      <c r="AY76" s="285"/>
      <c r="AZ76" s="286"/>
      <c r="BB76" s="125"/>
      <c r="BC76" s="126"/>
      <c r="BD76" s="114" t="e">
        <f t="shared" si="15"/>
        <v>#VALUE!</v>
      </c>
      <c r="BE76" s="115" t="e">
        <f>BD76^3+BB62*BD76+BC62</f>
        <v>#VALUE!</v>
      </c>
      <c r="BF76" s="115" t="e">
        <f>3*BD76^2+BB62</f>
        <v>#VALUE!</v>
      </c>
      <c r="BG76" s="115" t="e">
        <f t="shared" si="10"/>
        <v>#VALUE!</v>
      </c>
      <c r="BH76" s="285"/>
      <c r="BI76" s="286"/>
      <c r="BK76" s="125"/>
      <c r="BL76" s="126"/>
      <c r="BM76" s="114" t="e">
        <f t="shared" si="16"/>
        <v>#VALUE!</v>
      </c>
      <c r="BN76" s="115" t="e">
        <f>BM76^3+BK62*BM76+BL62</f>
        <v>#VALUE!</v>
      </c>
      <c r="BO76" s="115" t="e">
        <f>3*BM76^2+BK62</f>
        <v>#VALUE!</v>
      </c>
      <c r="BP76" s="115" t="e">
        <f t="shared" si="11"/>
        <v>#VALUE!</v>
      </c>
      <c r="BQ76" s="285"/>
      <c r="BR76" s="286"/>
      <c r="BT76" s="125"/>
      <c r="BU76" s="126"/>
      <c r="BV76" s="114" t="e">
        <f t="shared" si="17"/>
        <v>#VALUE!</v>
      </c>
      <c r="BW76" s="115" t="e">
        <f>BV76^3+BT62*BV76+BU62</f>
        <v>#VALUE!</v>
      </c>
      <c r="BX76" s="115" t="e">
        <f>3*BV76^2+BT62</f>
        <v>#VALUE!</v>
      </c>
      <c r="BY76" s="115" t="e">
        <f t="shared" si="12"/>
        <v>#VALUE!</v>
      </c>
      <c r="BZ76" s="285"/>
      <c r="CA76" s="286"/>
    </row>
    <row r="77" spans="10:79" ht="18" hidden="1" customHeight="1" x14ac:dyDescent="0.15">
      <c r="AJ77" s="62" t="s">
        <v>223</v>
      </c>
      <c r="AK77" s="12" t="s">
        <v>224</v>
      </c>
      <c r="AL77" s="12" t="s">
        <v>225</v>
      </c>
      <c r="AM77" s="12" t="s">
        <v>226</v>
      </c>
      <c r="AN77" s="12" t="s">
        <v>227</v>
      </c>
      <c r="AO77" s="63" t="s">
        <v>228</v>
      </c>
      <c r="AP77" s="12" t="s">
        <v>229</v>
      </c>
      <c r="AQ77" s="13" t="s">
        <v>230</v>
      </c>
      <c r="AS77" s="62" t="s">
        <v>223</v>
      </c>
      <c r="AT77" s="12" t="s">
        <v>224</v>
      </c>
      <c r="AU77" s="12" t="s">
        <v>225</v>
      </c>
      <c r="AV77" s="12" t="s">
        <v>226</v>
      </c>
      <c r="AW77" s="12" t="s">
        <v>227</v>
      </c>
      <c r="AX77" s="63" t="s">
        <v>228</v>
      </c>
      <c r="AY77" s="12" t="s">
        <v>229</v>
      </c>
      <c r="AZ77" s="13" t="s">
        <v>230</v>
      </c>
      <c r="BB77" s="62" t="s">
        <v>223</v>
      </c>
      <c r="BC77" s="12" t="s">
        <v>224</v>
      </c>
      <c r="BD77" s="12" t="s">
        <v>225</v>
      </c>
      <c r="BE77" s="12" t="s">
        <v>226</v>
      </c>
      <c r="BF77" s="12" t="s">
        <v>227</v>
      </c>
      <c r="BG77" s="63" t="s">
        <v>228</v>
      </c>
      <c r="BH77" s="12" t="s">
        <v>229</v>
      </c>
      <c r="BI77" s="13" t="s">
        <v>230</v>
      </c>
      <c r="BK77" s="62" t="s">
        <v>223</v>
      </c>
      <c r="BL77" s="12" t="s">
        <v>224</v>
      </c>
      <c r="BM77" s="12" t="s">
        <v>225</v>
      </c>
      <c r="BN77" s="12" t="s">
        <v>226</v>
      </c>
      <c r="BO77" s="12" t="s">
        <v>227</v>
      </c>
      <c r="BP77" s="63" t="s">
        <v>228</v>
      </c>
      <c r="BQ77" s="12" t="s">
        <v>229</v>
      </c>
      <c r="BR77" s="13" t="s">
        <v>230</v>
      </c>
      <c r="BT77" s="62" t="s">
        <v>223</v>
      </c>
      <c r="BU77" s="12" t="s">
        <v>224</v>
      </c>
      <c r="BV77" s="12" t="s">
        <v>225</v>
      </c>
      <c r="BW77" s="12" t="s">
        <v>226</v>
      </c>
      <c r="BX77" s="12" t="s">
        <v>227</v>
      </c>
      <c r="BY77" s="63" t="s">
        <v>228</v>
      </c>
      <c r="BZ77" s="12" t="s">
        <v>229</v>
      </c>
      <c r="CA77" s="13" t="s">
        <v>230</v>
      </c>
    </row>
    <row r="78" spans="10:79" ht="18" hidden="1" customHeight="1" thickBot="1" x14ac:dyDescent="0.2">
      <c r="AJ78" s="107" t="str">
        <f>O23</f>
        <v/>
      </c>
      <c r="AK78" s="108" t="e">
        <f>M23+U23</f>
        <v>#VALUE!</v>
      </c>
      <c r="AL78" s="108">
        <f>IF(C33="",L19*(F19/40)^2,C33)</f>
        <v>0</v>
      </c>
      <c r="AM78" s="108">
        <f>F19</f>
        <v>0</v>
      </c>
      <c r="AN78" s="108" t="e">
        <f>AK78*1600/(8*L19)</f>
        <v>#VALUE!</v>
      </c>
      <c r="AO78" s="109">
        <f>V23</f>
        <v>0</v>
      </c>
      <c r="AP78" s="108" t="str">
        <f>IF(I23="",L23,T23)</f>
        <v/>
      </c>
      <c r="AQ78" s="110">
        <f>W23</f>
        <v>0</v>
      </c>
      <c r="AS78" s="107" t="str">
        <f>IF(B24="使用電線-2",O24,IF(B25="使用電線-2",O25,IF(B26="使用電線-2",O26,IF(B27="使用電線-2",O27,IF(B28="使用電線-2",O28,IF(B29="使用電線-2",O29,""))))))</f>
        <v/>
      </c>
      <c r="AT78" s="108" t="str">
        <f>IF(B24="使用電線-2",M24+U24,IF(B25="使用電線-2",M25+U25,IF(B26="使用電線-2",M26+U26,IF(B27="使用電線-2",M27+U27,IF(B28="使用電線-2",M28+U28,IF(B29="使用電線-2",M29+U29,""))))))</f>
        <v/>
      </c>
      <c r="AU78" s="108">
        <f>IF(I33="",L19*(F19/40)^2,I33)</f>
        <v>0</v>
      </c>
      <c r="AV78" s="108">
        <f>F19</f>
        <v>0</v>
      </c>
      <c r="AW78" s="108" t="e">
        <f>AT78*1600/(8*L19)</f>
        <v>#VALUE!</v>
      </c>
      <c r="AX78" s="109" t="str">
        <f>IF(B24="使用電線-2",V24,IF(B25="使用電線-2",V25,IF(B26="使用電線-2",V26,IF(B27="使用電線-2",V27,IF(B28="使用電線-2",V28,IF(B29="使用電線-2",V29,""))))))</f>
        <v/>
      </c>
      <c r="AY78" s="108" t="str">
        <f>IF(B24="使用電線-2",L24,IF(B25="使用電線-2",L25,IF(B26="使用電線-2",L26,IF(B27="使用電線-2",L27,IF(B28="使用電線-2",L28,IF(B29="使用電線-2",L29,""))))))</f>
        <v/>
      </c>
      <c r="AZ78" s="110" t="str">
        <f>IF(B24="使用電線-2",W24,IF(B25="使用電線-2",W25,IF(B26="使用電線-2",W26,IF(B27="使用電線-2",W27,IF(B28="使用電線-2",W28,IF(B29="使用電線-2",W29,""))))))</f>
        <v/>
      </c>
      <c r="BB78" s="107" t="str">
        <f>IF(B25="使用電線-3",O25,IF(B26="使用電線-3",O26,IF(B27="使用電線-3",O27,IF(B28="使用電線-3",O28,IF(B29="使用電線-3",O29,"")))))</f>
        <v/>
      </c>
      <c r="BC78" s="108" t="str">
        <f>IF(B25="使用電線-3",M25+U25,IF(B26="使用電線-3",M26+U26,IF(B27="使用電線-3",M27+U27,IF(B28="使用電線-3",M28+U28,IF(B29="使用電線-3",M29+U29,"")))))</f>
        <v/>
      </c>
      <c r="BD78" s="108">
        <f>IF(N33="",L19*(F19/40)^2,N33)</f>
        <v>0</v>
      </c>
      <c r="BE78" s="108">
        <f>F19</f>
        <v>0</v>
      </c>
      <c r="BF78" s="108" t="e">
        <f>BC78*1600/(8*L19)</f>
        <v>#VALUE!</v>
      </c>
      <c r="BG78" s="109" t="str">
        <f>IF(B25="使用電線-3",V25,IF(B26="使用電線-3",V26,IF(B27="使用電線-3",V27,IF(B28="使用電線-3",V28,IF(B29="使用電線-3",V29,"")))))</f>
        <v/>
      </c>
      <c r="BH78" s="108" t="str">
        <f>IF(B25="使用電線-3",L25,IF(B26="使用電線-3",L26,IF(B27="使用電線-3",L27,IF(B28="使用電線-3",L28,IF(B29="使用電線-3",L29,"")))))</f>
        <v/>
      </c>
      <c r="BI78" s="110" t="str">
        <f>IF(B25="使用電線-3",W25,IF(B26="使用電線-3",W26,IF(B27="使用電線-3",W27,IF(B28="使用電線-3",W28,IF(B29="使用電線-3",W29,"")))))</f>
        <v/>
      </c>
      <c r="BK78" s="107" t="str">
        <f>IF(B26="使用電線-4",O26,IF(B27="使用電線-4",O27,IF(B28="使用電線-4",O28,IF(B29="使用電線-4",O29,""))))</f>
        <v/>
      </c>
      <c r="BL78" s="108" t="str">
        <f>IF(B26="使用電線-4",M26+U26,IF(B27="使用電線-4",M27+U27,IF(B28="使用電線-4",M28+U28,IF(B29="使用電線-4",M29+U29,""))))</f>
        <v/>
      </c>
      <c r="BM78" s="108">
        <f>IF(C47="",L19*(F19/40)^2,C47)</f>
        <v>0</v>
      </c>
      <c r="BN78" s="108">
        <f>F19</f>
        <v>0</v>
      </c>
      <c r="BO78" s="127" t="e">
        <f>BL78*1600/(8*L19)</f>
        <v>#VALUE!</v>
      </c>
      <c r="BP78" s="109" t="str">
        <f>IF(B26="使用電線-4",V26,IF(B27="使用電線-4",V27,IF(B28="使用電線-4",V28,IF(B29="使用電線-4",V29,""))))</f>
        <v/>
      </c>
      <c r="BQ78" s="108" t="str">
        <f>IF(B26="使用電線-4",L26,IF(B27="使用電線-4",L27,IF(B28="使用電線-4",L28,IF(B29="使用電線-4",L29,""))))</f>
        <v/>
      </c>
      <c r="BR78" s="110" t="str">
        <f>IF(B26="使用電線-4",W26,IF(B27="使用電線-4",W27,IF(B28="使用電線-4",W28,IF(B29="使用電線-4",W29,""))))</f>
        <v/>
      </c>
      <c r="BT78" s="107" t="str">
        <f>IF(B27="使用電線-5",O27,IF(B28="使用電線-5",O28,IF(B29="使用電線-5",O29,"")))</f>
        <v/>
      </c>
      <c r="BU78" s="108" t="str">
        <f>IF(B27="使用電線-5",M27+U27,IF(B28="使用電線-5",M28+U28,IF(B29="使用電線-5",M29+U29,"")))</f>
        <v/>
      </c>
      <c r="BV78" s="108">
        <f>IF(I47="",L19*(F19/40)^2,I47)</f>
        <v>0</v>
      </c>
      <c r="BW78" s="108">
        <f>F19</f>
        <v>0</v>
      </c>
      <c r="BX78" s="127" t="e">
        <f>BU78*1600/(8*L19)</f>
        <v>#VALUE!</v>
      </c>
      <c r="BY78" s="109" t="str">
        <f>IF(B27="使用電線-5",V27,IF(B28="使用電線-5",V28,IF(B29="使用電線-5",V29,"")))</f>
        <v/>
      </c>
      <c r="BZ78" s="108" t="str">
        <f>IF(B27="使用電線-5",L27,IF(B28="使用電線-5",L28,IF(B29="使用電線-5",L29,"")))</f>
        <v/>
      </c>
      <c r="CA78" s="110" t="str">
        <f>IF(B27="使用電線-5",W27,IF(B28="使用電線-5",W28,IF(B29="使用電線-5",W29,"")))</f>
        <v/>
      </c>
    </row>
    <row r="79" spans="10:79" ht="18" hidden="1" customHeight="1" x14ac:dyDescent="0.15">
      <c r="AH79" s="1" t="s">
        <v>231</v>
      </c>
    </row>
    <row r="80" spans="10:79" ht="18" hidden="1" customHeight="1" thickBot="1" x14ac:dyDescent="0.2"/>
    <row r="81" spans="36:79" ht="18" hidden="1" customHeight="1" x14ac:dyDescent="0.15">
      <c r="AJ81" s="2" t="s">
        <v>232</v>
      </c>
      <c r="AK81" s="111" t="s">
        <v>233</v>
      </c>
      <c r="AL81" s="12" t="s">
        <v>234</v>
      </c>
      <c r="AM81" s="12" t="s">
        <v>235</v>
      </c>
      <c r="AN81" s="12" t="s">
        <v>236</v>
      </c>
      <c r="AO81" s="12" t="s">
        <v>237</v>
      </c>
      <c r="AP81" s="12" t="s">
        <v>238</v>
      </c>
      <c r="AQ81" s="13" t="s">
        <v>239</v>
      </c>
      <c r="AS81" s="2" t="s">
        <v>232</v>
      </c>
      <c r="AT81" s="111" t="s">
        <v>233</v>
      </c>
      <c r="AU81" s="12" t="s">
        <v>234</v>
      </c>
      <c r="AV81" s="12" t="s">
        <v>235</v>
      </c>
      <c r="AW81" s="12" t="s">
        <v>236</v>
      </c>
      <c r="AX81" s="12" t="s">
        <v>237</v>
      </c>
      <c r="AY81" s="12" t="s">
        <v>238</v>
      </c>
      <c r="AZ81" s="13" t="s">
        <v>239</v>
      </c>
      <c r="BB81" s="2" t="s">
        <v>232</v>
      </c>
      <c r="BC81" s="111" t="s">
        <v>233</v>
      </c>
      <c r="BD81" s="12" t="s">
        <v>234</v>
      </c>
      <c r="BE81" s="12" t="s">
        <v>235</v>
      </c>
      <c r="BF81" s="12" t="s">
        <v>236</v>
      </c>
      <c r="BG81" s="12" t="s">
        <v>237</v>
      </c>
      <c r="BH81" s="12" t="s">
        <v>238</v>
      </c>
      <c r="BI81" s="13" t="s">
        <v>239</v>
      </c>
      <c r="BK81" s="2" t="s">
        <v>232</v>
      </c>
      <c r="BL81" s="111" t="s">
        <v>233</v>
      </c>
      <c r="BM81" s="12" t="s">
        <v>234</v>
      </c>
      <c r="BN81" s="12" t="s">
        <v>235</v>
      </c>
      <c r="BO81" s="12" t="s">
        <v>236</v>
      </c>
      <c r="BP81" s="12" t="s">
        <v>237</v>
      </c>
      <c r="BQ81" s="12" t="s">
        <v>238</v>
      </c>
      <c r="BR81" s="13" t="s">
        <v>239</v>
      </c>
      <c r="BT81" s="2" t="s">
        <v>232</v>
      </c>
      <c r="BU81" s="111" t="s">
        <v>233</v>
      </c>
      <c r="BV81" s="12" t="s">
        <v>234</v>
      </c>
      <c r="BW81" s="12" t="s">
        <v>235</v>
      </c>
      <c r="BX81" s="12" t="s">
        <v>236</v>
      </c>
      <c r="BY81" s="12" t="s">
        <v>237</v>
      </c>
      <c r="BZ81" s="12" t="s">
        <v>238</v>
      </c>
      <c r="CA81" s="13" t="s">
        <v>239</v>
      </c>
    </row>
    <row r="82" spans="36:79" ht="18" hidden="1" customHeight="1" x14ac:dyDescent="0.15">
      <c r="AJ82" s="16" t="e">
        <f>-AJ85+AJ88</f>
        <v>#VALUE!</v>
      </c>
      <c r="AK82" s="17" t="e">
        <f>-AJ91</f>
        <v>#VALUE!</v>
      </c>
      <c r="AL82" s="18" t="e">
        <f>IF(AND(AP85&lt;0,AQ85&lt;0),AQ82*1.2,IF(AND(AP85&gt;0,AQ85&gt;0),AP82*0.8,10))</f>
        <v>#VALUE!</v>
      </c>
      <c r="AM82" s="18" t="e">
        <f>AL82^3+AJ82*AL82+AK82</f>
        <v>#VALUE!</v>
      </c>
      <c r="AN82" s="18" t="e">
        <f>3*AL82^2+AJ82</f>
        <v>#VALUE!</v>
      </c>
      <c r="AO82" s="18" t="e">
        <f t="shared" ref="AO82:AO96" si="18">AL82-AM82/AN82</f>
        <v>#VALUE!</v>
      </c>
      <c r="AP82" s="18" t="e">
        <f>-SQRT(ABS(-4*3*AJ82))/6</f>
        <v>#VALUE!</v>
      </c>
      <c r="AQ82" s="19" t="e">
        <f>SQRT(ABS(-4*3*AJ82))/6</f>
        <v>#VALUE!</v>
      </c>
      <c r="AS82" s="16" t="e">
        <f>-AS85+AS88</f>
        <v>#VALUE!</v>
      </c>
      <c r="AT82" s="17" t="e">
        <f>-AS91</f>
        <v>#VALUE!</v>
      </c>
      <c r="AU82" s="18" t="e">
        <f>IF(AND(AY85&lt;0,AZ85&lt;0),AZ82*1.2,IF(AND(AY85&gt;0,AZ85&gt;0),AY82*0.8,10))</f>
        <v>#VALUE!</v>
      </c>
      <c r="AV82" s="18" t="e">
        <f>AU82^3+AS82*AU82+AT82</f>
        <v>#VALUE!</v>
      </c>
      <c r="AW82" s="18" t="e">
        <f>3*AU82^2+AS82</f>
        <v>#VALUE!</v>
      </c>
      <c r="AX82" s="18" t="e">
        <f t="shared" ref="AX82:AX96" si="19">AU82-AV82/AW82</f>
        <v>#VALUE!</v>
      </c>
      <c r="AY82" s="18" t="e">
        <f>-SQRT(ABS(-4*3*AS82))/6</f>
        <v>#VALUE!</v>
      </c>
      <c r="AZ82" s="19" t="e">
        <f>SQRT(ABS(-4*3*AS82))/6</f>
        <v>#VALUE!</v>
      </c>
      <c r="BB82" s="16" t="e">
        <f>-BB85+BB88</f>
        <v>#VALUE!</v>
      </c>
      <c r="BC82" s="17" t="e">
        <f>-BB91</f>
        <v>#VALUE!</v>
      </c>
      <c r="BD82" s="18" t="e">
        <f>IF(AND(BH85&lt;0,BI85&lt;0),BI82*1.2,IF(AND(BH85&gt;0,BI85&gt;0),BH82*0.8,10))</f>
        <v>#VALUE!</v>
      </c>
      <c r="BE82" s="18" t="e">
        <f>BD82^3+BB82*BD82+BC82</f>
        <v>#VALUE!</v>
      </c>
      <c r="BF82" s="18" t="e">
        <f>3*BD82^2+BB82</f>
        <v>#VALUE!</v>
      </c>
      <c r="BG82" s="18" t="e">
        <f t="shared" ref="BG82:BG96" si="20">BD82-BE82/BF82</f>
        <v>#VALUE!</v>
      </c>
      <c r="BH82" s="18" t="e">
        <f>-SQRT(ABS(-4*3*BB82))/6</f>
        <v>#VALUE!</v>
      </c>
      <c r="BI82" s="19" t="e">
        <f>SQRT(ABS(-4*3*BB82))/6</f>
        <v>#VALUE!</v>
      </c>
      <c r="BK82" s="16" t="e">
        <f>-BK85+BK88</f>
        <v>#VALUE!</v>
      </c>
      <c r="BL82" s="17" t="e">
        <f>-BK91</f>
        <v>#VALUE!</v>
      </c>
      <c r="BM82" s="18" t="e">
        <f>IF(AND(BQ85&lt;0,BR85&lt;0),BR82*1.2,IF(AND(BQ85&gt;0,BR85&gt;0),BQ82*0.8,10))</f>
        <v>#VALUE!</v>
      </c>
      <c r="BN82" s="18" t="e">
        <f>BM82^3+BK82*BM82+BL82</f>
        <v>#VALUE!</v>
      </c>
      <c r="BO82" s="18" t="e">
        <f>3*BM82^2+BK82</f>
        <v>#VALUE!</v>
      </c>
      <c r="BP82" s="18" t="e">
        <f t="shared" ref="BP82:BP96" si="21">BM82-BN82/BO82</f>
        <v>#VALUE!</v>
      </c>
      <c r="BQ82" s="18" t="e">
        <f>-SQRT(ABS(-4*3*BK82))/6</f>
        <v>#VALUE!</v>
      </c>
      <c r="BR82" s="19" t="e">
        <f>SQRT(ABS(-4*3*BK82))/6</f>
        <v>#VALUE!</v>
      </c>
      <c r="BT82" s="16" t="e">
        <f>-BT85+BT88</f>
        <v>#VALUE!</v>
      </c>
      <c r="BU82" s="17" t="e">
        <f>-BT91</f>
        <v>#VALUE!</v>
      </c>
      <c r="BV82" s="18" t="e">
        <f>IF(AND(BZ85&lt;0,CA85&lt;0),CA82*1.2,IF(AND(BZ85&gt;0,CA85&gt;0),BZ82*0.8,10))</f>
        <v>#VALUE!</v>
      </c>
      <c r="BW82" s="18" t="e">
        <f>BV82^3+BT82*BV82+BU82</f>
        <v>#VALUE!</v>
      </c>
      <c r="BX82" s="18" t="e">
        <f>3*BV82^2+BT82</f>
        <v>#VALUE!</v>
      </c>
      <c r="BY82" s="18" t="e">
        <f t="shared" ref="BY82:BY96" si="22">BV82-BW82/BX82</f>
        <v>#VALUE!</v>
      </c>
      <c r="BZ82" s="18" t="e">
        <f>-SQRT(ABS(-4*3*BT82))/6</f>
        <v>#VALUE!</v>
      </c>
      <c r="CA82" s="19" t="e">
        <f>SQRT(ABS(-4*3*BT82))/6</f>
        <v>#VALUE!</v>
      </c>
    </row>
    <row r="83" spans="36:79" ht="18" hidden="1" customHeight="1" x14ac:dyDescent="0.15">
      <c r="AJ83" s="267"/>
      <c r="AK83" s="268"/>
      <c r="AL83" s="18" t="e">
        <f t="shared" ref="AL83:AL96" si="23">AO82</f>
        <v>#VALUE!</v>
      </c>
      <c r="AM83" s="18" t="e">
        <f>AL83^3+AJ82*AL83+AK82</f>
        <v>#VALUE!</v>
      </c>
      <c r="AN83" s="18" t="e">
        <f>3*AL83^2+AJ82</f>
        <v>#VALUE!</v>
      </c>
      <c r="AO83" s="18" t="e">
        <f t="shared" si="18"/>
        <v>#VALUE!</v>
      </c>
      <c r="AP83" s="6"/>
      <c r="AQ83" s="7"/>
      <c r="AS83" s="267"/>
      <c r="AT83" s="268"/>
      <c r="AU83" s="18" t="e">
        <f t="shared" ref="AU83:AU96" si="24">AX82</f>
        <v>#VALUE!</v>
      </c>
      <c r="AV83" s="18" t="e">
        <f>AU83^3+AS82*AU83+AT82</f>
        <v>#VALUE!</v>
      </c>
      <c r="AW83" s="18" t="e">
        <f>3*AU83^2+AS82</f>
        <v>#VALUE!</v>
      </c>
      <c r="AX83" s="18" t="e">
        <f t="shared" si="19"/>
        <v>#VALUE!</v>
      </c>
      <c r="AY83" s="6"/>
      <c r="AZ83" s="7"/>
      <c r="BB83" s="267"/>
      <c r="BC83" s="268"/>
      <c r="BD83" s="18" t="e">
        <f t="shared" ref="BD83:BD96" si="25">BG82</f>
        <v>#VALUE!</v>
      </c>
      <c r="BE83" s="18" t="e">
        <f>BD83^3+BB82*BD83+BC82</f>
        <v>#VALUE!</v>
      </c>
      <c r="BF83" s="18" t="e">
        <f>3*BD83^2+BB82</f>
        <v>#VALUE!</v>
      </c>
      <c r="BG83" s="18" t="e">
        <f t="shared" si="20"/>
        <v>#VALUE!</v>
      </c>
      <c r="BH83" s="6"/>
      <c r="BI83" s="7"/>
      <c r="BK83" s="267"/>
      <c r="BL83" s="268"/>
      <c r="BM83" s="18" t="e">
        <f t="shared" ref="BM83:BM96" si="26">BP82</f>
        <v>#VALUE!</v>
      </c>
      <c r="BN83" s="18" t="e">
        <f>BM83^3+BK82*BM83+BL82</f>
        <v>#VALUE!</v>
      </c>
      <c r="BO83" s="18" t="e">
        <f>3*BM83^2+BK82</f>
        <v>#VALUE!</v>
      </c>
      <c r="BP83" s="18" t="e">
        <f t="shared" si="21"/>
        <v>#VALUE!</v>
      </c>
      <c r="BQ83" s="6"/>
      <c r="BR83" s="7"/>
      <c r="BT83" s="267"/>
      <c r="BU83" s="268"/>
      <c r="BV83" s="18" t="e">
        <f t="shared" ref="BV83:BV96" si="27">BY82</f>
        <v>#VALUE!</v>
      </c>
      <c r="BW83" s="18" t="e">
        <f>BV83^3+BT82*BV83+BU82</f>
        <v>#VALUE!</v>
      </c>
      <c r="BX83" s="18" t="e">
        <f>3*BV83^2+BT82</f>
        <v>#VALUE!</v>
      </c>
      <c r="BY83" s="18" t="e">
        <f t="shared" si="22"/>
        <v>#VALUE!</v>
      </c>
      <c r="BZ83" s="6"/>
      <c r="CA83" s="7"/>
    </row>
    <row r="84" spans="36:79" ht="18" hidden="1" customHeight="1" x14ac:dyDescent="0.15">
      <c r="AJ84" s="269" t="s">
        <v>240</v>
      </c>
      <c r="AK84" s="270"/>
      <c r="AL84" s="18" t="e">
        <f t="shared" si="23"/>
        <v>#VALUE!</v>
      </c>
      <c r="AM84" s="18" t="e">
        <f>AL84^3+AJ82*AL84+AK82</f>
        <v>#VALUE!</v>
      </c>
      <c r="AN84" s="18" t="e">
        <f>3*AL84^2+AJ82</f>
        <v>#VALUE!</v>
      </c>
      <c r="AO84" s="18" t="e">
        <f t="shared" si="18"/>
        <v>#VALUE!</v>
      </c>
      <c r="AP84" s="14" t="s">
        <v>241</v>
      </c>
      <c r="AQ84" s="15" t="s">
        <v>242</v>
      </c>
      <c r="AS84" s="269" t="s">
        <v>240</v>
      </c>
      <c r="AT84" s="270"/>
      <c r="AU84" s="18" t="e">
        <f t="shared" si="24"/>
        <v>#VALUE!</v>
      </c>
      <c r="AV84" s="18" t="e">
        <f>AU84^3+AS82*AU84+AT82</f>
        <v>#VALUE!</v>
      </c>
      <c r="AW84" s="18" t="e">
        <f>3*AU84^2+AS82</f>
        <v>#VALUE!</v>
      </c>
      <c r="AX84" s="18" t="e">
        <f t="shared" si="19"/>
        <v>#VALUE!</v>
      </c>
      <c r="AY84" s="14" t="s">
        <v>241</v>
      </c>
      <c r="AZ84" s="15" t="s">
        <v>242</v>
      </c>
      <c r="BB84" s="269" t="s">
        <v>240</v>
      </c>
      <c r="BC84" s="270"/>
      <c r="BD84" s="18" t="e">
        <f t="shared" si="25"/>
        <v>#VALUE!</v>
      </c>
      <c r="BE84" s="18" t="e">
        <f>BD84^3+BB82*BD84+BC82</f>
        <v>#VALUE!</v>
      </c>
      <c r="BF84" s="18" t="e">
        <f>3*BD84^2+BB82</f>
        <v>#VALUE!</v>
      </c>
      <c r="BG84" s="18" t="e">
        <f t="shared" si="20"/>
        <v>#VALUE!</v>
      </c>
      <c r="BH84" s="14" t="s">
        <v>241</v>
      </c>
      <c r="BI84" s="15" t="s">
        <v>242</v>
      </c>
      <c r="BK84" s="269" t="s">
        <v>240</v>
      </c>
      <c r="BL84" s="270"/>
      <c r="BM84" s="18" t="e">
        <f t="shared" si="26"/>
        <v>#VALUE!</v>
      </c>
      <c r="BN84" s="18" t="e">
        <f>BM84^3+BK82*BM84+BL82</f>
        <v>#VALUE!</v>
      </c>
      <c r="BO84" s="18" t="e">
        <f>3*BM84^2+BK82</f>
        <v>#VALUE!</v>
      </c>
      <c r="BP84" s="18" t="e">
        <f t="shared" si="21"/>
        <v>#VALUE!</v>
      </c>
      <c r="BQ84" s="14" t="s">
        <v>241</v>
      </c>
      <c r="BR84" s="15" t="s">
        <v>242</v>
      </c>
      <c r="BT84" s="269" t="s">
        <v>240</v>
      </c>
      <c r="BU84" s="270"/>
      <c r="BV84" s="18" t="e">
        <f t="shared" si="27"/>
        <v>#VALUE!</v>
      </c>
      <c r="BW84" s="18" t="e">
        <f>BV84^3+BT82*BV84+BU82</f>
        <v>#VALUE!</v>
      </c>
      <c r="BX84" s="18" t="e">
        <f>3*BV84^2+BT82</f>
        <v>#VALUE!</v>
      </c>
      <c r="BY84" s="18" t="e">
        <f t="shared" si="22"/>
        <v>#VALUE!</v>
      </c>
      <c r="BZ84" s="14" t="s">
        <v>241</v>
      </c>
      <c r="CA84" s="15" t="s">
        <v>242</v>
      </c>
    </row>
    <row r="85" spans="36:79" ht="18" hidden="1" customHeight="1" x14ac:dyDescent="0.15">
      <c r="AJ85" s="269">
        <f>(AL98^2)+3*(AM98^2)*AQ98*(AQ93-15)/(8*10^7)</f>
        <v>0</v>
      </c>
      <c r="AK85" s="270"/>
      <c r="AL85" s="18" t="e">
        <f t="shared" si="23"/>
        <v>#VALUE!</v>
      </c>
      <c r="AM85" s="18" t="e">
        <f>AL85^3+AJ82*AL85+AK82</f>
        <v>#VALUE!</v>
      </c>
      <c r="AN85" s="18" t="e">
        <f>3*AL85^2+AJ82</f>
        <v>#VALUE!</v>
      </c>
      <c r="AO85" s="18" t="e">
        <f t="shared" si="18"/>
        <v>#VALUE!</v>
      </c>
      <c r="AP85" s="18" t="e">
        <f>AP82^3+AJ82*AP82+AK82</f>
        <v>#VALUE!</v>
      </c>
      <c r="AQ85" s="19" t="e">
        <f>AQ82^3+AJ82*AQ82+AK82</f>
        <v>#VALUE!</v>
      </c>
      <c r="AS85" s="269" t="e">
        <f>(AU98^2)+3*(AV98^2)*AZ98*(AZ93-15)/(8*10^7)</f>
        <v>#VALUE!</v>
      </c>
      <c r="AT85" s="270"/>
      <c r="AU85" s="18" t="e">
        <f t="shared" si="24"/>
        <v>#VALUE!</v>
      </c>
      <c r="AV85" s="18" t="e">
        <f>AU85^3+AS82*AU85+AT82</f>
        <v>#VALUE!</v>
      </c>
      <c r="AW85" s="18" t="e">
        <f>3*AU85^2+AS82</f>
        <v>#VALUE!</v>
      </c>
      <c r="AX85" s="18" t="e">
        <f t="shared" si="19"/>
        <v>#VALUE!</v>
      </c>
      <c r="AY85" s="18" t="e">
        <f>AY82^3+AS82*AY82+AT82</f>
        <v>#VALUE!</v>
      </c>
      <c r="AZ85" s="19" t="e">
        <f>AZ82^3+AS82*AZ82+AT82</f>
        <v>#VALUE!</v>
      </c>
      <c r="BB85" s="269" t="e">
        <f>(BD98^2)+3*(BE98^2)*BI98*(BI93-15)/(8*10^7)</f>
        <v>#VALUE!</v>
      </c>
      <c r="BC85" s="270"/>
      <c r="BD85" s="18" t="e">
        <f t="shared" si="25"/>
        <v>#VALUE!</v>
      </c>
      <c r="BE85" s="18" t="e">
        <f>BD85^3+BB82*BD85+BC82</f>
        <v>#VALUE!</v>
      </c>
      <c r="BF85" s="18" t="e">
        <f>3*BD85^2+BB82</f>
        <v>#VALUE!</v>
      </c>
      <c r="BG85" s="18" t="e">
        <f t="shared" si="20"/>
        <v>#VALUE!</v>
      </c>
      <c r="BH85" s="18" t="e">
        <f>BH82^3+BB82*BH82+BC82</f>
        <v>#VALUE!</v>
      </c>
      <c r="BI85" s="19" t="e">
        <f>BI82^3+BB82*BI82+BC82</f>
        <v>#VALUE!</v>
      </c>
      <c r="BK85" s="269" t="e">
        <f>(BM98^2)+3*(BN98^2)*BR98*(BR93-15)/(8*10^7)</f>
        <v>#VALUE!</v>
      </c>
      <c r="BL85" s="270"/>
      <c r="BM85" s="18" t="e">
        <f t="shared" si="26"/>
        <v>#VALUE!</v>
      </c>
      <c r="BN85" s="18" t="e">
        <f>BM85^3+BK82*BM85+BL82</f>
        <v>#VALUE!</v>
      </c>
      <c r="BO85" s="18" t="e">
        <f>3*BM85^2+BK82</f>
        <v>#VALUE!</v>
      </c>
      <c r="BP85" s="18" t="e">
        <f t="shared" si="21"/>
        <v>#VALUE!</v>
      </c>
      <c r="BQ85" s="18" t="e">
        <f>BQ82^3+BK82*BQ82+BL82</f>
        <v>#VALUE!</v>
      </c>
      <c r="BR85" s="19" t="e">
        <f>BR82^3+BK82*BR82+BL82</f>
        <v>#VALUE!</v>
      </c>
      <c r="BT85" s="269" t="e">
        <f>(BV98^2)+3*(BW98^2)*CA98*(CA93-15)/(8*10^7)</f>
        <v>#VALUE!</v>
      </c>
      <c r="BU85" s="270"/>
      <c r="BV85" s="18" t="e">
        <f t="shared" si="27"/>
        <v>#VALUE!</v>
      </c>
      <c r="BW85" s="18" t="e">
        <f>BV85^3+BT82*BV85+BU82</f>
        <v>#VALUE!</v>
      </c>
      <c r="BX85" s="18" t="e">
        <f>3*BV85^2+BT82</f>
        <v>#VALUE!</v>
      </c>
      <c r="BY85" s="18" t="e">
        <f t="shared" si="22"/>
        <v>#VALUE!</v>
      </c>
      <c r="BZ85" s="18" t="e">
        <f>BZ82^3+BT82*BZ82+BU82</f>
        <v>#VALUE!</v>
      </c>
      <c r="CA85" s="19" t="e">
        <f>CA82^3+BT82*CA82+BU82</f>
        <v>#VALUE!</v>
      </c>
    </row>
    <row r="86" spans="36:79" ht="18" hidden="1" customHeight="1" x14ac:dyDescent="0.15">
      <c r="AJ86" s="267"/>
      <c r="AK86" s="268"/>
      <c r="AL86" s="18" t="e">
        <f t="shared" si="23"/>
        <v>#VALUE!</v>
      </c>
      <c r="AM86" s="18" t="e">
        <f>AL86^3+AJ82*AL86+AK82</f>
        <v>#VALUE!</v>
      </c>
      <c r="AN86" s="18" t="e">
        <f>3*AL86^2+AJ82</f>
        <v>#VALUE!</v>
      </c>
      <c r="AO86" s="18" t="e">
        <f t="shared" si="18"/>
        <v>#VALUE!</v>
      </c>
      <c r="AP86" s="31"/>
      <c r="AQ86" s="32"/>
      <c r="AS86" s="267"/>
      <c r="AT86" s="268"/>
      <c r="AU86" s="18" t="e">
        <f t="shared" si="24"/>
        <v>#VALUE!</v>
      </c>
      <c r="AV86" s="18" t="e">
        <f>AU86^3+AS82*AU86+AT82</f>
        <v>#VALUE!</v>
      </c>
      <c r="AW86" s="18" t="e">
        <f>3*AU86^2+AS82</f>
        <v>#VALUE!</v>
      </c>
      <c r="AX86" s="18" t="e">
        <f t="shared" si="19"/>
        <v>#VALUE!</v>
      </c>
      <c r="AY86" s="31"/>
      <c r="AZ86" s="32"/>
      <c r="BB86" s="267"/>
      <c r="BC86" s="268"/>
      <c r="BD86" s="18" t="e">
        <f t="shared" si="25"/>
        <v>#VALUE!</v>
      </c>
      <c r="BE86" s="18" t="e">
        <f>BD86^3+BB82*BD86+BC82</f>
        <v>#VALUE!</v>
      </c>
      <c r="BF86" s="18" t="e">
        <f>3*BD86^2+BB82</f>
        <v>#VALUE!</v>
      </c>
      <c r="BG86" s="18" t="e">
        <f t="shared" si="20"/>
        <v>#VALUE!</v>
      </c>
      <c r="BH86" s="31"/>
      <c r="BI86" s="32"/>
      <c r="BK86" s="267"/>
      <c r="BL86" s="268"/>
      <c r="BM86" s="18" t="e">
        <f t="shared" si="26"/>
        <v>#VALUE!</v>
      </c>
      <c r="BN86" s="18" t="e">
        <f>BM86^3+BK82*BM86+BL82</f>
        <v>#VALUE!</v>
      </c>
      <c r="BO86" s="18" t="e">
        <f>3*BM86^2+BK82</f>
        <v>#VALUE!</v>
      </c>
      <c r="BP86" s="18" t="e">
        <f t="shared" si="21"/>
        <v>#VALUE!</v>
      </c>
      <c r="BQ86" s="31"/>
      <c r="BR86" s="32"/>
      <c r="BT86" s="267"/>
      <c r="BU86" s="268"/>
      <c r="BV86" s="18" t="e">
        <f t="shared" si="27"/>
        <v>#VALUE!</v>
      </c>
      <c r="BW86" s="18" t="e">
        <f>BV86^3+BT82*BV86+BU82</f>
        <v>#VALUE!</v>
      </c>
      <c r="BX86" s="18" t="e">
        <f>3*BV86^2+BT82</f>
        <v>#VALUE!</v>
      </c>
      <c r="BY86" s="18" t="e">
        <f t="shared" si="22"/>
        <v>#VALUE!</v>
      </c>
      <c r="BZ86" s="31"/>
      <c r="CA86" s="32"/>
    </row>
    <row r="87" spans="36:79" ht="18" hidden="1" customHeight="1" x14ac:dyDescent="0.15">
      <c r="AJ87" s="269" t="s">
        <v>243</v>
      </c>
      <c r="AK87" s="270"/>
      <c r="AL87" s="18" t="e">
        <f t="shared" si="23"/>
        <v>#VALUE!</v>
      </c>
      <c r="AM87" s="18" t="e">
        <f>AL87^3+AJ82*AL87+AK82</f>
        <v>#VALUE!</v>
      </c>
      <c r="AN87" s="18" t="e">
        <f>3*AL87^2+AJ82</f>
        <v>#VALUE!</v>
      </c>
      <c r="AO87" s="18" t="e">
        <f t="shared" si="18"/>
        <v>#VALUE!</v>
      </c>
      <c r="AP87" s="31"/>
      <c r="AQ87" s="32"/>
      <c r="AS87" s="269" t="s">
        <v>243</v>
      </c>
      <c r="AT87" s="270"/>
      <c r="AU87" s="18" t="e">
        <f t="shared" si="24"/>
        <v>#VALUE!</v>
      </c>
      <c r="AV87" s="18" t="e">
        <f>AU87^3+AS82*AU87+AT82</f>
        <v>#VALUE!</v>
      </c>
      <c r="AW87" s="18" t="e">
        <f>3*AU87^2+AS82</f>
        <v>#VALUE!</v>
      </c>
      <c r="AX87" s="18" t="e">
        <f t="shared" si="19"/>
        <v>#VALUE!</v>
      </c>
      <c r="AY87" s="31"/>
      <c r="AZ87" s="32"/>
      <c r="BB87" s="269" t="s">
        <v>243</v>
      </c>
      <c r="BC87" s="270"/>
      <c r="BD87" s="18" t="e">
        <f t="shared" si="25"/>
        <v>#VALUE!</v>
      </c>
      <c r="BE87" s="18" t="e">
        <f>BD87^3+BB82*BD87+BC82</f>
        <v>#VALUE!</v>
      </c>
      <c r="BF87" s="18" t="e">
        <f>3*BD87^2+BB82</f>
        <v>#VALUE!</v>
      </c>
      <c r="BG87" s="18" t="e">
        <f t="shared" si="20"/>
        <v>#VALUE!</v>
      </c>
      <c r="BH87" s="31"/>
      <c r="BI87" s="32"/>
      <c r="BK87" s="269" t="s">
        <v>243</v>
      </c>
      <c r="BL87" s="270"/>
      <c r="BM87" s="18" t="e">
        <f t="shared" si="26"/>
        <v>#VALUE!</v>
      </c>
      <c r="BN87" s="18" t="e">
        <f>BM87^3+BK82*BM87+BL82</f>
        <v>#VALUE!</v>
      </c>
      <c r="BO87" s="18" t="e">
        <f>3*BM87^2+BK82</f>
        <v>#VALUE!</v>
      </c>
      <c r="BP87" s="18" t="e">
        <f t="shared" si="21"/>
        <v>#VALUE!</v>
      </c>
      <c r="BQ87" s="31"/>
      <c r="BR87" s="32"/>
      <c r="BT87" s="269" t="s">
        <v>243</v>
      </c>
      <c r="BU87" s="270"/>
      <c r="BV87" s="18" t="e">
        <f t="shared" si="27"/>
        <v>#VALUE!</v>
      </c>
      <c r="BW87" s="18" t="e">
        <f>BV87^3+BT82*BV87+BU82</f>
        <v>#VALUE!</v>
      </c>
      <c r="BX87" s="18" t="e">
        <f>3*BV87^2+BT82</f>
        <v>#VALUE!</v>
      </c>
      <c r="BY87" s="18" t="e">
        <f t="shared" si="22"/>
        <v>#VALUE!</v>
      </c>
      <c r="BZ87" s="31"/>
      <c r="CA87" s="32"/>
    </row>
    <row r="88" spans="36:79" ht="18" hidden="1" customHeight="1" x14ac:dyDescent="0.15">
      <c r="AJ88" s="277" t="e">
        <f>3*(AM98^2)*AN98/(8*AO98*AP98)</f>
        <v>#VALUE!</v>
      </c>
      <c r="AK88" s="278"/>
      <c r="AL88" s="118" t="e">
        <f t="shared" si="23"/>
        <v>#VALUE!</v>
      </c>
      <c r="AM88" s="118" t="e">
        <f>AL88^3+AJ82*AL88+AK82</f>
        <v>#VALUE!</v>
      </c>
      <c r="AN88" s="118" t="e">
        <f>3*AL88^2+AJ82</f>
        <v>#VALUE!</v>
      </c>
      <c r="AO88" s="118" t="e">
        <f t="shared" si="18"/>
        <v>#VALUE!</v>
      </c>
      <c r="AP88" s="116"/>
      <c r="AQ88" s="117"/>
      <c r="AS88" s="277" t="e">
        <f>3*(AV98^2)*AW98/(8*AX98*AY98)</f>
        <v>#VALUE!</v>
      </c>
      <c r="AT88" s="278"/>
      <c r="AU88" s="118" t="e">
        <f t="shared" si="24"/>
        <v>#VALUE!</v>
      </c>
      <c r="AV88" s="118" t="e">
        <f>AU88^3+AS82*AU88+AT82</f>
        <v>#VALUE!</v>
      </c>
      <c r="AW88" s="118" t="e">
        <f>3*AU88^2+AS82</f>
        <v>#VALUE!</v>
      </c>
      <c r="AX88" s="118" t="e">
        <f t="shared" si="19"/>
        <v>#VALUE!</v>
      </c>
      <c r="AY88" s="116"/>
      <c r="AZ88" s="117"/>
      <c r="BB88" s="277" t="e">
        <f>3*(BE98^2)*BF98/(8*BG98*BH98)</f>
        <v>#VALUE!</v>
      </c>
      <c r="BC88" s="278"/>
      <c r="BD88" s="118" t="e">
        <f t="shared" si="25"/>
        <v>#VALUE!</v>
      </c>
      <c r="BE88" s="118" t="e">
        <f>BD88^3+BB82*BD88+BC82</f>
        <v>#VALUE!</v>
      </c>
      <c r="BF88" s="118" t="e">
        <f>3*BD88^2+BB82</f>
        <v>#VALUE!</v>
      </c>
      <c r="BG88" s="118" t="e">
        <f t="shared" si="20"/>
        <v>#VALUE!</v>
      </c>
      <c r="BH88" s="116"/>
      <c r="BI88" s="117"/>
      <c r="BK88" s="277" t="e">
        <f>3*(BN98^2)*BO98/(8*BP98*BQ98)</f>
        <v>#VALUE!</v>
      </c>
      <c r="BL88" s="278"/>
      <c r="BM88" s="118" t="e">
        <f t="shared" si="26"/>
        <v>#VALUE!</v>
      </c>
      <c r="BN88" s="118" t="e">
        <f>BM88^3+BK82*BM88+BL82</f>
        <v>#VALUE!</v>
      </c>
      <c r="BO88" s="118" t="e">
        <f>3*BM88^2+BK82</f>
        <v>#VALUE!</v>
      </c>
      <c r="BP88" s="118" t="e">
        <f t="shared" si="21"/>
        <v>#VALUE!</v>
      </c>
      <c r="BQ88" s="116"/>
      <c r="BR88" s="117"/>
      <c r="BT88" s="277" t="e">
        <f>3*(BW98^2)*BX98/(8*BY98*BZ98)</f>
        <v>#VALUE!</v>
      </c>
      <c r="BU88" s="278"/>
      <c r="BV88" s="118" t="e">
        <f t="shared" si="27"/>
        <v>#VALUE!</v>
      </c>
      <c r="BW88" s="118" t="e">
        <f>BV88^3+BT82*BV88+BU82</f>
        <v>#VALUE!</v>
      </c>
      <c r="BX88" s="118" t="e">
        <f>3*BV88^2+BT82</f>
        <v>#VALUE!</v>
      </c>
      <c r="BY88" s="118" t="e">
        <f t="shared" si="22"/>
        <v>#VALUE!</v>
      </c>
      <c r="BZ88" s="116"/>
      <c r="CA88" s="117"/>
    </row>
    <row r="89" spans="36:79" ht="18" hidden="1" customHeight="1" x14ac:dyDescent="0.15">
      <c r="AJ89" s="121"/>
      <c r="AK89" s="122"/>
      <c r="AL89" s="118" t="e">
        <f t="shared" si="23"/>
        <v>#VALUE!</v>
      </c>
      <c r="AM89" s="118" t="e">
        <f>AL89^3+AJ82*AL89+AK82</f>
        <v>#VALUE!</v>
      </c>
      <c r="AN89" s="118" t="e">
        <f>3*AL89^2+AJ82</f>
        <v>#VALUE!</v>
      </c>
      <c r="AO89" s="118" t="e">
        <f t="shared" si="18"/>
        <v>#VALUE!</v>
      </c>
      <c r="AP89" s="119"/>
      <c r="AQ89" s="120"/>
      <c r="AS89" s="121"/>
      <c r="AT89" s="122"/>
      <c r="AU89" s="118" t="e">
        <f t="shared" si="24"/>
        <v>#VALUE!</v>
      </c>
      <c r="AV89" s="118" t="e">
        <f>AU89^3+AS82*AU89+AT82</f>
        <v>#VALUE!</v>
      </c>
      <c r="AW89" s="118" t="e">
        <f>3*AU89^2+AS82</f>
        <v>#VALUE!</v>
      </c>
      <c r="AX89" s="118" t="e">
        <f t="shared" si="19"/>
        <v>#VALUE!</v>
      </c>
      <c r="AY89" s="119"/>
      <c r="AZ89" s="120"/>
      <c r="BB89" s="121"/>
      <c r="BC89" s="122"/>
      <c r="BD89" s="118" t="e">
        <f t="shared" si="25"/>
        <v>#VALUE!</v>
      </c>
      <c r="BE89" s="118" t="e">
        <f>BD89^3+BB82*BD89+BC82</f>
        <v>#VALUE!</v>
      </c>
      <c r="BF89" s="118" t="e">
        <f>3*BD89^2+BB82</f>
        <v>#VALUE!</v>
      </c>
      <c r="BG89" s="118" t="e">
        <f t="shared" si="20"/>
        <v>#VALUE!</v>
      </c>
      <c r="BH89" s="119"/>
      <c r="BI89" s="120"/>
      <c r="BK89" s="121"/>
      <c r="BL89" s="122"/>
      <c r="BM89" s="118" t="e">
        <f t="shared" si="26"/>
        <v>#VALUE!</v>
      </c>
      <c r="BN89" s="118" t="e">
        <f>BM89^3+BK82*BM89+BL82</f>
        <v>#VALUE!</v>
      </c>
      <c r="BO89" s="118" t="e">
        <f>3*BM89^2+BK82</f>
        <v>#VALUE!</v>
      </c>
      <c r="BP89" s="118" t="e">
        <f t="shared" si="21"/>
        <v>#VALUE!</v>
      </c>
      <c r="BQ89" s="119"/>
      <c r="BR89" s="120"/>
      <c r="BT89" s="121"/>
      <c r="BU89" s="122"/>
      <c r="BV89" s="118" t="e">
        <f t="shared" si="27"/>
        <v>#VALUE!</v>
      </c>
      <c r="BW89" s="118" t="e">
        <f>BV89^3+BT82*BV89+BU82</f>
        <v>#VALUE!</v>
      </c>
      <c r="BX89" s="118" t="e">
        <f>3*BV89^2+BT82</f>
        <v>#VALUE!</v>
      </c>
      <c r="BY89" s="118" t="e">
        <f t="shared" si="22"/>
        <v>#VALUE!</v>
      </c>
      <c r="BZ89" s="119"/>
      <c r="CA89" s="120"/>
    </row>
    <row r="90" spans="36:79" ht="18" hidden="1" customHeight="1" x14ac:dyDescent="0.15">
      <c r="AJ90" s="269" t="s">
        <v>244</v>
      </c>
      <c r="AK90" s="270"/>
      <c r="AL90" s="118" t="e">
        <f t="shared" si="23"/>
        <v>#VALUE!</v>
      </c>
      <c r="AM90" s="118" t="e">
        <f>AL90^3+AJ82*AL90+AK82</f>
        <v>#VALUE!</v>
      </c>
      <c r="AN90" s="118" t="e">
        <f>3*AL90^2+AJ82</f>
        <v>#VALUE!</v>
      </c>
      <c r="AO90" s="118" t="e">
        <f t="shared" si="18"/>
        <v>#VALUE!</v>
      </c>
      <c r="AP90" s="14" t="s">
        <v>245</v>
      </c>
      <c r="AQ90" s="123" t="e">
        <f>AO96</f>
        <v>#VALUE!</v>
      </c>
      <c r="AS90" s="269" t="s">
        <v>244</v>
      </c>
      <c r="AT90" s="270"/>
      <c r="AU90" s="118" t="e">
        <f t="shared" si="24"/>
        <v>#VALUE!</v>
      </c>
      <c r="AV90" s="118" t="e">
        <f>AU90^3+AS82*AU90+AT82</f>
        <v>#VALUE!</v>
      </c>
      <c r="AW90" s="118" t="e">
        <f>3*AU90^2+AS82</f>
        <v>#VALUE!</v>
      </c>
      <c r="AX90" s="118" t="e">
        <f t="shared" si="19"/>
        <v>#VALUE!</v>
      </c>
      <c r="AY90" s="14" t="s">
        <v>245</v>
      </c>
      <c r="AZ90" s="123" t="e">
        <f>AX96</f>
        <v>#VALUE!</v>
      </c>
      <c r="BB90" s="269" t="s">
        <v>244</v>
      </c>
      <c r="BC90" s="270"/>
      <c r="BD90" s="118" t="e">
        <f t="shared" si="25"/>
        <v>#VALUE!</v>
      </c>
      <c r="BE90" s="118" t="e">
        <f>BD90^3+BB82*BD90+BC82</f>
        <v>#VALUE!</v>
      </c>
      <c r="BF90" s="118" t="e">
        <f>3*BD90^2+BB82</f>
        <v>#VALUE!</v>
      </c>
      <c r="BG90" s="118" t="e">
        <f t="shared" si="20"/>
        <v>#VALUE!</v>
      </c>
      <c r="BH90" s="14" t="s">
        <v>245</v>
      </c>
      <c r="BI90" s="123" t="e">
        <f>BG96</f>
        <v>#VALUE!</v>
      </c>
      <c r="BK90" s="269" t="s">
        <v>244</v>
      </c>
      <c r="BL90" s="270"/>
      <c r="BM90" s="118" t="e">
        <f t="shared" si="26"/>
        <v>#VALUE!</v>
      </c>
      <c r="BN90" s="118" t="e">
        <f>BM90^3+BK82*BM90+BL82</f>
        <v>#VALUE!</v>
      </c>
      <c r="BO90" s="118" t="e">
        <f>3*BM90^2+BK82</f>
        <v>#VALUE!</v>
      </c>
      <c r="BP90" s="118" t="e">
        <f t="shared" si="21"/>
        <v>#VALUE!</v>
      </c>
      <c r="BQ90" s="14" t="s">
        <v>245</v>
      </c>
      <c r="BR90" s="123" t="e">
        <f>BP96</f>
        <v>#VALUE!</v>
      </c>
      <c r="BT90" s="269" t="s">
        <v>244</v>
      </c>
      <c r="BU90" s="270"/>
      <c r="BV90" s="118" t="e">
        <f t="shared" si="27"/>
        <v>#VALUE!</v>
      </c>
      <c r="BW90" s="118" t="e">
        <f>BV90^3+BT82*BV90+BU82</f>
        <v>#VALUE!</v>
      </c>
      <c r="BX90" s="118" t="e">
        <f>3*BV90^2+BT82</f>
        <v>#VALUE!</v>
      </c>
      <c r="BY90" s="118" t="e">
        <f t="shared" si="22"/>
        <v>#VALUE!</v>
      </c>
      <c r="BZ90" s="14" t="s">
        <v>245</v>
      </c>
      <c r="CA90" s="123" t="e">
        <f>BY96</f>
        <v>#VALUE!</v>
      </c>
    </row>
    <row r="91" spans="36:79" ht="18" hidden="1" customHeight="1" x14ac:dyDescent="0.15">
      <c r="AJ91" s="271" t="e">
        <f>AJ88*AL98*AJ98/AK98</f>
        <v>#VALUE!</v>
      </c>
      <c r="AK91" s="272"/>
      <c r="AL91" s="118" t="e">
        <f t="shared" si="23"/>
        <v>#VALUE!</v>
      </c>
      <c r="AM91" s="118" t="e">
        <f>AL91^3+AJ82*AL91+AK82</f>
        <v>#VALUE!</v>
      </c>
      <c r="AN91" s="118" t="e">
        <f>3*AL91^2+AJ82</f>
        <v>#VALUE!</v>
      </c>
      <c r="AO91" s="118" t="e">
        <f t="shared" si="18"/>
        <v>#VALUE!</v>
      </c>
      <c r="AP91" s="14" t="s">
        <v>246</v>
      </c>
      <c r="AQ91" s="124" t="e">
        <f>AJ98*AM98^2/(8*AO96)</f>
        <v>#VALUE!</v>
      </c>
      <c r="AS91" s="271" t="e">
        <f>AS88*AU98*AS98/AT98</f>
        <v>#VALUE!</v>
      </c>
      <c r="AT91" s="272"/>
      <c r="AU91" s="118" t="e">
        <f t="shared" si="24"/>
        <v>#VALUE!</v>
      </c>
      <c r="AV91" s="118" t="e">
        <f>AU91^3+AS82*AU91+AT82</f>
        <v>#VALUE!</v>
      </c>
      <c r="AW91" s="118" t="e">
        <f>3*AU91^2+AS82</f>
        <v>#VALUE!</v>
      </c>
      <c r="AX91" s="118" t="e">
        <f t="shared" si="19"/>
        <v>#VALUE!</v>
      </c>
      <c r="AY91" s="14" t="s">
        <v>246</v>
      </c>
      <c r="AZ91" s="124" t="e">
        <f>AS98*AV98^2/(8*AX96)</f>
        <v>#VALUE!</v>
      </c>
      <c r="BB91" s="271" t="e">
        <f>BB88*BD98*BB98/BC98</f>
        <v>#VALUE!</v>
      </c>
      <c r="BC91" s="272"/>
      <c r="BD91" s="118" t="e">
        <f t="shared" si="25"/>
        <v>#VALUE!</v>
      </c>
      <c r="BE91" s="118" t="e">
        <f>BD91^3+BB82*BD91+BC82</f>
        <v>#VALUE!</v>
      </c>
      <c r="BF91" s="118" t="e">
        <f>3*BD91^2+BB82</f>
        <v>#VALUE!</v>
      </c>
      <c r="BG91" s="118" t="e">
        <f t="shared" si="20"/>
        <v>#VALUE!</v>
      </c>
      <c r="BH91" s="14" t="s">
        <v>246</v>
      </c>
      <c r="BI91" s="124" t="e">
        <f>BB98*BE98^2/(8*BG96)</f>
        <v>#VALUE!</v>
      </c>
      <c r="BK91" s="271" t="e">
        <f>BK88*BM98*BK98/BL98</f>
        <v>#VALUE!</v>
      </c>
      <c r="BL91" s="272"/>
      <c r="BM91" s="118" t="e">
        <f t="shared" si="26"/>
        <v>#VALUE!</v>
      </c>
      <c r="BN91" s="118" t="e">
        <f>BM91^3+BK82*BM91+BL82</f>
        <v>#VALUE!</v>
      </c>
      <c r="BO91" s="118" t="e">
        <f>3*BM91^2+BK82</f>
        <v>#VALUE!</v>
      </c>
      <c r="BP91" s="118" t="e">
        <f t="shared" si="21"/>
        <v>#VALUE!</v>
      </c>
      <c r="BQ91" s="14" t="s">
        <v>246</v>
      </c>
      <c r="BR91" s="124" t="e">
        <f>BK98*BN98^2/(8*BP96)</f>
        <v>#VALUE!</v>
      </c>
      <c r="BT91" s="271" t="e">
        <f>BT88*BV98*BT98/BU98</f>
        <v>#VALUE!</v>
      </c>
      <c r="BU91" s="272"/>
      <c r="BV91" s="118" t="e">
        <f t="shared" si="27"/>
        <v>#VALUE!</v>
      </c>
      <c r="BW91" s="118" t="e">
        <f>BV91^3+BT82*BV91+BU82</f>
        <v>#VALUE!</v>
      </c>
      <c r="BX91" s="118" t="e">
        <f>3*BV91^2+BT82</f>
        <v>#VALUE!</v>
      </c>
      <c r="BY91" s="118" t="e">
        <f t="shared" si="22"/>
        <v>#VALUE!</v>
      </c>
      <c r="BZ91" s="14" t="s">
        <v>246</v>
      </c>
      <c r="CA91" s="124" t="e">
        <f>BT98*BW98^2/(8*BY96)</f>
        <v>#VALUE!</v>
      </c>
    </row>
    <row r="92" spans="36:79" ht="18" hidden="1" customHeight="1" x14ac:dyDescent="0.15">
      <c r="AJ92" s="125"/>
      <c r="AK92" s="126"/>
      <c r="AL92" s="118" t="e">
        <f t="shared" si="23"/>
        <v>#VALUE!</v>
      </c>
      <c r="AM92" s="118" t="e">
        <f>AL92^3+AJ82*AL92+AK82</f>
        <v>#VALUE!</v>
      </c>
      <c r="AN92" s="118" t="e">
        <f>3*AL92^2+AJ82</f>
        <v>#VALUE!</v>
      </c>
      <c r="AO92" s="118" t="e">
        <f t="shared" si="18"/>
        <v>#VALUE!</v>
      </c>
      <c r="AP92" s="116"/>
      <c r="AQ92" s="117"/>
      <c r="AS92" s="125"/>
      <c r="AT92" s="126"/>
      <c r="AU92" s="118" t="e">
        <f t="shared" si="24"/>
        <v>#VALUE!</v>
      </c>
      <c r="AV92" s="118" t="e">
        <f>AU92^3+AS82*AU92+AT82</f>
        <v>#VALUE!</v>
      </c>
      <c r="AW92" s="118" t="e">
        <f>3*AU92^2+AS82</f>
        <v>#VALUE!</v>
      </c>
      <c r="AX92" s="118" t="e">
        <f t="shared" si="19"/>
        <v>#VALUE!</v>
      </c>
      <c r="AY92" s="116"/>
      <c r="AZ92" s="117"/>
      <c r="BB92" s="125"/>
      <c r="BC92" s="126"/>
      <c r="BD92" s="118" t="e">
        <f t="shared" si="25"/>
        <v>#VALUE!</v>
      </c>
      <c r="BE92" s="118" t="e">
        <f>BD92^3+BB82*BD92+BC82</f>
        <v>#VALUE!</v>
      </c>
      <c r="BF92" s="118" t="e">
        <f>3*BD92^2+BB82</f>
        <v>#VALUE!</v>
      </c>
      <c r="BG92" s="118" t="e">
        <f t="shared" si="20"/>
        <v>#VALUE!</v>
      </c>
      <c r="BH92" s="116"/>
      <c r="BI92" s="117"/>
      <c r="BK92" s="125"/>
      <c r="BL92" s="126"/>
      <c r="BM92" s="118" t="e">
        <f t="shared" si="26"/>
        <v>#VALUE!</v>
      </c>
      <c r="BN92" s="118" t="e">
        <f>BM92^3+BK82*BM92+BL82</f>
        <v>#VALUE!</v>
      </c>
      <c r="BO92" s="118" t="e">
        <f>3*BM92^2+BK82</f>
        <v>#VALUE!</v>
      </c>
      <c r="BP92" s="118" t="e">
        <f t="shared" si="21"/>
        <v>#VALUE!</v>
      </c>
      <c r="BQ92" s="116"/>
      <c r="BR92" s="117"/>
      <c r="BT92" s="125"/>
      <c r="BU92" s="126"/>
      <c r="BV92" s="118" t="e">
        <f t="shared" si="27"/>
        <v>#VALUE!</v>
      </c>
      <c r="BW92" s="118" t="e">
        <f>BV92^3+BT82*BV92+BU82</f>
        <v>#VALUE!</v>
      </c>
      <c r="BX92" s="118" t="e">
        <f>3*BV92^2+BT82</f>
        <v>#VALUE!</v>
      </c>
      <c r="BY92" s="118" t="e">
        <f t="shared" si="22"/>
        <v>#VALUE!</v>
      </c>
      <c r="BZ92" s="116"/>
      <c r="CA92" s="117"/>
    </row>
    <row r="93" spans="36:79" ht="18" hidden="1" customHeight="1" x14ac:dyDescent="0.15">
      <c r="AJ93" s="125"/>
      <c r="AK93" s="126"/>
      <c r="AL93" s="118" t="e">
        <f t="shared" si="23"/>
        <v>#VALUE!</v>
      </c>
      <c r="AM93" s="118" t="e">
        <f>AL93^3+AJ82*AL93+AK82</f>
        <v>#VALUE!</v>
      </c>
      <c r="AN93" s="118" t="e">
        <f>3*AL93^2+AJ82</f>
        <v>#VALUE!</v>
      </c>
      <c r="AO93" s="118" t="e">
        <f t="shared" si="18"/>
        <v>#VALUE!</v>
      </c>
      <c r="AP93" s="112" t="s">
        <v>147</v>
      </c>
      <c r="AQ93" s="113">
        <v>-15</v>
      </c>
      <c r="AS93" s="125"/>
      <c r="AT93" s="126"/>
      <c r="AU93" s="118" t="e">
        <f t="shared" si="24"/>
        <v>#VALUE!</v>
      </c>
      <c r="AV93" s="118" t="e">
        <f>AU93^3+AS82*AU93+AT82</f>
        <v>#VALUE!</v>
      </c>
      <c r="AW93" s="118" t="e">
        <f>3*AU93^2+AS82</f>
        <v>#VALUE!</v>
      </c>
      <c r="AX93" s="118" t="e">
        <f t="shared" si="19"/>
        <v>#VALUE!</v>
      </c>
      <c r="AY93" s="112" t="s">
        <v>147</v>
      </c>
      <c r="AZ93" s="113">
        <v>-15</v>
      </c>
      <c r="BB93" s="125"/>
      <c r="BC93" s="126"/>
      <c r="BD93" s="118" t="e">
        <f t="shared" si="25"/>
        <v>#VALUE!</v>
      </c>
      <c r="BE93" s="118" t="e">
        <f>BD93^3+BB82*BD93+BC82</f>
        <v>#VALUE!</v>
      </c>
      <c r="BF93" s="118" t="e">
        <f>3*BD93^2+BB82</f>
        <v>#VALUE!</v>
      </c>
      <c r="BG93" s="118" t="e">
        <f t="shared" si="20"/>
        <v>#VALUE!</v>
      </c>
      <c r="BH93" s="112" t="s">
        <v>147</v>
      </c>
      <c r="BI93" s="113">
        <v>-15</v>
      </c>
      <c r="BK93" s="125"/>
      <c r="BL93" s="126"/>
      <c r="BM93" s="118" t="e">
        <f t="shared" si="26"/>
        <v>#VALUE!</v>
      </c>
      <c r="BN93" s="118" t="e">
        <f>BM93^3+BK82*BM93+BL82</f>
        <v>#VALUE!</v>
      </c>
      <c r="BO93" s="118" t="e">
        <f>3*BM93^2+BK82</f>
        <v>#VALUE!</v>
      </c>
      <c r="BP93" s="118" t="e">
        <f t="shared" si="21"/>
        <v>#VALUE!</v>
      </c>
      <c r="BQ93" s="112" t="s">
        <v>147</v>
      </c>
      <c r="BR93" s="113">
        <v>-15</v>
      </c>
      <c r="BT93" s="125"/>
      <c r="BU93" s="126"/>
      <c r="BV93" s="118" t="e">
        <f t="shared" si="27"/>
        <v>#VALUE!</v>
      </c>
      <c r="BW93" s="118" t="e">
        <f>BV93^3+BT82*BV93+BU82</f>
        <v>#VALUE!</v>
      </c>
      <c r="BX93" s="118" t="e">
        <f>3*BV93^2+BT82</f>
        <v>#VALUE!</v>
      </c>
      <c r="BY93" s="118" t="e">
        <f t="shared" si="22"/>
        <v>#VALUE!</v>
      </c>
      <c r="BZ93" s="112" t="s">
        <v>147</v>
      </c>
      <c r="CA93" s="113">
        <v>-15</v>
      </c>
    </row>
    <row r="94" spans="36:79" ht="18" hidden="1" customHeight="1" x14ac:dyDescent="0.15">
      <c r="AJ94" s="125"/>
      <c r="AK94" s="126"/>
      <c r="AL94" s="118" t="e">
        <f t="shared" si="23"/>
        <v>#VALUE!</v>
      </c>
      <c r="AM94" s="118" t="e">
        <f>AL94^3+AJ82*AL94+AK82</f>
        <v>#VALUE!</v>
      </c>
      <c r="AN94" s="118" t="e">
        <f>3*AL94^2+AJ82</f>
        <v>#VALUE!</v>
      </c>
      <c r="AO94" s="118" t="e">
        <f t="shared" si="18"/>
        <v>#VALUE!</v>
      </c>
      <c r="AP94" s="128" t="s">
        <v>218</v>
      </c>
      <c r="AQ94" s="32"/>
      <c r="AS94" s="125"/>
      <c r="AT94" s="126"/>
      <c r="AU94" s="118" t="e">
        <f t="shared" si="24"/>
        <v>#VALUE!</v>
      </c>
      <c r="AV94" s="118" t="e">
        <f>AU94^3+AS82*AU94+AT82</f>
        <v>#VALUE!</v>
      </c>
      <c r="AW94" s="118" t="e">
        <f>3*AU94^2+AS82</f>
        <v>#VALUE!</v>
      </c>
      <c r="AX94" s="118" t="e">
        <f t="shared" si="19"/>
        <v>#VALUE!</v>
      </c>
      <c r="AY94" s="128" t="s">
        <v>219</v>
      </c>
      <c r="AZ94" s="32"/>
      <c r="BB94" s="125"/>
      <c r="BC94" s="126"/>
      <c r="BD94" s="118" t="e">
        <f t="shared" si="25"/>
        <v>#VALUE!</v>
      </c>
      <c r="BE94" s="118" t="e">
        <f>BD94^3+BB82*BD94+BC82</f>
        <v>#VALUE!</v>
      </c>
      <c r="BF94" s="118" t="e">
        <f>3*BD94^2+BB82</f>
        <v>#VALUE!</v>
      </c>
      <c r="BG94" s="118" t="e">
        <f t="shared" si="20"/>
        <v>#VALUE!</v>
      </c>
      <c r="BH94" s="128" t="s">
        <v>220</v>
      </c>
      <c r="BI94" s="32"/>
      <c r="BK94" s="125"/>
      <c r="BL94" s="126"/>
      <c r="BM94" s="118" t="e">
        <f t="shared" si="26"/>
        <v>#VALUE!</v>
      </c>
      <c r="BN94" s="118" t="e">
        <f>BM94^3+BK82*BM94+BL82</f>
        <v>#VALUE!</v>
      </c>
      <c r="BO94" s="118" t="e">
        <f>3*BM94^2+BK82</f>
        <v>#VALUE!</v>
      </c>
      <c r="BP94" s="118" t="e">
        <f t="shared" si="21"/>
        <v>#VALUE!</v>
      </c>
      <c r="BQ94" s="128" t="s">
        <v>221</v>
      </c>
      <c r="BR94" s="32"/>
      <c r="BT94" s="125"/>
      <c r="BU94" s="126"/>
      <c r="BV94" s="118" t="e">
        <f t="shared" si="27"/>
        <v>#VALUE!</v>
      </c>
      <c r="BW94" s="118" t="e">
        <f>BV94^3+BT82*BV94+BU82</f>
        <v>#VALUE!</v>
      </c>
      <c r="BX94" s="118" t="e">
        <f>3*BV94^2+BT82</f>
        <v>#VALUE!</v>
      </c>
      <c r="BY94" s="118" t="e">
        <f t="shared" si="22"/>
        <v>#VALUE!</v>
      </c>
      <c r="BZ94" s="128" t="s">
        <v>222</v>
      </c>
      <c r="CA94" s="32"/>
    </row>
    <row r="95" spans="36:79" ht="18" hidden="1" customHeight="1" x14ac:dyDescent="0.15">
      <c r="AJ95" s="125"/>
      <c r="AK95" s="126"/>
      <c r="AL95" s="18" t="e">
        <f t="shared" si="23"/>
        <v>#VALUE!</v>
      </c>
      <c r="AM95" s="18" t="e">
        <f>AL95^3+AJ82*AL95+AK82</f>
        <v>#VALUE!</v>
      </c>
      <c r="AN95" s="18" t="e">
        <f>3*AL95^2+AJ82</f>
        <v>#VALUE!</v>
      </c>
      <c r="AO95" s="18" t="e">
        <f t="shared" si="18"/>
        <v>#VALUE!</v>
      </c>
      <c r="AP95" s="283" t="str">
        <f>M50</f>
        <v>無 着 氷 雪 時
-15[℃],50[Kg/ｍ2]</v>
      </c>
      <c r="AQ95" s="284"/>
      <c r="AS95" s="125"/>
      <c r="AT95" s="126"/>
      <c r="AU95" s="18" t="e">
        <f t="shared" si="24"/>
        <v>#VALUE!</v>
      </c>
      <c r="AV95" s="18" t="e">
        <f>AU95^3+AS82*AU95+AT82</f>
        <v>#VALUE!</v>
      </c>
      <c r="AW95" s="18" t="e">
        <f>3*AU95^2+AS82</f>
        <v>#VALUE!</v>
      </c>
      <c r="AX95" s="18" t="e">
        <f t="shared" si="19"/>
        <v>#VALUE!</v>
      </c>
      <c r="AY95" s="283" t="str">
        <f>M50</f>
        <v>無 着 氷 雪 時
-15[℃],50[Kg/ｍ2]</v>
      </c>
      <c r="AZ95" s="284"/>
      <c r="BB95" s="125"/>
      <c r="BC95" s="126"/>
      <c r="BD95" s="18" t="e">
        <f t="shared" si="25"/>
        <v>#VALUE!</v>
      </c>
      <c r="BE95" s="18" t="e">
        <f>BD95^3+BB82*BD95+BC82</f>
        <v>#VALUE!</v>
      </c>
      <c r="BF95" s="18" t="e">
        <f>3*BD95^2+BB82</f>
        <v>#VALUE!</v>
      </c>
      <c r="BG95" s="18" t="e">
        <f t="shared" si="20"/>
        <v>#VALUE!</v>
      </c>
      <c r="BH95" s="283" t="str">
        <f>M50</f>
        <v>無 着 氷 雪 時
-15[℃],50[Kg/ｍ2]</v>
      </c>
      <c r="BI95" s="284"/>
      <c r="BK95" s="125"/>
      <c r="BL95" s="126"/>
      <c r="BM95" s="18" t="e">
        <f t="shared" si="26"/>
        <v>#VALUE!</v>
      </c>
      <c r="BN95" s="18" t="e">
        <f>BM95^3+BK82*BM95+BL82</f>
        <v>#VALUE!</v>
      </c>
      <c r="BO95" s="18" t="e">
        <f>3*BM95^2+BK82</f>
        <v>#VALUE!</v>
      </c>
      <c r="BP95" s="18" t="e">
        <f t="shared" si="21"/>
        <v>#VALUE!</v>
      </c>
      <c r="BQ95" s="283" t="str">
        <f>M50</f>
        <v>無 着 氷 雪 時
-15[℃],50[Kg/ｍ2]</v>
      </c>
      <c r="BR95" s="284"/>
      <c r="BT95" s="125"/>
      <c r="BU95" s="126"/>
      <c r="BV95" s="18" t="e">
        <f t="shared" si="27"/>
        <v>#VALUE!</v>
      </c>
      <c r="BW95" s="18" t="e">
        <f>BV95^3+BT82*BV95+BU82</f>
        <v>#VALUE!</v>
      </c>
      <c r="BX95" s="18" t="e">
        <f>3*BV95^2+BT82</f>
        <v>#VALUE!</v>
      </c>
      <c r="BY95" s="18" t="e">
        <f t="shared" si="22"/>
        <v>#VALUE!</v>
      </c>
      <c r="BZ95" s="283" t="str">
        <f>M50</f>
        <v>無 着 氷 雪 時
-15[℃],50[Kg/ｍ2]</v>
      </c>
      <c r="CA95" s="284"/>
    </row>
    <row r="96" spans="36:79" ht="18" hidden="1" customHeight="1" thickBot="1" x14ac:dyDescent="0.2">
      <c r="AJ96" s="125"/>
      <c r="AK96" s="126"/>
      <c r="AL96" s="114" t="e">
        <f t="shared" si="23"/>
        <v>#VALUE!</v>
      </c>
      <c r="AM96" s="115" t="e">
        <f>AL96^3+AJ82*AL96+AK82</f>
        <v>#VALUE!</v>
      </c>
      <c r="AN96" s="115" t="e">
        <f>3*AL96^2+AJ82</f>
        <v>#VALUE!</v>
      </c>
      <c r="AO96" s="115" t="e">
        <f t="shared" si="18"/>
        <v>#VALUE!</v>
      </c>
      <c r="AP96" s="285"/>
      <c r="AQ96" s="286"/>
      <c r="AS96" s="125"/>
      <c r="AT96" s="126"/>
      <c r="AU96" s="114" t="e">
        <f t="shared" si="24"/>
        <v>#VALUE!</v>
      </c>
      <c r="AV96" s="115" t="e">
        <f>AU96^3+AS82*AU96+AT82</f>
        <v>#VALUE!</v>
      </c>
      <c r="AW96" s="115" t="e">
        <f>3*AU96^2+AS82</f>
        <v>#VALUE!</v>
      </c>
      <c r="AX96" s="115" t="e">
        <f t="shared" si="19"/>
        <v>#VALUE!</v>
      </c>
      <c r="AY96" s="285"/>
      <c r="AZ96" s="286"/>
      <c r="BB96" s="125"/>
      <c r="BC96" s="126"/>
      <c r="BD96" s="114" t="e">
        <f t="shared" si="25"/>
        <v>#VALUE!</v>
      </c>
      <c r="BE96" s="115" t="e">
        <f>BD96^3+BB82*BD96+BC82</f>
        <v>#VALUE!</v>
      </c>
      <c r="BF96" s="115" t="e">
        <f>3*BD96^2+BB82</f>
        <v>#VALUE!</v>
      </c>
      <c r="BG96" s="115" t="e">
        <f t="shared" si="20"/>
        <v>#VALUE!</v>
      </c>
      <c r="BH96" s="285"/>
      <c r="BI96" s="286"/>
      <c r="BK96" s="125"/>
      <c r="BL96" s="126"/>
      <c r="BM96" s="114" t="e">
        <f t="shared" si="26"/>
        <v>#VALUE!</v>
      </c>
      <c r="BN96" s="115" t="e">
        <f>BM96^3+BK82*BM96+BL82</f>
        <v>#VALUE!</v>
      </c>
      <c r="BO96" s="115" t="e">
        <f>3*BM96^2+BK82</f>
        <v>#VALUE!</v>
      </c>
      <c r="BP96" s="115" t="e">
        <f t="shared" si="21"/>
        <v>#VALUE!</v>
      </c>
      <c r="BQ96" s="285"/>
      <c r="BR96" s="286"/>
      <c r="BT96" s="125"/>
      <c r="BU96" s="126"/>
      <c r="BV96" s="114" t="e">
        <f t="shared" si="27"/>
        <v>#VALUE!</v>
      </c>
      <c r="BW96" s="115" t="e">
        <f>BV96^3+BT82*BV96+BU82</f>
        <v>#VALUE!</v>
      </c>
      <c r="BX96" s="115" t="e">
        <f>3*BV96^2+BT82</f>
        <v>#VALUE!</v>
      </c>
      <c r="BY96" s="115" t="e">
        <f t="shared" si="22"/>
        <v>#VALUE!</v>
      </c>
      <c r="BZ96" s="285"/>
      <c r="CA96" s="286"/>
    </row>
    <row r="97" spans="36:79" ht="18" hidden="1" customHeight="1" x14ac:dyDescent="0.15">
      <c r="AJ97" s="62" t="s">
        <v>223</v>
      </c>
      <c r="AK97" s="12" t="s">
        <v>224</v>
      </c>
      <c r="AL97" s="12" t="s">
        <v>225</v>
      </c>
      <c r="AM97" s="12" t="s">
        <v>226</v>
      </c>
      <c r="AN97" s="12" t="s">
        <v>227</v>
      </c>
      <c r="AO97" s="63" t="s">
        <v>228</v>
      </c>
      <c r="AP97" s="12" t="s">
        <v>229</v>
      </c>
      <c r="AQ97" s="13" t="s">
        <v>230</v>
      </c>
      <c r="AS97" s="62" t="s">
        <v>223</v>
      </c>
      <c r="AT97" s="12" t="s">
        <v>224</v>
      </c>
      <c r="AU97" s="12" t="s">
        <v>225</v>
      </c>
      <c r="AV97" s="12" t="s">
        <v>226</v>
      </c>
      <c r="AW97" s="12" t="s">
        <v>227</v>
      </c>
      <c r="AX97" s="63" t="s">
        <v>228</v>
      </c>
      <c r="AY97" s="12" t="s">
        <v>229</v>
      </c>
      <c r="AZ97" s="13" t="s">
        <v>230</v>
      </c>
      <c r="BB97" s="62" t="s">
        <v>223</v>
      </c>
      <c r="BC97" s="12" t="s">
        <v>224</v>
      </c>
      <c r="BD97" s="12" t="s">
        <v>225</v>
      </c>
      <c r="BE97" s="12" t="s">
        <v>226</v>
      </c>
      <c r="BF97" s="12" t="s">
        <v>227</v>
      </c>
      <c r="BG97" s="63" t="s">
        <v>228</v>
      </c>
      <c r="BH97" s="12" t="s">
        <v>229</v>
      </c>
      <c r="BI97" s="13" t="s">
        <v>230</v>
      </c>
      <c r="BK97" s="62" t="s">
        <v>223</v>
      </c>
      <c r="BL97" s="12" t="s">
        <v>224</v>
      </c>
      <c r="BM97" s="12" t="s">
        <v>225</v>
      </c>
      <c r="BN97" s="12" t="s">
        <v>226</v>
      </c>
      <c r="BO97" s="12" t="s">
        <v>227</v>
      </c>
      <c r="BP97" s="63" t="s">
        <v>228</v>
      </c>
      <c r="BQ97" s="12" t="s">
        <v>229</v>
      </c>
      <c r="BR97" s="13" t="s">
        <v>230</v>
      </c>
      <c r="BT97" s="62" t="s">
        <v>223</v>
      </c>
      <c r="BU97" s="12" t="s">
        <v>224</v>
      </c>
      <c r="BV97" s="12" t="s">
        <v>225</v>
      </c>
      <c r="BW97" s="12" t="s">
        <v>226</v>
      </c>
      <c r="BX97" s="12" t="s">
        <v>227</v>
      </c>
      <c r="BY97" s="63" t="s">
        <v>228</v>
      </c>
      <c r="BZ97" s="12" t="s">
        <v>229</v>
      </c>
      <c r="CA97" s="13" t="s">
        <v>230</v>
      </c>
    </row>
    <row r="98" spans="36:79" ht="18" hidden="1" customHeight="1" thickBot="1" x14ac:dyDescent="0.2">
      <c r="AJ98" s="107" t="str">
        <f>Q23</f>
        <v/>
      </c>
      <c r="AK98" s="108" t="e">
        <f>M23+U23</f>
        <v>#VALUE!</v>
      </c>
      <c r="AL98" s="108">
        <f>IF(C33="",L19*(F19/40)^2,C33)</f>
        <v>0</v>
      </c>
      <c r="AM98" s="108">
        <f>F19</f>
        <v>0</v>
      </c>
      <c r="AN98" s="108" t="e">
        <f>AK78*1600/(8*L19)</f>
        <v>#VALUE!</v>
      </c>
      <c r="AO98" s="109">
        <f>V23</f>
        <v>0</v>
      </c>
      <c r="AP98" s="108" t="str">
        <f>L23</f>
        <v/>
      </c>
      <c r="AQ98" s="110">
        <f>W23</f>
        <v>0</v>
      </c>
      <c r="AS98" s="107" t="str">
        <f>IF(B24="使用電線-2",Q24,IF(B25="使用電線-2",Q25,IF(B26="使用電線-2",Q26,IF(B27="使用電線-2",Q27,IF(B28="使用電線-2",Q28,IF(B29="使用電線-2",Q29,""))))))</f>
        <v/>
      </c>
      <c r="AT98" s="108" t="str">
        <f>IF(B24="使用電線-2",M24+U24,IF(B25="使用電線-2",M25+U25,IF(B26="使用電線-2",M26+U26,IF(B27="使用電線-2",M27+U27,IF(B28="使用電線-2",M28+U28,IF(B29="使用電線-2",M29+U29,""))))))</f>
        <v/>
      </c>
      <c r="AU98" s="108">
        <f>IF(I33="",L19*(F19/40)^2,I33)</f>
        <v>0</v>
      </c>
      <c r="AV98" s="108">
        <f>F19</f>
        <v>0</v>
      </c>
      <c r="AW98" s="108" t="e">
        <f>AT98*1600/(8*L19)</f>
        <v>#VALUE!</v>
      </c>
      <c r="AX98" s="109" t="str">
        <f>IF(B24="使用電線-2",V24,IF(B25="使用電線-2",V25,IF(B26="使用電線-2",V26,IF(B27="使用電線-2",V27,IF(B28="使用電線-2",V28,IF(B29="使用電線-2",V29,""))))))</f>
        <v/>
      </c>
      <c r="AY98" s="108" t="str">
        <f>IF(B24="使用電線-2",L24,IF(B25="使用電線-2",L25,IF(B26="使用電線-2",L26,IF(B27="使用電線-2",L27,IF(B28="使用電線-2",L28,IF(B29="使用電線-2",L29,""))))))</f>
        <v/>
      </c>
      <c r="AZ98" s="110" t="str">
        <f>IF(B24="使用電線-2",W24,IF(B25="使用電線-2",W25,IF(B26="使用電線-2",W26,IF(B27="使用電線-2",W27,IF(B28="使用電線-2",W28,IF(B29="使用電線-2",W29,""))))))</f>
        <v/>
      </c>
      <c r="BB98" s="107" t="str">
        <f>IF(B25="使用電線-3",Q25,IF(B26="使用電線-3",Q26,IF(B27="使用電線-3",Q27,IF(B28="使用電線-3",Q28,IF(B29="使用電線-3",Q29,"")))))</f>
        <v/>
      </c>
      <c r="BC98" s="108" t="str">
        <f>IF(B25="使用電線-3",M25+U25,IF(B26="使用電線-3",M26+U26,IF(B27="使用電線-3",M27+U27,IF(B28="使用電線-3",M28+U28,IF(B29="使用電線-3",M29+U29,"")))))</f>
        <v/>
      </c>
      <c r="BD98" s="108">
        <f>IF(N33="",L19*(F19/40)^2,N33)</f>
        <v>0</v>
      </c>
      <c r="BE98" s="108">
        <f>F19</f>
        <v>0</v>
      </c>
      <c r="BF98" s="108" t="e">
        <f>BC98*1600/(8*L19)</f>
        <v>#VALUE!</v>
      </c>
      <c r="BG98" s="109" t="str">
        <f>IF(B25="使用電線-3",V25,IF(B26="使用電線-3",V26,IF(B27="使用電線-3",V27,IF(B28="使用電線-3",V28,IF(B29="使用電線-3",V29,"")))))</f>
        <v/>
      </c>
      <c r="BH98" s="108" t="str">
        <f>IF(B25="使用電線-3",L25,IF(B26="使用電線-3",L26,IF(B27="使用電線-3",L27,IF(B28="使用電線-3",L28,IF(B29="使用電線-3",L29,"")))))</f>
        <v/>
      </c>
      <c r="BI98" s="110" t="str">
        <f>IF(B25="使用電線-3",W25,IF(B26="使用電線-3",W26,IF(B27="使用電線-3",W27,IF(B28="使用電線-3",W28,IF(B29="使用電線-3",W29,"")))))</f>
        <v/>
      </c>
      <c r="BK98" s="107" t="str">
        <f>IF(B26="使用電線-4",Q26,IF(B27="使用電線-4",Q27,IF(B28="使用電線-4",Q28,IF(B29="使用電線-4",Q29,""))))</f>
        <v/>
      </c>
      <c r="BL98" s="108" t="str">
        <f>IF(B26="使用電線-4",M26+U26,IF(B27="使用電線-4",M27+U27,IF(B28="使用電線-4",M28+U28,IF(B29="使用電線-4",M29+U29,""))))</f>
        <v/>
      </c>
      <c r="BM98" s="108">
        <f>IF(C47="",L19*(F19/40)^2,C47)</f>
        <v>0</v>
      </c>
      <c r="BN98" s="108">
        <f>F19</f>
        <v>0</v>
      </c>
      <c r="BO98" s="127" t="e">
        <f>BL98*1600/(8*L19)</f>
        <v>#VALUE!</v>
      </c>
      <c r="BP98" s="109" t="str">
        <f>IF(B26="使用電線-4",V26,IF(B27="使用電線-4",V27,IF(B28="使用電線-4",V28,IF(B29="使用電線-4",V29,""))))</f>
        <v/>
      </c>
      <c r="BQ98" s="108" t="str">
        <f>IF(B26="使用電線-4",L26,IF(B27="使用電線-4",L27,IF(B28="使用電線-4",L28,IF(B29="使用電線-4",L29,""))))</f>
        <v/>
      </c>
      <c r="BR98" s="110" t="str">
        <f>IF(B26="使用電線-4",W26,IF(B27="使用電線-4",W27,IF(B28="使用電線-4",W28,IF(B29="使用電線-4",W29,""))))</f>
        <v/>
      </c>
      <c r="BT98" s="107" t="str">
        <f>IF(B27="使用電線-5",Q27,IF(B28="使用電線-5",Q28,IF(B29="使用電線-5",Q29,"")))</f>
        <v/>
      </c>
      <c r="BU98" s="108" t="str">
        <f>IF(B27="使用電線-5",M27+U27,IF(B28="使用電線-5",M28+U28,IF(B29="使用電線-5",M29+U29,"")))</f>
        <v/>
      </c>
      <c r="BV98" s="108">
        <f>IF(I47="",L19*(F19/40)^2,I47)</f>
        <v>0</v>
      </c>
      <c r="BW98" s="108">
        <f>F19</f>
        <v>0</v>
      </c>
      <c r="BX98" s="127" t="e">
        <f>BU98*1600/(8*L19)</f>
        <v>#VALUE!</v>
      </c>
      <c r="BY98" s="109" t="str">
        <f>IF(B27="使用電線-5",V27,IF(B28="使用電線-5",V28,IF(B29="使用電線-5",V29,"")))</f>
        <v/>
      </c>
      <c r="BZ98" s="108" t="str">
        <f>IF(B27="使用電線-5",L27,IF(B28="使用電線-5",L28,IF(B29="使用電線-5",L29,"")))</f>
        <v/>
      </c>
      <c r="CA98" s="110" t="str">
        <f>IF(B27="使用電線-5",W27,IF(B28="使用電線-5",W28,IF(B29="使用電線-5",W29,"")))</f>
        <v/>
      </c>
    </row>
    <row r="99" spans="36:79" ht="18" hidden="1" customHeight="1" x14ac:dyDescent="0.15"/>
    <row r="100" spans="36:79" ht="18" hidden="1" customHeight="1" thickBot="1" x14ac:dyDescent="0.2"/>
    <row r="101" spans="36:79" ht="18" hidden="1" customHeight="1" x14ac:dyDescent="0.15">
      <c r="AJ101" s="2" t="s">
        <v>232</v>
      </c>
      <c r="AK101" s="111" t="s">
        <v>233</v>
      </c>
      <c r="AL101" s="12" t="s">
        <v>234</v>
      </c>
      <c r="AM101" s="12" t="s">
        <v>235</v>
      </c>
      <c r="AN101" s="12" t="s">
        <v>236</v>
      </c>
      <c r="AO101" s="12" t="s">
        <v>237</v>
      </c>
      <c r="AP101" s="12" t="s">
        <v>238</v>
      </c>
      <c r="AQ101" s="13" t="s">
        <v>239</v>
      </c>
      <c r="AS101" s="2" t="s">
        <v>232</v>
      </c>
      <c r="AT101" s="111" t="s">
        <v>233</v>
      </c>
      <c r="AU101" s="12" t="s">
        <v>234</v>
      </c>
      <c r="AV101" s="12" t="s">
        <v>235</v>
      </c>
      <c r="AW101" s="12" t="s">
        <v>236</v>
      </c>
      <c r="AX101" s="12" t="s">
        <v>237</v>
      </c>
      <c r="AY101" s="12" t="s">
        <v>238</v>
      </c>
      <c r="AZ101" s="13" t="s">
        <v>239</v>
      </c>
      <c r="BB101" s="2" t="s">
        <v>232</v>
      </c>
      <c r="BC101" s="111" t="s">
        <v>233</v>
      </c>
      <c r="BD101" s="12" t="s">
        <v>234</v>
      </c>
      <c r="BE101" s="12" t="s">
        <v>235</v>
      </c>
      <c r="BF101" s="12" t="s">
        <v>236</v>
      </c>
      <c r="BG101" s="12" t="s">
        <v>237</v>
      </c>
      <c r="BH101" s="12" t="s">
        <v>238</v>
      </c>
      <c r="BI101" s="13" t="s">
        <v>239</v>
      </c>
      <c r="BK101" s="2" t="s">
        <v>232</v>
      </c>
      <c r="BL101" s="111" t="s">
        <v>233</v>
      </c>
      <c r="BM101" s="12" t="s">
        <v>234</v>
      </c>
      <c r="BN101" s="12" t="s">
        <v>235</v>
      </c>
      <c r="BO101" s="12" t="s">
        <v>236</v>
      </c>
      <c r="BP101" s="12" t="s">
        <v>237</v>
      </c>
      <c r="BQ101" s="12" t="s">
        <v>238</v>
      </c>
      <c r="BR101" s="13" t="s">
        <v>239</v>
      </c>
      <c r="BT101" s="2" t="s">
        <v>232</v>
      </c>
      <c r="BU101" s="111" t="s">
        <v>233</v>
      </c>
      <c r="BV101" s="12" t="s">
        <v>234</v>
      </c>
      <c r="BW101" s="12" t="s">
        <v>235</v>
      </c>
      <c r="BX101" s="12" t="s">
        <v>236</v>
      </c>
      <c r="BY101" s="12" t="s">
        <v>237</v>
      </c>
      <c r="BZ101" s="12" t="s">
        <v>238</v>
      </c>
      <c r="CA101" s="13" t="s">
        <v>239</v>
      </c>
    </row>
    <row r="102" spans="36:79" ht="18" hidden="1" customHeight="1" x14ac:dyDescent="0.15">
      <c r="AJ102" s="16" t="e">
        <f>-AJ105+AJ108</f>
        <v>#VALUE!</v>
      </c>
      <c r="AK102" s="17" t="e">
        <f>-AJ111</f>
        <v>#VALUE!</v>
      </c>
      <c r="AL102" s="18" t="e">
        <f>IF(AND(AP105&lt;0,AQ105&lt;0),AQ102*1.2,IF(AND(AP105&gt;0,AQ105&gt;0),AP102*0.8,10))</f>
        <v>#VALUE!</v>
      </c>
      <c r="AM102" s="18" t="e">
        <f>AL102^3+AJ102*AL102+AK102</f>
        <v>#VALUE!</v>
      </c>
      <c r="AN102" s="18" t="e">
        <f>3*AL102^2+AJ102</f>
        <v>#VALUE!</v>
      </c>
      <c r="AO102" s="18" t="e">
        <f t="shared" ref="AO102:AO116" si="28">AL102-AM102/AN102</f>
        <v>#VALUE!</v>
      </c>
      <c r="AP102" s="18" t="e">
        <f>-SQRT(ABS(-4*3*AJ102))/6</f>
        <v>#VALUE!</v>
      </c>
      <c r="AQ102" s="19" t="e">
        <f>SQRT(ABS(-4*3*AJ102))/6</f>
        <v>#VALUE!</v>
      </c>
      <c r="AS102" s="16" t="e">
        <f>-AS105+AS108</f>
        <v>#VALUE!</v>
      </c>
      <c r="AT102" s="17" t="e">
        <f>-AS111</f>
        <v>#VALUE!</v>
      </c>
      <c r="AU102" s="18" t="e">
        <f>IF(AND(AY105&lt;0,AZ105&lt;0),AZ102*1.2,IF(AND(AY105&gt;0,AZ105&gt;0),AY102*0.8,10))</f>
        <v>#VALUE!</v>
      </c>
      <c r="AV102" s="18" t="e">
        <f>AU102^3+AS102*AU102+AT102</f>
        <v>#VALUE!</v>
      </c>
      <c r="AW102" s="18" t="e">
        <f>3*AU102^2+AS102</f>
        <v>#VALUE!</v>
      </c>
      <c r="AX102" s="18" t="e">
        <f t="shared" ref="AX102:AX116" si="29">AU102-AV102/AW102</f>
        <v>#VALUE!</v>
      </c>
      <c r="AY102" s="18" t="e">
        <f>-SQRT(ABS(-4*3*AS102))/6</f>
        <v>#VALUE!</v>
      </c>
      <c r="AZ102" s="19" t="e">
        <f>SQRT(ABS(-4*3*AS102))/6</f>
        <v>#VALUE!</v>
      </c>
      <c r="BB102" s="16" t="e">
        <f>-BB105+BB108</f>
        <v>#VALUE!</v>
      </c>
      <c r="BC102" s="17" t="e">
        <f>-BB111</f>
        <v>#VALUE!</v>
      </c>
      <c r="BD102" s="18" t="e">
        <f>IF(AND(BH105&lt;0,BI105&lt;0),BI102*1.2,IF(AND(BH105&gt;0,BI105&gt;0),BH102*0.8,10))</f>
        <v>#VALUE!</v>
      </c>
      <c r="BE102" s="18" t="e">
        <f>BD102^3+BB102*BD102+BC102</f>
        <v>#VALUE!</v>
      </c>
      <c r="BF102" s="18" t="e">
        <f>3*BD102^2+BB102</f>
        <v>#VALUE!</v>
      </c>
      <c r="BG102" s="18" t="e">
        <f t="shared" ref="BG102:BG116" si="30">BD102-BE102/BF102</f>
        <v>#VALUE!</v>
      </c>
      <c r="BH102" s="18" t="e">
        <f>-SQRT(ABS(-4*3*BB102))/6</f>
        <v>#VALUE!</v>
      </c>
      <c r="BI102" s="19" t="e">
        <f>SQRT(ABS(-4*3*BB102))/6</f>
        <v>#VALUE!</v>
      </c>
      <c r="BK102" s="16" t="e">
        <f>-BK105+BK108</f>
        <v>#VALUE!</v>
      </c>
      <c r="BL102" s="17" t="e">
        <f>-BK111</f>
        <v>#VALUE!</v>
      </c>
      <c r="BM102" s="18" t="e">
        <f>IF(AND(BQ105&lt;0,BR105&lt;0),BR102*1.2,IF(AND(BQ105&gt;0,BR105&gt;0),BQ102*0.8,10))</f>
        <v>#VALUE!</v>
      </c>
      <c r="BN102" s="18" t="e">
        <f>BM102^3+BK102*BM102+BL102</f>
        <v>#VALUE!</v>
      </c>
      <c r="BO102" s="18" t="e">
        <f>3*BM102^2+BK102</f>
        <v>#VALUE!</v>
      </c>
      <c r="BP102" s="18" t="e">
        <f t="shared" ref="BP102:BP116" si="31">BM102-BN102/BO102</f>
        <v>#VALUE!</v>
      </c>
      <c r="BQ102" s="18" t="e">
        <f>-SQRT(ABS(-4*3*BK102))/6</f>
        <v>#VALUE!</v>
      </c>
      <c r="BR102" s="19" t="e">
        <f>SQRT(ABS(-4*3*BK102))/6</f>
        <v>#VALUE!</v>
      </c>
      <c r="BT102" s="16" t="e">
        <f>-BT105+BT108</f>
        <v>#VALUE!</v>
      </c>
      <c r="BU102" s="17" t="e">
        <f>-BT111</f>
        <v>#VALUE!</v>
      </c>
      <c r="BV102" s="18" t="e">
        <f>IF(AND(BZ105&lt;0,CA105&lt;0),CA102*1.2,IF(AND(BZ105&gt;0,CA105&gt;0),BZ102*0.8,10))</f>
        <v>#VALUE!</v>
      </c>
      <c r="BW102" s="18" t="e">
        <f>BV102^3+BT102*BV102+BU102</f>
        <v>#VALUE!</v>
      </c>
      <c r="BX102" s="18" t="e">
        <f>3*BV102^2+BT102</f>
        <v>#VALUE!</v>
      </c>
      <c r="BY102" s="18" t="e">
        <f t="shared" ref="BY102:BY116" si="32">BV102-BW102/BX102</f>
        <v>#VALUE!</v>
      </c>
      <c r="BZ102" s="18" t="e">
        <f>-SQRT(ABS(-4*3*BT102))/6</f>
        <v>#VALUE!</v>
      </c>
      <c r="CA102" s="19" t="e">
        <f>SQRT(ABS(-4*3*BT102))/6</f>
        <v>#VALUE!</v>
      </c>
    </row>
    <row r="103" spans="36:79" ht="18" hidden="1" customHeight="1" x14ac:dyDescent="0.15">
      <c r="AJ103" s="267"/>
      <c r="AK103" s="268"/>
      <c r="AL103" s="18" t="e">
        <f t="shared" ref="AL103:AL116" si="33">AO102</f>
        <v>#VALUE!</v>
      </c>
      <c r="AM103" s="18" t="e">
        <f>AL103^3+AJ102*AL103+AK102</f>
        <v>#VALUE!</v>
      </c>
      <c r="AN103" s="18" t="e">
        <f>3*AL103^2+AJ102</f>
        <v>#VALUE!</v>
      </c>
      <c r="AO103" s="18" t="e">
        <f t="shared" si="28"/>
        <v>#VALUE!</v>
      </c>
      <c r="AP103" s="6"/>
      <c r="AQ103" s="7"/>
      <c r="AS103" s="267"/>
      <c r="AT103" s="268"/>
      <c r="AU103" s="18" t="e">
        <f t="shared" ref="AU103:AU116" si="34">AX102</f>
        <v>#VALUE!</v>
      </c>
      <c r="AV103" s="18" t="e">
        <f>AU103^3+AS102*AU103+AT102</f>
        <v>#VALUE!</v>
      </c>
      <c r="AW103" s="18" t="e">
        <f>3*AU103^2+AS102</f>
        <v>#VALUE!</v>
      </c>
      <c r="AX103" s="18" t="e">
        <f t="shared" si="29"/>
        <v>#VALUE!</v>
      </c>
      <c r="AY103" s="6"/>
      <c r="AZ103" s="7"/>
      <c r="BB103" s="267"/>
      <c r="BC103" s="268"/>
      <c r="BD103" s="18" t="e">
        <f t="shared" ref="BD103:BD116" si="35">BG102</f>
        <v>#VALUE!</v>
      </c>
      <c r="BE103" s="18" t="e">
        <f>BD103^3+BB102*BD103+BC102</f>
        <v>#VALUE!</v>
      </c>
      <c r="BF103" s="18" t="e">
        <f>3*BD103^2+BB102</f>
        <v>#VALUE!</v>
      </c>
      <c r="BG103" s="18" t="e">
        <f t="shared" si="30"/>
        <v>#VALUE!</v>
      </c>
      <c r="BH103" s="6"/>
      <c r="BI103" s="7"/>
      <c r="BK103" s="267"/>
      <c r="BL103" s="268"/>
      <c r="BM103" s="18" t="e">
        <f t="shared" ref="BM103:BM116" si="36">BP102</f>
        <v>#VALUE!</v>
      </c>
      <c r="BN103" s="18" t="e">
        <f>BM103^3+BK102*BM103+BL102</f>
        <v>#VALUE!</v>
      </c>
      <c r="BO103" s="18" t="e">
        <f>3*BM103^2+BK102</f>
        <v>#VALUE!</v>
      </c>
      <c r="BP103" s="18" t="e">
        <f t="shared" si="31"/>
        <v>#VALUE!</v>
      </c>
      <c r="BQ103" s="6"/>
      <c r="BR103" s="7"/>
      <c r="BT103" s="267"/>
      <c r="BU103" s="268"/>
      <c r="BV103" s="18" t="e">
        <f t="shared" ref="BV103:BV116" si="37">BY102</f>
        <v>#VALUE!</v>
      </c>
      <c r="BW103" s="18" t="e">
        <f>BV103^3+BT102*BV103+BU102</f>
        <v>#VALUE!</v>
      </c>
      <c r="BX103" s="18" t="e">
        <f>3*BV103^2+BT102</f>
        <v>#VALUE!</v>
      </c>
      <c r="BY103" s="18" t="e">
        <f t="shared" si="32"/>
        <v>#VALUE!</v>
      </c>
      <c r="BZ103" s="6"/>
      <c r="CA103" s="7"/>
    </row>
    <row r="104" spans="36:79" ht="18" hidden="1" customHeight="1" x14ac:dyDescent="0.15">
      <c r="AJ104" s="269" t="s">
        <v>240</v>
      </c>
      <c r="AK104" s="270"/>
      <c r="AL104" s="18" t="e">
        <f t="shared" si="33"/>
        <v>#VALUE!</v>
      </c>
      <c r="AM104" s="18" t="e">
        <f>AL104^3+AJ102*AL104+AK102</f>
        <v>#VALUE!</v>
      </c>
      <c r="AN104" s="18" t="e">
        <f>3*AL104^2+AJ102</f>
        <v>#VALUE!</v>
      </c>
      <c r="AO104" s="18" t="e">
        <f t="shared" si="28"/>
        <v>#VALUE!</v>
      </c>
      <c r="AP104" s="14" t="s">
        <v>241</v>
      </c>
      <c r="AQ104" s="15" t="s">
        <v>242</v>
      </c>
      <c r="AS104" s="269" t="s">
        <v>240</v>
      </c>
      <c r="AT104" s="270"/>
      <c r="AU104" s="18" t="e">
        <f t="shared" si="34"/>
        <v>#VALUE!</v>
      </c>
      <c r="AV104" s="18" t="e">
        <f>AU104^3+AS102*AU104+AT102</f>
        <v>#VALUE!</v>
      </c>
      <c r="AW104" s="18" t="e">
        <f>3*AU104^2+AS102</f>
        <v>#VALUE!</v>
      </c>
      <c r="AX104" s="18" t="e">
        <f t="shared" si="29"/>
        <v>#VALUE!</v>
      </c>
      <c r="AY104" s="14" t="s">
        <v>241</v>
      </c>
      <c r="AZ104" s="15" t="s">
        <v>242</v>
      </c>
      <c r="BB104" s="269" t="s">
        <v>240</v>
      </c>
      <c r="BC104" s="270"/>
      <c r="BD104" s="18" t="e">
        <f t="shared" si="35"/>
        <v>#VALUE!</v>
      </c>
      <c r="BE104" s="18" t="e">
        <f>BD104^3+BB102*BD104+BC102</f>
        <v>#VALUE!</v>
      </c>
      <c r="BF104" s="18" t="e">
        <f>3*BD104^2+BB102</f>
        <v>#VALUE!</v>
      </c>
      <c r="BG104" s="18" t="e">
        <f t="shared" si="30"/>
        <v>#VALUE!</v>
      </c>
      <c r="BH104" s="14" t="s">
        <v>241</v>
      </c>
      <c r="BI104" s="15" t="s">
        <v>242</v>
      </c>
      <c r="BK104" s="269" t="s">
        <v>240</v>
      </c>
      <c r="BL104" s="270"/>
      <c r="BM104" s="18" t="e">
        <f t="shared" si="36"/>
        <v>#VALUE!</v>
      </c>
      <c r="BN104" s="18" t="e">
        <f>BM104^3+BK102*BM104+BL102</f>
        <v>#VALUE!</v>
      </c>
      <c r="BO104" s="18" t="e">
        <f>3*BM104^2+BK102</f>
        <v>#VALUE!</v>
      </c>
      <c r="BP104" s="18" t="e">
        <f t="shared" si="31"/>
        <v>#VALUE!</v>
      </c>
      <c r="BQ104" s="14" t="s">
        <v>241</v>
      </c>
      <c r="BR104" s="15" t="s">
        <v>242</v>
      </c>
      <c r="BT104" s="269" t="s">
        <v>240</v>
      </c>
      <c r="BU104" s="270"/>
      <c r="BV104" s="18" t="e">
        <f t="shared" si="37"/>
        <v>#VALUE!</v>
      </c>
      <c r="BW104" s="18" t="e">
        <f>BV104^3+BT102*BV104+BU102</f>
        <v>#VALUE!</v>
      </c>
      <c r="BX104" s="18" t="e">
        <f>3*BV104^2+BT102</f>
        <v>#VALUE!</v>
      </c>
      <c r="BY104" s="18" t="e">
        <f t="shared" si="32"/>
        <v>#VALUE!</v>
      </c>
      <c r="BZ104" s="14" t="s">
        <v>241</v>
      </c>
      <c r="CA104" s="15" t="s">
        <v>242</v>
      </c>
    </row>
    <row r="105" spans="36:79" ht="18" hidden="1" customHeight="1" x14ac:dyDescent="0.15">
      <c r="AJ105" s="269">
        <f>(AL118^2)+3*(AM118^2)*AQ118*(AQ113-15)/(8*10^7)</f>
        <v>0</v>
      </c>
      <c r="AK105" s="270"/>
      <c r="AL105" s="18" t="e">
        <f t="shared" si="33"/>
        <v>#VALUE!</v>
      </c>
      <c r="AM105" s="18" t="e">
        <f>AL105^3+AJ102*AL105+AK102</f>
        <v>#VALUE!</v>
      </c>
      <c r="AN105" s="18" t="e">
        <f>3*AL105^2+AJ102</f>
        <v>#VALUE!</v>
      </c>
      <c r="AO105" s="18" t="e">
        <f t="shared" si="28"/>
        <v>#VALUE!</v>
      </c>
      <c r="AP105" s="18" t="e">
        <f>AP102^3+AJ102*AP102+AK102</f>
        <v>#VALUE!</v>
      </c>
      <c r="AQ105" s="19" t="e">
        <f>AQ102^3+AJ102*AQ102+AK102</f>
        <v>#VALUE!</v>
      </c>
      <c r="AS105" s="269" t="e">
        <f>(AU118^2)+3*(AV118^2)*AZ118*(AZ113-15)/(8*10^7)</f>
        <v>#VALUE!</v>
      </c>
      <c r="AT105" s="270"/>
      <c r="AU105" s="18" t="e">
        <f t="shared" si="34"/>
        <v>#VALUE!</v>
      </c>
      <c r="AV105" s="18" t="e">
        <f>AU105^3+AS102*AU105+AT102</f>
        <v>#VALUE!</v>
      </c>
      <c r="AW105" s="18" t="e">
        <f>3*AU105^2+AS102</f>
        <v>#VALUE!</v>
      </c>
      <c r="AX105" s="18" t="e">
        <f t="shared" si="29"/>
        <v>#VALUE!</v>
      </c>
      <c r="AY105" s="18" t="e">
        <f>AY102^3+AS102*AY102+AT102</f>
        <v>#VALUE!</v>
      </c>
      <c r="AZ105" s="19" t="e">
        <f>AZ102^3+AS102*AZ102+AT102</f>
        <v>#VALUE!</v>
      </c>
      <c r="BB105" s="269" t="e">
        <f>(BD118^2)+3*(BE118^2)*BI118*(BI113-15)/(8*10^7)</f>
        <v>#VALUE!</v>
      </c>
      <c r="BC105" s="270"/>
      <c r="BD105" s="18" t="e">
        <f t="shared" si="35"/>
        <v>#VALUE!</v>
      </c>
      <c r="BE105" s="18" t="e">
        <f>BD105^3+BB102*BD105+BC102</f>
        <v>#VALUE!</v>
      </c>
      <c r="BF105" s="18" t="e">
        <f>3*BD105^2+BB102</f>
        <v>#VALUE!</v>
      </c>
      <c r="BG105" s="18" t="e">
        <f t="shared" si="30"/>
        <v>#VALUE!</v>
      </c>
      <c r="BH105" s="18" t="e">
        <f>BH102^3+BB102*BH102+BC102</f>
        <v>#VALUE!</v>
      </c>
      <c r="BI105" s="19" t="e">
        <f>BI102^3+BB102*BI102+BC102</f>
        <v>#VALUE!</v>
      </c>
      <c r="BK105" s="269" t="e">
        <f>(BM118^2)+3*(BN118^2)*BR118*(BR113-15)/(8*10^7)</f>
        <v>#VALUE!</v>
      </c>
      <c r="BL105" s="270"/>
      <c r="BM105" s="18" t="e">
        <f t="shared" si="36"/>
        <v>#VALUE!</v>
      </c>
      <c r="BN105" s="18" t="e">
        <f>BM105^3+BK102*BM105+BL102</f>
        <v>#VALUE!</v>
      </c>
      <c r="BO105" s="18" t="e">
        <f>3*BM105^2+BK102</f>
        <v>#VALUE!</v>
      </c>
      <c r="BP105" s="18" t="e">
        <f t="shared" si="31"/>
        <v>#VALUE!</v>
      </c>
      <c r="BQ105" s="18" t="e">
        <f>BQ102^3+BK102*BQ102+BL102</f>
        <v>#VALUE!</v>
      </c>
      <c r="BR105" s="19" t="e">
        <f>BR102^3+BK102*BR102+BL102</f>
        <v>#VALUE!</v>
      </c>
      <c r="BT105" s="269" t="e">
        <f>(BV118^2)+3*(BW118^2)*CA118*(CA113-15)/(8*10^7)</f>
        <v>#VALUE!</v>
      </c>
      <c r="BU105" s="270"/>
      <c r="BV105" s="18" t="e">
        <f t="shared" si="37"/>
        <v>#VALUE!</v>
      </c>
      <c r="BW105" s="18" t="e">
        <f>BV105^3+BT102*BV105+BU102</f>
        <v>#VALUE!</v>
      </c>
      <c r="BX105" s="18" t="e">
        <f>3*BV105^2+BT102</f>
        <v>#VALUE!</v>
      </c>
      <c r="BY105" s="18" t="e">
        <f t="shared" si="32"/>
        <v>#VALUE!</v>
      </c>
      <c r="BZ105" s="18" t="e">
        <f>BZ102^3+BT102*BZ102+BU102</f>
        <v>#VALUE!</v>
      </c>
      <c r="CA105" s="19" t="e">
        <f>CA102^3+BT102*CA102+BU102</f>
        <v>#VALUE!</v>
      </c>
    </row>
    <row r="106" spans="36:79" ht="18" hidden="1" customHeight="1" x14ac:dyDescent="0.15">
      <c r="AJ106" s="267"/>
      <c r="AK106" s="268"/>
      <c r="AL106" s="18" t="e">
        <f t="shared" si="33"/>
        <v>#VALUE!</v>
      </c>
      <c r="AM106" s="18" t="e">
        <f>AL106^3+AJ102*AL106+AK102</f>
        <v>#VALUE!</v>
      </c>
      <c r="AN106" s="18" t="e">
        <f>3*AL106^2+AJ102</f>
        <v>#VALUE!</v>
      </c>
      <c r="AO106" s="18" t="e">
        <f t="shared" si="28"/>
        <v>#VALUE!</v>
      </c>
      <c r="AP106" s="31"/>
      <c r="AQ106" s="32"/>
      <c r="AS106" s="267"/>
      <c r="AT106" s="268"/>
      <c r="AU106" s="18" t="e">
        <f t="shared" si="34"/>
        <v>#VALUE!</v>
      </c>
      <c r="AV106" s="18" t="e">
        <f>AU106^3+AS102*AU106+AT102</f>
        <v>#VALUE!</v>
      </c>
      <c r="AW106" s="18" t="e">
        <f>3*AU106^2+AS102</f>
        <v>#VALUE!</v>
      </c>
      <c r="AX106" s="18" t="e">
        <f t="shared" si="29"/>
        <v>#VALUE!</v>
      </c>
      <c r="AY106" s="31"/>
      <c r="AZ106" s="32"/>
      <c r="BB106" s="267"/>
      <c r="BC106" s="268"/>
      <c r="BD106" s="18" t="e">
        <f t="shared" si="35"/>
        <v>#VALUE!</v>
      </c>
      <c r="BE106" s="18" t="e">
        <f>BD106^3+BB102*BD106+BC102</f>
        <v>#VALUE!</v>
      </c>
      <c r="BF106" s="18" t="e">
        <f>3*BD106^2+BB102</f>
        <v>#VALUE!</v>
      </c>
      <c r="BG106" s="18" t="e">
        <f t="shared" si="30"/>
        <v>#VALUE!</v>
      </c>
      <c r="BH106" s="31"/>
      <c r="BI106" s="32"/>
      <c r="BK106" s="267"/>
      <c r="BL106" s="268"/>
      <c r="BM106" s="18" t="e">
        <f t="shared" si="36"/>
        <v>#VALUE!</v>
      </c>
      <c r="BN106" s="18" t="e">
        <f>BM106^3+BK102*BM106+BL102</f>
        <v>#VALUE!</v>
      </c>
      <c r="BO106" s="18" t="e">
        <f>3*BM106^2+BK102</f>
        <v>#VALUE!</v>
      </c>
      <c r="BP106" s="18" t="e">
        <f t="shared" si="31"/>
        <v>#VALUE!</v>
      </c>
      <c r="BQ106" s="31"/>
      <c r="BR106" s="32"/>
      <c r="BT106" s="267"/>
      <c r="BU106" s="268"/>
      <c r="BV106" s="18" t="e">
        <f t="shared" si="37"/>
        <v>#VALUE!</v>
      </c>
      <c r="BW106" s="18" t="e">
        <f>BV106^3+BT102*BV106+BU102</f>
        <v>#VALUE!</v>
      </c>
      <c r="BX106" s="18" t="e">
        <f>3*BV106^2+BT102</f>
        <v>#VALUE!</v>
      </c>
      <c r="BY106" s="18" t="e">
        <f t="shared" si="32"/>
        <v>#VALUE!</v>
      </c>
      <c r="BZ106" s="31"/>
      <c r="CA106" s="32"/>
    </row>
    <row r="107" spans="36:79" ht="18" hidden="1" customHeight="1" x14ac:dyDescent="0.15">
      <c r="AJ107" s="269" t="s">
        <v>243</v>
      </c>
      <c r="AK107" s="270"/>
      <c r="AL107" s="18" t="e">
        <f t="shared" si="33"/>
        <v>#VALUE!</v>
      </c>
      <c r="AM107" s="18" t="e">
        <f>AL107^3+AJ102*AL107+AK102</f>
        <v>#VALUE!</v>
      </c>
      <c r="AN107" s="18" t="e">
        <f>3*AL107^2+AJ102</f>
        <v>#VALUE!</v>
      </c>
      <c r="AO107" s="18" t="e">
        <f t="shared" si="28"/>
        <v>#VALUE!</v>
      </c>
      <c r="AP107" s="31"/>
      <c r="AQ107" s="32"/>
      <c r="AS107" s="269" t="s">
        <v>243</v>
      </c>
      <c r="AT107" s="270"/>
      <c r="AU107" s="18" t="e">
        <f t="shared" si="34"/>
        <v>#VALUE!</v>
      </c>
      <c r="AV107" s="18" t="e">
        <f>AU107^3+AS102*AU107+AT102</f>
        <v>#VALUE!</v>
      </c>
      <c r="AW107" s="18" t="e">
        <f>3*AU107^2+AS102</f>
        <v>#VALUE!</v>
      </c>
      <c r="AX107" s="18" t="e">
        <f t="shared" si="29"/>
        <v>#VALUE!</v>
      </c>
      <c r="AY107" s="31"/>
      <c r="AZ107" s="32"/>
      <c r="BB107" s="269" t="s">
        <v>243</v>
      </c>
      <c r="BC107" s="270"/>
      <c r="BD107" s="18" t="e">
        <f t="shared" si="35"/>
        <v>#VALUE!</v>
      </c>
      <c r="BE107" s="18" t="e">
        <f>BD107^3+BB102*BD107+BC102</f>
        <v>#VALUE!</v>
      </c>
      <c r="BF107" s="18" t="e">
        <f>3*BD107^2+BB102</f>
        <v>#VALUE!</v>
      </c>
      <c r="BG107" s="18" t="e">
        <f t="shared" si="30"/>
        <v>#VALUE!</v>
      </c>
      <c r="BH107" s="31"/>
      <c r="BI107" s="32"/>
      <c r="BK107" s="269" t="s">
        <v>243</v>
      </c>
      <c r="BL107" s="270"/>
      <c r="BM107" s="18" t="e">
        <f t="shared" si="36"/>
        <v>#VALUE!</v>
      </c>
      <c r="BN107" s="18" t="e">
        <f>BM107^3+BK102*BM107+BL102</f>
        <v>#VALUE!</v>
      </c>
      <c r="BO107" s="18" t="e">
        <f>3*BM107^2+BK102</f>
        <v>#VALUE!</v>
      </c>
      <c r="BP107" s="18" t="e">
        <f t="shared" si="31"/>
        <v>#VALUE!</v>
      </c>
      <c r="BQ107" s="31"/>
      <c r="BR107" s="32"/>
      <c r="BT107" s="269" t="s">
        <v>243</v>
      </c>
      <c r="BU107" s="270"/>
      <c r="BV107" s="18" t="e">
        <f t="shared" si="37"/>
        <v>#VALUE!</v>
      </c>
      <c r="BW107" s="18" t="e">
        <f>BV107^3+BT102*BV107+BU102</f>
        <v>#VALUE!</v>
      </c>
      <c r="BX107" s="18" t="e">
        <f>3*BV107^2+BT102</f>
        <v>#VALUE!</v>
      </c>
      <c r="BY107" s="18" t="e">
        <f t="shared" si="32"/>
        <v>#VALUE!</v>
      </c>
      <c r="BZ107" s="31"/>
      <c r="CA107" s="32"/>
    </row>
    <row r="108" spans="36:79" ht="18" hidden="1" customHeight="1" x14ac:dyDescent="0.15">
      <c r="AJ108" s="277" t="e">
        <f>3*(AM118^2)*AN118/(8*AO118*AP118)</f>
        <v>#VALUE!</v>
      </c>
      <c r="AK108" s="278"/>
      <c r="AL108" s="118" t="e">
        <f t="shared" si="33"/>
        <v>#VALUE!</v>
      </c>
      <c r="AM108" s="118" t="e">
        <f>AL108^3+AJ102*AL108+AK102</f>
        <v>#VALUE!</v>
      </c>
      <c r="AN108" s="118" t="e">
        <f>3*AL108^2+AJ102</f>
        <v>#VALUE!</v>
      </c>
      <c r="AO108" s="118" t="e">
        <f t="shared" si="28"/>
        <v>#VALUE!</v>
      </c>
      <c r="AP108" s="116"/>
      <c r="AQ108" s="117"/>
      <c r="AS108" s="277" t="e">
        <f>3*(AV118^2)*AW118/(8*AX118*AY118)</f>
        <v>#VALUE!</v>
      </c>
      <c r="AT108" s="278"/>
      <c r="AU108" s="118" t="e">
        <f t="shared" si="34"/>
        <v>#VALUE!</v>
      </c>
      <c r="AV108" s="118" t="e">
        <f>AU108^3+AS102*AU108+AT102</f>
        <v>#VALUE!</v>
      </c>
      <c r="AW108" s="118" t="e">
        <f>3*AU108^2+AS102</f>
        <v>#VALUE!</v>
      </c>
      <c r="AX108" s="118" t="e">
        <f t="shared" si="29"/>
        <v>#VALUE!</v>
      </c>
      <c r="AY108" s="116"/>
      <c r="AZ108" s="117"/>
      <c r="BB108" s="277" t="e">
        <f>3*(BE118^2)*BF118/(8*BG118*BH118)</f>
        <v>#VALUE!</v>
      </c>
      <c r="BC108" s="278"/>
      <c r="BD108" s="118" t="e">
        <f t="shared" si="35"/>
        <v>#VALUE!</v>
      </c>
      <c r="BE108" s="118" t="e">
        <f>BD108^3+BB102*BD108+BC102</f>
        <v>#VALUE!</v>
      </c>
      <c r="BF108" s="118" t="e">
        <f>3*BD108^2+BB102</f>
        <v>#VALUE!</v>
      </c>
      <c r="BG108" s="118" t="e">
        <f t="shared" si="30"/>
        <v>#VALUE!</v>
      </c>
      <c r="BH108" s="116"/>
      <c r="BI108" s="117"/>
      <c r="BK108" s="277" t="e">
        <f>3*(BN118^2)*BO118/(8*BP118*BQ118)</f>
        <v>#VALUE!</v>
      </c>
      <c r="BL108" s="278"/>
      <c r="BM108" s="118" t="e">
        <f t="shared" si="36"/>
        <v>#VALUE!</v>
      </c>
      <c r="BN108" s="118" t="e">
        <f>BM108^3+BK102*BM108+BL102</f>
        <v>#VALUE!</v>
      </c>
      <c r="BO108" s="118" t="e">
        <f>3*BM108^2+BK102</f>
        <v>#VALUE!</v>
      </c>
      <c r="BP108" s="118" t="e">
        <f t="shared" si="31"/>
        <v>#VALUE!</v>
      </c>
      <c r="BQ108" s="116"/>
      <c r="BR108" s="117"/>
      <c r="BT108" s="277" t="e">
        <f>3*(BW118^2)*BX118/(8*BY118*BZ118)</f>
        <v>#VALUE!</v>
      </c>
      <c r="BU108" s="278"/>
      <c r="BV108" s="118" t="e">
        <f t="shared" si="37"/>
        <v>#VALUE!</v>
      </c>
      <c r="BW108" s="118" t="e">
        <f>BV108^3+BT102*BV108+BU102</f>
        <v>#VALUE!</v>
      </c>
      <c r="BX108" s="118" t="e">
        <f>3*BV108^2+BT102</f>
        <v>#VALUE!</v>
      </c>
      <c r="BY108" s="118" t="e">
        <f t="shared" si="32"/>
        <v>#VALUE!</v>
      </c>
      <c r="BZ108" s="116"/>
      <c r="CA108" s="117"/>
    </row>
    <row r="109" spans="36:79" ht="18" hidden="1" customHeight="1" x14ac:dyDescent="0.15">
      <c r="AJ109" s="121"/>
      <c r="AK109" s="122"/>
      <c r="AL109" s="118" t="e">
        <f t="shared" si="33"/>
        <v>#VALUE!</v>
      </c>
      <c r="AM109" s="118" t="e">
        <f>AL109^3+AJ102*AL109+AK102</f>
        <v>#VALUE!</v>
      </c>
      <c r="AN109" s="118" t="e">
        <f>3*AL109^2+AJ102</f>
        <v>#VALUE!</v>
      </c>
      <c r="AO109" s="118" t="e">
        <f t="shared" si="28"/>
        <v>#VALUE!</v>
      </c>
      <c r="AP109" s="119"/>
      <c r="AQ109" s="120"/>
      <c r="AS109" s="121"/>
      <c r="AT109" s="122"/>
      <c r="AU109" s="118" t="e">
        <f t="shared" si="34"/>
        <v>#VALUE!</v>
      </c>
      <c r="AV109" s="118" t="e">
        <f>AU109^3+AS102*AU109+AT102</f>
        <v>#VALUE!</v>
      </c>
      <c r="AW109" s="118" t="e">
        <f>3*AU109^2+AS102</f>
        <v>#VALUE!</v>
      </c>
      <c r="AX109" s="118" t="e">
        <f t="shared" si="29"/>
        <v>#VALUE!</v>
      </c>
      <c r="AY109" s="119"/>
      <c r="AZ109" s="120"/>
      <c r="BB109" s="121"/>
      <c r="BC109" s="122"/>
      <c r="BD109" s="118" t="e">
        <f t="shared" si="35"/>
        <v>#VALUE!</v>
      </c>
      <c r="BE109" s="118" t="e">
        <f>BD109^3+BB102*BD109+BC102</f>
        <v>#VALUE!</v>
      </c>
      <c r="BF109" s="118" t="e">
        <f>3*BD109^2+BB102</f>
        <v>#VALUE!</v>
      </c>
      <c r="BG109" s="118" t="e">
        <f t="shared" si="30"/>
        <v>#VALUE!</v>
      </c>
      <c r="BH109" s="119"/>
      <c r="BI109" s="120"/>
      <c r="BK109" s="121"/>
      <c r="BL109" s="122"/>
      <c r="BM109" s="118" t="e">
        <f t="shared" si="36"/>
        <v>#VALUE!</v>
      </c>
      <c r="BN109" s="118" t="e">
        <f>BM109^3+BK102*BM109+BL102</f>
        <v>#VALUE!</v>
      </c>
      <c r="BO109" s="118" t="e">
        <f>3*BM109^2+BK102</f>
        <v>#VALUE!</v>
      </c>
      <c r="BP109" s="118" t="e">
        <f t="shared" si="31"/>
        <v>#VALUE!</v>
      </c>
      <c r="BQ109" s="119"/>
      <c r="BR109" s="120"/>
      <c r="BT109" s="121"/>
      <c r="BU109" s="122"/>
      <c r="BV109" s="118" t="e">
        <f t="shared" si="37"/>
        <v>#VALUE!</v>
      </c>
      <c r="BW109" s="118" t="e">
        <f>BV109^3+BT102*BV109+BU102</f>
        <v>#VALUE!</v>
      </c>
      <c r="BX109" s="118" t="e">
        <f>3*BV109^2+BT102</f>
        <v>#VALUE!</v>
      </c>
      <c r="BY109" s="118" t="e">
        <f t="shared" si="32"/>
        <v>#VALUE!</v>
      </c>
      <c r="BZ109" s="119"/>
      <c r="CA109" s="120"/>
    </row>
    <row r="110" spans="36:79" ht="18" hidden="1" customHeight="1" x14ac:dyDescent="0.15">
      <c r="AJ110" s="269" t="s">
        <v>244</v>
      </c>
      <c r="AK110" s="270"/>
      <c r="AL110" s="118" t="e">
        <f t="shared" si="33"/>
        <v>#VALUE!</v>
      </c>
      <c r="AM110" s="118" t="e">
        <f>AL110^3+AJ102*AL110+AK102</f>
        <v>#VALUE!</v>
      </c>
      <c r="AN110" s="118" t="e">
        <f>3*AL110^2+AJ102</f>
        <v>#VALUE!</v>
      </c>
      <c r="AO110" s="118" t="e">
        <f t="shared" si="28"/>
        <v>#VALUE!</v>
      </c>
      <c r="AP110" s="14" t="s">
        <v>245</v>
      </c>
      <c r="AQ110" s="123" t="e">
        <f>AO116</f>
        <v>#VALUE!</v>
      </c>
      <c r="AS110" s="269" t="s">
        <v>244</v>
      </c>
      <c r="AT110" s="270"/>
      <c r="AU110" s="118" t="e">
        <f t="shared" si="34"/>
        <v>#VALUE!</v>
      </c>
      <c r="AV110" s="118" t="e">
        <f>AU110^3+AS102*AU110+AT102</f>
        <v>#VALUE!</v>
      </c>
      <c r="AW110" s="118" t="e">
        <f>3*AU110^2+AS102</f>
        <v>#VALUE!</v>
      </c>
      <c r="AX110" s="118" t="e">
        <f t="shared" si="29"/>
        <v>#VALUE!</v>
      </c>
      <c r="AY110" s="14" t="s">
        <v>245</v>
      </c>
      <c r="AZ110" s="123" t="e">
        <f>AX116</f>
        <v>#VALUE!</v>
      </c>
      <c r="BB110" s="269" t="s">
        <v>244</v>
      </c>
      <c r="BC110" s="270"/>
      <c r="BD110" s="118" t="e">
        <f t="shared" si="35"/>
        <v>#VALUE!</v>
      </c>
      <c r="BE110" s="118" t="e">
        <f>BD110^3+BB102*BD110+BC102</f>
        <v>#VALUE!</v>
      </c>
      <c r="BF110" s="118" t="e">
        <f>3*BD110^2+BB102</f>
        <v>#VALUE!</v>
      </c>
      <c r="BG110" s="118" t="e">
        <f t="shared" si="30"/>
        <v>#VALUE!</v>
      </c>
      <c r="BH110" s="14" t="s">
        <v>245</v>
      </c>
      <c r="BI110" s="123" t="e">
        <f>BG116</f>
        <v>#VALUE!</v>
      </c>
      <c r="BK110" s="269" t="s">
        <v>244</v>
      </c>
      <c r="BL110" s="270"/>
      <c r="BM110" s="118" t="e">
        <f t="shared" si="36"/>
        <v>#VALUE!</v>
      </c>
      <c r="BN110" s="118" t="e">
        <f>BM110^3+BK102*BM110+BL102</f>
        <v>#VALUE!</v>
      </c>
      <c r="BO110" s="118" t="e">
        <f>3*BM110^2+BK102</f>
        <v>#VALUE!</v>
      </c>
      <c r="BP110" s="118" t="e">
        <f t="shared" si="31"/>
        <v>#VALUE!</v>
      </c>
      <c r="BQ110" s="14" t="s">
        <v>245</v>
      </c>
      <c r="BR110" s="123" t="e">
        <f>BP116</f>
        <v>#VALUE!</v>
      </c>
      <c r="BT110" s="269" t="s">
        <v>244</v>
      </c>
      <c r="BU110" s="270"/>
      <c r="BV110" s="118" t="e">
        <f t="shared" si="37"/>
        <v>#VALUE!</v>
      </c>
      <c r="BW110" s="118" t="e">
        <f>BV110^3+BT102*BV110+BU102</f>
        <v>#VALUE!</v>
      </c>
      <c r="BX110" s="118" t="e">
        <f>3*BV110^2+BT102</f>
        <v>#VALUE!</v>
      </c>
      <c r="BY110" s="118" t="e">
        <f t="shared" si="32"/>
        <v>#VALUE!</v>
      </c>
      <c r="BZ110" s="14" t="s">
        <v>245</v>
      </c>
      <c r="CA110" s="123" t="e">
        <f>BY116</f>
        <v>#VALUE!</v>
      </c>
    </row>
    <row r="111" spans="36:79" ht="18" hidden="1" customHeight="1" x14ac:dyDescent="0.15">
      <c r="AJ111" s="271" t="e">
        <f>AJ108*AL118*AJ118/AK118</f>
        <v>#VALUE!</v>
      </c>
      <c r="AK111" s="272"/>
      <c r="AL111" s="118" t="e">
        <f t="shared" si="33"/>
        <v>#VALUE!</v>
      </c>
      <c r="AM111" s="118" t="e">
        <f>AL111^3+AJ102*AL111+AK102</f>
        <v>#VALUE!</v>
      </c>
      <c r="AN111" s="118" t="e">
        <f>3*AL111^2+AJ102</f>
        <v>#VALUE!</v>
      </c>
      <c r="AO111" s="118" t="e">
        <f t="shared" si="28"/>
        <v>#VALUE!</v>
      </c>
      <c r="AP111" s="14" t="s">
        <v>246</v>
      </c>
      <c r="AQ111" s="124" t="e">
        <f>AJ118*AM118^2/(8*AO116)</f>
        <v>#VALUE!</v>
      </c>
      <c r="AS111" s="271" t="e">
        <f>AS108*AU118*AS118/AT118</f>
        <v>#VALUE!</v>
      </c>
      <c r="AT111" s="272"/>
      <c r="AU111" s="118" t="e">
        <f t="shared" si="34"/>
        <v>#VALUE!</v>
      </c>
      <c r="AV111" s="118" t="e">
        <f>AU111^3+AS102*AU111+AT102</f>
        <v>#VALUE!</v>
      </c>
      <c r="AW111" s="118" t="e">
        <f>3*AU111^2+AS102</f>
        <v>#VALUE!</v>
      </c>
      <c r="AX111" s="118" t="e">
        <f t="shared" si="29"/>
        <v>#VALUE!</v>
      </c>
      <c r="AY111" s="14" t="s">
        <v>246</v>
      </c>
      <c r="AZ111" s="124" t="e">
        <f>AS118*AV118^2/(8*AX116)</f>
        <v>#VALUE!</v>
      </c>
      <c r="BB111" s="271" t="e">
        <f>BB108*BD118*BB118/BC118</f>
        <v>#VALUE!</v>
      </c>
      <c r="BC111" s="272"/>
      <c r="BD111" s="118" t="e">
        <f t="shared" si="35"/>
        <v>#VALUE!</v>
      </c>
      <c r="BE111" s="118" t="e">
        <f>BD111^3+BB102*BD111+BC102</f>
        <v>#VALUE!</v>
      </c>
      <c r="BF111" s="118" t="e">
        <f>3*BD111^2+BB102</f>
        <v>#VALUE!</v>
      </c>
      <c r="BG111" s="118" t="e">
        <f t="shared" si="30"/>
        <v>#VALUE!</v>
      </c>
      <c r="BH111" s="14" t="s">
        <v>246</v>
      </c>
      <c r="BI111" s="124" t="e">
        <f>BB118*BE118^2/(8*BG116)</f>
        <v>#VALUE!</v>
      </c>
      <c r="BK111" s="271" t="e">
        <f>BK108*BM118*BK118/BL118</f>
        <v>#VALUE!</v>
      </c>
      <c r="BL111" s="272"/>
      <c r="BM111" s="118" t="e">
        <f t="shared" si="36"/>
        <v>#VALUE!</v>
      </c>
      <c r="BN111" s="118" t="e">
        <f>BM111^3+BK102*BM111+BL102</f>
        <v>#VALUE!</v>
      </c>
      <c r="BO111" s="118" t="e">
        <f>3*BM111^2+BK102</f>
        <v>#VALUE!</v>
      </c>
      <c r="BP111" s="118" t="e">
        <f t="shared" si="31"/>
        <v>#VALUE!</v>
      </c>
      <c r="BQ111" s="14" t="s">
        <v>246</v>
      </c>
      <c r="BR111" s="124" t="e">
        <f>BK118*BN118^2/(8*BP116)</f>
        <v>#VALUE!</v>
      </c>
      <c r="BT111" s="271" t="e">
        <f>BT108*BV118*BT118/BU118</f>
        <v>#VALUE!</v>
      </c>
      <c r="BU111" s="272"/>
      <c r="BV111" s="118" t="e">
        <f t="shared" si="37"/>
        <v>#VALUE!</v>
      </c>
      <c r="BW111" s="118" t="e">
        <f>BV111^3+BT102*BV111+BU102</f>
        <v>#VALUE!</v>
      </c>
      <c r="BX111" s="118" t="e">
        <f>3*BV111^2+BT102</f>
        <v>#VALUE!</v>
      </c>
      <c r="BY111" s="118" t="e">
        <f t="shared" si="32"/>
        <v>#VALUE!</v>
      </c>
      <c r="BZ111" s="14" t="s">
        <v>246</v>
      </c>
      <c r="CA111" s="124" t="e">
        <f>BT118*BW118^2/(8*BY116)</f>
        <v>#VALUE!</v>
      </c>
    </row>
    <row r="112" spans="36:79" ht="18" hidden="1" customHeight="1" x14ac:dyDescent="0.15">
      <c r="AJ112" s="125"/>
      <c r="AK112" s="126"/>
      <c r="AL112" s="118" t="e">
        <f t="shared" si="33"/>
        <v>#VALUE!</v>
      </c>
      <c r="AM112" s="118" t="e">
        <f>AL112^3+AJ102*AL112+AK102</f>
        <v>#VALUE!</v>
      </c>
      <c r="AN112" s="118" t="e">
        <f>3*AL112^2+AJ102</f>
        <v>#VALUE!</v>
      </c>
      <c r="AO112" s="118" t="e">
        <f t="shared" si="28"/>
        <v>#VALUE!</v>
      </c>
      <c r="AP112" s="116"/>
      <c r="AQ112" s="117"/>
      <c r="AS112" s="125"/>
      <c r="AT112" s="126"/>
      <c r="AU112" s="118" t="e">
        <f t="shared" si="34"/>
        <v>#VALUE!</v>
      </c>
      <c r="AV112" s="118" t="e">
        <f>AU112^3+AS102*AU112+AT102</f>
        <v>#VALUE!</v>
      </c>
      <c r="AW112" s="118" t="e">
        <f>3*AU112^2+AS102</f>
        <v>#VALUE!</v>
      </c>
      <c r="AX112" s="118" t="e">
        <f t="shared" si="29"/>
        <v>#VALUE!</v>
      </c>
      <c r="AY112" s="116"/>
      <c r="AZ112" s="117"/>
      <c r="BB112" s="125"/>
      <c r="BC112" s="126"/>
      <c r="BD112" s="118" t="e">
        <f t="shared" si="35"/>
        <v>#VALUE!</v>
      </c>
      <c r="BE112" s="118" t="e">
        <f>BD112^3+BB102*BD112+BC102</f>
        <v>#VALUE!</v>
      </c>
      <c r="BF112" s="118" t="e">
        <f>3*BD112^2+BB102</f>
        <v>#VALUE!</v>
      </c>
      <c r="BG112" s="118" t="e">
        <f t="shared" si="30"/>
        <v>#VALUE!</v>
      </c>
      <c r="BH112" s="116"/>
      <c r="BI112" s="117"/>
      <c r="BK112" s="125"/>
      <c r="BL112" s="126"/>
      <c r="BM112" s="118" t="e">
        <f t="shared" si="36"/>
        <v>#VALUE!</v>
      </c>
      <c r="BN112" s="118" t="e">
        <f>BM112^3+BK102*BM112+BL102</f>
        <v>#VALUE!</v>
      </c>
      <c r="BO112" s="118" t="e">
        <f>3*BM112^2+BK102</f>
        <v>#VALUE!</v>
      </c>
      <c r="BP112" s="118" t="e">
        <f t="shared" si="31"/>
        <v>#VALUE!</v>
      </c>
      <c r="BQ112" s="116"/>
      <c r="BR112" s="117"/>
      <c r="BT112" s="125"/>
      <c r="BU112" s="126"/>
      <c r="BV112" s="118" t="e">
        <f t="shared" si="37"/>
        <v>#VALUE!</v>
      </c>
      <c r="BW112" s="118" t="e">
        <f>BV112^3+BT102*BV112+BU102</f>
        <v>#VALUE!</v>
      </c>
      <c r="BX112" s="118" t="e">
        <f>3*BV112^2+BT102</f>
        <v>#VALUE!</v>
      </c>
      <c r="BY112" s="118" t="e">
        <f t="shared" si="32"/>
        <v>#VALUE!</v>
      </c>
      <c r="BZ112" s="116"/>
      <c r="CA112" s="117"/>
    </row>
    <row r="113" spans="36:79" ht="18" hidden="1" customHeight="1" x14ac:dyDescent="0.15">
      <c r="AJ113" s="125"/>
      <c r="AK113" s="126"/>
      <c r="AL113" s="118" t="e">
        <f t="shared" si="33"/>
        <v>#VALUE!</v>
      </c>
      <c r="AM113" s="118" t="e">
        <f>AL113^3+AJ102*AL113+AK102</f>
        <v>#VALUE!</v>
      </c>
      <c r="AN113" s="118" t="e">
        <f>3*AL113^2+AJ102</f>
        <v>#VALUE!</v>
      </c>
      <c r="AO113" s="118" t="e">
        <f t="shared" si="28"/>
        <v>#VALUE!</v>
      </c>
      <c r="AP113" s="112" t="s">
        <v>147</v>
      </c>
      <c r="AQ113" s="113">
        <v>-15</v>
      </c>
      <c r="AS113" s="125"/>
      <c r="AT113" s="126"/>
      <c r="AU113" s="118" t="e">
        <f t="shared" si="34"/>
        <v>#VALUE!</v>
      </c>
      <c r="AV113" s="118" t="e">
        <f>AU113^3+AS102*AU113+AT102</f>
        <v>#VALUE!</v>
      </c>
      <c r="AW113" s="118" t="e">
        <f>3*AU113^2+AS102</f>
        <v>#VALUE!</v>
      </c>
      <c r="AX113" s="118" t="e">
        <f t="shared" si="29"/>
        <v>#VALUE!</v>
      </c>
      <c r="AY113" s="112" t="s">
        <v>147</v>
      </c>
      <c r="AZ113" s="113">
        <v>-15</v>
      </c>
      <c r="BB113" s="125"/>
      <c r="BC113" s="126"/>
      <c r="BD113" s="118" t="e">
        <f t="shared" si="35"/>
        <v>#VALUE!</v>
      </c>
      <c r="BE113" s="118" t="e">
        <f>BD113^3+BB102*BD113+BC102</f>
        <v>#VALUE!</v>
      </c>
      <c r="BF113" s="118" t="e">
        <f>3*BD113^2+BB102</f>
        <v>#VALUE!</v>
      </c>
      <c r="BG113" s="118" t="e">
        <f t="shared" si="30"/>
        <v>#VALUE!</v>
      </c>
      <c r="BH113" s="112" t="s">
        <v>147</v>
      </c>
      <c r="BI113" s="113">
        <v>-15</v>
      </c>
      <c r="BK113" s="125"/>
      <c r="BL113" s="126"/>
      <c r="BM113" s="118" t="e">
        <f t="shared" si="36"/>
        <v>#VALUE!</v>
      </c>
      <c r="BN113" s="118" t="e">
        <f>BM113^3+BK102*BM113+BL102</f>
        <v>#VALUE!</v>
      </c>
      <c r="BO113" s="118" t="e">
        <f>3*BM113^2+BK102</f>
        <v>#VALUE!</v>
      </c>
      <c r="BP113" s="118" t="e">
        <f t="shared" si="31"/>
        <v>#VALUE!</v>
      </c>
      <c r="BQ113" s="112" t="s">
        <v>147</v>
      </c>
      <c r="BR113" s="113">
        <v>-15</v>
      </c>
      <c r="BT113" s="125"/>
      <c r="BU113" s="126"/>
      <c r="BV113" s="118" t="e">
        <f t="shared" si="37"/>
        <v>#VALUE!</v>
      </c>
      <c r="BW113" s="118" t="e">
        <f>BV113^3+BT102*BV113+BU102</f>
        <v>#VALUE!</v>
      </c>
      <c r="BX113" s="118" t="e">
        <f>3*BV113^2+BT102</f>
        <v>#VALUE!</v>
      </c>
      <c r="BY113" s="118" t="e">
        <f t="shared" si="32"/>
        <v>#VALUE!</v>
      </c>
      <c r="BZ113" s="112" t="s">
        <v>147</v>
      </c>
      <c r="CA113" s="113">
        <v>-15</v>
      </c>
    </row>
    <row r="114" spans="36:79" ht="18" hidden="1" customHeight="1" x14ac:dyDescent="0.15">
      <c r="AJ114" s="125"/>
      <c r="AK114" s="126"/>
      <c r="AL114" s="118" t="e">
        <f t="shared" si="33"/>
        <v>#VALUE!</v>
      </c>
      <c r="AM114" s="118" t="e">
        <f>AL114^3+AJ102*AL114+AK102</f>
        <v>#VALUE!</v>
      </c>
      <c r="AN114" s="118" t="e">
        <f>3*AL114^2+AJ102</f>
        <v>#VALUE!</v>
      </c>
      <c r="AO114" s="118" t="e">
        <f t="shared" si="28"/>
        <v>#VALUE!</v>
      </c>
      <c r="AP114" s="128" t="s">
        <v>218</v>
      </c>
      <c r="AQ114" s="32"/>
      <c r="AS114" s="125"/>
      <c r="AT114" s="126"/>
      <c r="AU114" s="118" t="e">
        <f t="shared" si="34"/>
        <v>#VALUE!</v>
      </c>
      <c r="AV114" s="118" t="e">
        <f>AU114^3+AS102*AU114+AT102</f>
        <v>#VALUE!</v>
      </c>
      <c r="AW114" s="118" t="e">
        <f>3*AU114^2+AS102</f>
        <v>#VALUE!</v>
      </c>
      <c r="AX114" s="118" t="e">
        <f t="shared" si="29"/>
        <v>#VALUE!</v>
      </c>
      <c r="AY114" s="128" t="s">
        <v>219</v>
      </c>
      <c r="AZ114" s="32"/>
      <c r="BB114" s="125"/>
      <c r="BC114" s="126"/>
      <c r="BD114" s="118" t="e">
        <f t="shared" si="35"/>
        <v>#VALUE!</v>
      </c>
      <c r="BE114" s="118" t="e">
        <f>BD114^3+BB102*BD114+BC102</f>
        <v>#VALUE!</v>
      </c>
      <c r="BF114" s="118" t="e">
        <f>3*BD114^2+BB102</f>
        <v>#VALUE!</v>
      </c>
      <c r="BG114" s="118" t="e">
        <f t="shared" si="30"/>
        <v>#VALUE!</v>
      </c>
      <c r="BH114" s="128" t="s">
        <v>220</v>
      </c>
      <c r="BI114" s="32"/>
      <c r="BK114" s="125"/>
      <c r="BL114" s="126"/>
      <c r="BM114" s="118" t="e">
        <f t="shared" si="36"/>
        <v>#VALUE!</v>
      </c>
      <c r="BN114" s="118" t="e">
        <f>BM114^3+BK102*BM114+BL102</f>
        <v>#VALUE!</v>
      </c>
      <c r="BO114" s="118" t="e">
        <f>3*BM114^2+BK102</f>
        <v>#VALUE!</v>
      </c>
      <c r="BP114" s="118" t="e">
        <f t="shared" si="31"/>
        <v>#VALUE!</v>
      </c>
      <c r="BQ114" s="128" t="s">
        <v>221</v>
      </c>
      <c r="BR114" s="32"/>
      <c r="BT114" s="125"/>
      <c r="BU114" s="126"/>
      <c r="BV114" s="118" t="e">
        <f t="shared" si="37"/>
        <v>#VALUE!</v>
      </c>
      <c r="BW114" s="118" t="e">
        <f>BV114^3+BT102*BV114+BU102</f>
        <v>#VALUE!</v>
      </c>
      <c r="BX114" s="118" t="e">
        <f>3*BV114^2+BT102</f>
        <v>#VALUE!</v>
      </c>
      <c r="BY114" s="118" t="e">
        <f t="shared" si="32"/>
        <v>#VALUE!</v>
      </c>
      <c r="BZ114" s="128" t="s">
        <v>222</v>
      </c>
      <c r="CA114" s="32"/>
    </row>
    <row r="115" spans="36:79" ht="18" hidden="1" customHeight="1" x14ac:dyDescent="0.15">
      <c r="AJ115" s="125"/>
      <c r="AK115" s="126"/>
      <c r="AL115" s="18" t="e">
        <f t="shared" si="33"/>
        <v>#VALUE!</v>
      </c>
      <c r="AM115" s="18" t="e">
        <f>AL115^3+AJ102*AL115+AK102</f>
        <v>#VALUE!</v>
      </c>
      <c r="AN115" s="18" t="e">
        <f>3*AL115^2+AJ102</f>
        <v>#VALUE!</v>
      </c>
      <c r="AO115" s="18" t="e">
        <f t="shared" si="28"/>
        <v>#VALUE!</v>
      </c>
      <c r="AP115" s="279" t="s">
        <v>247</v>
      </c>
      <c r="AQ115" s="280"/>
      <c r="AS115" s="125"/>
      <c r="AT115" s="126"/>
      <c r="AU115" s="18" t="e">
        <f t="shared" si="34"/>
        <v>#VALUE!</v>
      </c>
      <c r="AV115" s="18" t="e">
        <f>AU115^3+AS102*AU115+AT102</f>
        <v>#VALUE!</v>
      </c>
      <c r="AW115" s="18" t="e">
        <f>3*AU115^2+AS102</f>
        <v>#VALUE!</v>
      </c>
      <c r="AX115" s="18" t="e">
        <f t="shared" si="29"/>
        <v>#VALUE!</v>
      </c>
      <c r="AY115" s="279" t="s">
        <v>247</v>
      </c>
      <c r="AZ115" s="280"/>
      <c r="BB115" s="125"/>
      <c r="BC115" s="126"/>
      <c r="BD115" s="18" t="e">
        <f t="shared" si="35"/>
        <v>#VALUE!</v>
      </c>
      <c r="BE115" s="18" t="e">
        <f>BD115^3+BB102*BD115+BC102</f>
        <v>#VALUE!</v>
      </c>
      <c r="BF115" s="18" t="e">
        <f>3*BD115^2+BB102</f>
        <v>#VALUE!</v>
      </c>
      <c r="BG115" s="18" t="e">
        <f t="shared" si="30"/>
        <v>#VALUE!</v>
      </c>
      <c r="BH115" s="279" t="s">
        <v>247</v>
      </c>
      <c r="BI115" s="280"/>
      <c r="BK115" s="125"/>
      <c r="BL115" s="126"/>
      <c r="BM115" s="18" t="e">
        <f t="shared" si="36"/>
        <v>#VALUE!</v>
      </c>
      <c r="BN115" s="18" t="e">
        <f>BM115^3+BK102*BM115+BL102</f>
        <v>#VALUE!</v>
      </c>
      <c r="BO115" s="18" t="e">
        <f>3*BM115^2+BK102</f>
        <v>#VALUE!</v>
      </c>
      <c r="BP115" s="18" t="e">
        <f t="shared" si="31"/>
        <v>#VALUE!</v>
      </c>
      <c r="BQ115" s="279" t="s">
        <v>247</v>
      </c>
      <c r="BR115" s="280"/>
      <c r="BT115" s="125"/>
      <c r="BU115" s="126"/>
      <c r="BV115" s="18" t="e">
        <f t="shared" si="37"/>
        <v>#VALUE!</v>
      </c>
      <c r="BW115" s="18" t="e">
        <f>BV115^3+BT102*BV115+BU102</f>
        <v>#VALUE!</v>
      </c>
      <c r="BX115" s="18" t="e">
        <f>3*BV115^2+BT102</f>
        <v>#VALUE!</v>
      </c>
      <c r="BY115" s="18" t="e">
        <f t="shared" si="32"/>
        <v>#VALUE!</v>
      </c>
      <c r="BZ115" s="279" t="s">
        <v>247</v>
      </c>
      <c r="CA115" s="280"/>
    </row>
    <row r="116" spans="36:79" ht="18" hidden="1" customHeight="1" thickBot="1" x14ac:dyDescent="0.2">
      <c r="AJ116" s="125"/>
      <c r="AK116" s="126"/>
      <c r="AL116" s="114" t="e">
        <f t="shared" si="33"/>
        <v>#VALUE!</v>
      </c>
      <c r="AM116" s="115" t="e">
        <f>AL116^3+AJ102*AL116+AK102</f>
        <v>#VALUE!</v>
      </c>
      <c r="AN116" s="115" t="e">
        <f>3*AL116^2+AJ102</f>
        <v>#VALUE!</v>
      </c>
      <c r="AO116" s="115" t="e">
        <f t="shared" si="28"/>
        <v>#VALUE!</v>
      </c>
      <c r="AP116" s="281"/>
      <c r="AQ116" s="282"/>
      <c r="AS116" s="125"/>
      <c r="AT116" s="126"/>
      <c r="AU116" s="114" t="e">
        <f t="shared" si="34"/>
        <v>#VALUE!</v>
      </c>
      <c r="AV116" s="115" t="e">
        <f>AU116^3+AS102*AU116+AT102</f>
        <v>#VALUE!</v>
      </c>
      <c r="AW116" s="115" t="e">
        <f>3*AU116^2+AS102</f>
        <v>#VALUE!</v>
      </c>
      <c r="AX116" s="115" t="e">
        <f t="shared" si="29"/>
        <v>#VALUE!</v>
      </c>
      <c r="AY116" s="281"/>
      <c r="AZ116" s="282"/>
      <c r="BB116" s="125"/>
      <c r="BC116" s="126"/>
      <c r="BD116" s="114" t="e">
        <f t="shared" si="35"/>
        <v>#VALUE!</v>
      </c>
      <c r="BE116" s="115" t="e">
        <f>BD116^3+BB102*BD116+BC102</f>
        <v>#VALUE!</v>
      </c>
      <c r="BF116" s="115" t="e">
        <f>3*BD116^2+BB102</f>
        <v>#VALUE!</v>
      </c>
      <c r="BG116" s="115" t="e">
        <f t="shared" si="30"/>
        <v>#VALUE!</v>
      </c>
      <c r="BH116" s="281"/>
      <c r="BI116" s="282"/>
      <c r="BK116" s="125"/>
      <c r="BL116" s="126"/>
      <c r="BM116" s="114" t="e">
        <f t="shared" si="36"/>
        <v>#VALUE!</v>
      </c>
      <c r="BN116" s="115" t="e">
        <f>BM116^3+BK102*BM116+BL102</f>
        <v>#VALUE!</v>
      </c>
      <c r="BO116" s="115" t="e">
        <f>3*BM116^2+BK102</f>
        <v>#VALUE!</v>
      </c>
      <c r="BP116" s="115" t="e">
        <f t="shared" si="31"/>
        <v>#VALUE!</v>
      </c>
      <c r="BQ116" s="281"/>
      <c r="BR116" s="282"/>
      <c r="BT116" s="125"/>
      <c r="BU116" s="126"/>
      <c r="BV116" s="114" t="e">
        <f t="shared" si="37"/>
        <v>#VALUE!</v>
      </c>
      <c r="BW116" s="115" t="e">
        <f>BV116^3+BT102*BV116+BU102</f>
        <v>#VALUE!</v>
      </c>
      <c r="BX116" s="115" t="e">
        <f>3*BV116^2+BT102</f>
        <v>#VALUE!</v>
      </c>
      <c r="BY116" s="115" t="e">
        <f t="shared" si="32"/>
        <v>#VALUE!</v>
      </c>
      <c r="BZ116" s="281"/>
      <c r="CA116" s="282"/>
    </row>
    <row r="117" spans="36:79" ht="18" hidden="1" customHeight="1" x14ac:dyDescent="0.15">
      <c r="AJ117" s="62" t="s">
        <v>223</v>
      </c>
      <c r="AK117" s="12" t="s">
        <v>224</v>
      </c>
      <c r="AL117" s="12" t="s">
        <v>225</v>
      </c>
      <c r="AM117" s="12" t="s">
        <v>226</v>
      </c>
      <c r="AN117" s="12" t="s">
        <v>227</v>
      </c>
      <c r="AO117" s="63" t="s">
        <v>228</v>
      </c>
      <c r="AP117" s="12" t="s">
        <v>229</v>
      </c>
      <c r="AQ117" s="13" t="s">
        <v>230</v>
      </c>
      <c r="AS117" s="62" t="s">
        <v>223</v>
      </c>
      <c r="AT117" s="12" t="s">
        <v>224</v>
      </c>
      <c r="AU117" s="12" t="s">
        <v>225</v>
      </c>
      <c r="AV117" s="12" t="s">
        <v>226</v>
      </c>
      <c r="AW117" s="12" t="s">
        <v>227</v>
      </c>
      <c r="AX117" s="63" t="s">
        <v>228</v>
      </c>
      <c r="AY117" s="12" t="s">
        <v>229</v>
      </c>
      <c r="AZ117" s="13" t="s">
        <v>230</v>
      </c>
      <c r="BB117" s="62" t="s">
        <v>223</v>
      </c>
      <c r="BC117" s="12" t="s">
        <v>224</v>
      </c>
      <c r="BD117" s="12" t="s">
        <v>225</v>
      </c>
      <c r="BE117" s="12" t="s">
        <v>226</v>
      </c>
      <c r="BF117" s="12" t="s">
        <v>227</v>
      </c>
      <c r="BG117" s="63" t="s">
        <v>228</v>
      </c>
      <c r="BH117" s="12" t="s">
        <v>229</v>
      </c>
      <c r="BI117" s="13" t="s">
        <v>230</v>
      </c>
      <c r="BK117" s="62" t="s">
        <v>223</v>
      </c>
      <c r="BL117" s="12" t="s">
        <v>224</v>
      </c>
      <c r="BM117" s="12" t="s">
        <v>225</v>
      </c>
      <c r="BN117" s="12" t="s">
        <v>226</v>
      </c>
      <c r="BO117" s="12" t="s">
        <v>227</v>
      </c>
      <c r="BP117" s="63" t="s">
        <v>228</v>
      </c>
      <c r="BQ117" s="12" t="s">
        <v>229</v>
      </c>
      <c r="BR117" s="13" t="s">
        <v>230</v>
      </c>
      <c r="BT117" s="62" t="s">
        <v>223</v>
      </c>
      <c r="BU117" s="12" t="s">
        <v>224</v>
      </c>
      <c r="BV117" s="12" t="s">
        <v>225</v>
      </c>
      <c r="BW117" s="12" t="s">
        <v>226</v>
      </c>
      <c r="BX117" s="12" t="s">
        <v>227</v>
      </c>
      <c r="BY117" s="63" t="s">
        <v>228</v>
      </c>
      <c r="BZ117" s="12" t="s">
        <v>229</v>
      </c>
      <c r="CA117" s="13" t="s">
        <v>230</v>
      </c>
    </row>
    <row r="118" spans="36:79" ht="18" hidden="1" customHeight="1" thickBot="1" x14ac:dyDescent="0.2">
      <c r="AJ118" s="107" t="str">
        <f>P23</f>
        <v/>
      </c>
      <c r="AK118" s="108" t="e">
        <f>M23+U23</f>
        <v>#VALUE!</v>
      </c>
      <c r="AL118" s="108">
        <f>IF(C33="",L19*(F19/40)^2,C33)</f>
        <v>0</v>
      </c>
      <c r="AM118" s="108">
        <f>F19</f>
        <v>0</v>
      </c>
      <c r="AN118" s="108" t="e">
        <f>AK78*1600/(8*L19)</f>
        <v>#VALUE!</v>
      </c>
      <c r="AO118" s="109">
        <f>V23</f>
        <v>0</v>
      </c>
      <c r="AP118" s="108" t="str">
        <f>L23</f>
        <v/>
      </c>
      <c r="AQ118" s="110">
        <f>W23</f>
        <v>0</v>
      </c>
      <c r="AS118" s="107" t="str">
        <f>IF(B24="使用電線-2",P24,IF(B25="使用電線-2",P25,IF(B26="使用電線-2",P26,IF(B27="使用電線-2",P27,IF(B28="使用電線-2",P28,IF(B29="使用電線-2",P29,""))))))</f>
        <v/>
      </c>
      <c r="AT118" s="108" t="str">
        <f>IF(B24="使用電線-2",M24+U24,IF(B25="使用電線-2",M25+U25,IF(B26="使用電線-2",M26+U26,IF(B27="使用電線-2",M27+U27,IF(B28="使用電線-2",M28+U28,IF(B29="使用電線-2",M29+U29,""))))))</f>
        <v/>
      </c>
      <c r="AU118" s="108">
        <f>IF(I33="",L19*(F19/40)^2,I33)</f>
        <v>0</v>
      </c>
      <c r="AV118" s="108">
        <f>F19</f>
        <v>0</v>
      </c>
      <c r="AW118" s="108" t="e">
        <f>AT118*1600/(8*L19)</f>
        <v>#VALUE!</v>
      </c>
      <c r="AX118" s="109" t="str">
        <f>IF(B24="使用電線-2",V24,IF(B25="使用電線-2",V25,IF(B26="使用電線-2",V26,IF(B27="使用電線-2",V27,IF(B28="使用電線-2",V28,IF(B29="使用電線-2",V29,""))))))</f>
        <v/>
      </c>
      <c r="AY118" s="108" t="str">
        <f>IF(B24="使用電線-2",L24,IF(B25="使用電線-2",L25,IF(B26="使用電線-2",L26,IF(B27="使用電線-2",L27,IF(B28="使用電線-2",L28,IF(B29="使用電線-2",L29,""))))))</f>
        <v/>
      </c>
      <c r="AZ118" s="110" t="str">
        <f>IF(B24="使用電線-2",W24,IF(B25="使用電線-2",W25,IF(B26="使用電線-2",W26,IF(B27="使用電線-2",W27,IF(B28="使用電線-2",W28,IF(B29="使用電線-2",W29,""))))))</f>
        <v/>
      </c>
      <c r="BB118" s="107" t="str">
        <f>IF(B25="使用電線-3",P25,IF(B26="使用電線-3",P26,IF(B27="使用電線-3",P27,IF(B28="使用電線-3",P28,IF(B29="使用電線-3",P29,"")))))</f>
        <v/>
      </c>
      <c r="BC118" s="108" t="str">
        <f>IF(B25="使用電線-3",M25+U25,IF(B26="使用電線-3",M26+U26,IF(B27="使用電線-3",M27+U27,IF(B28="使用電線-3",M28+U28,IF(B29="使用電線-3",M29+U29,"")))))</f>
        <v/>
      </c>
      <c r="BD118" s="108">
        <f>IF(N33="",L19*(F19/40)^2,N33)</f>
        <v>0</v>
      </c>
      <c r="BE118" s="108">
        <f>F19</f>
        <v>0</v>
      </c>
      <c r="BF118" s="108" t="e">
        <f>BC118*1600/(8*L19)</f>
        <v>#VALUE!</v>
      </c>
      <c r="BG118" s="109" t="str">
        <f>IF(B25="使用電線-3",V25,IF(B26="使用電線-3",V26,IF(B27="使用電線-3",V27,IF(B28="使用電線-3",V28,IF(B29="使用電線-3",V29,"")))))</f>
        <v/>
      </c>
      <c r="BH118" s="108" t="str">
        <f>IF(B25="使用電線-3",L25,IF(B26="使用電線-3",L26,IF(B27="使用電線-3",L27,IF(B28="使用電線-3",L28,IF(B29="使用電線-3",L29,"")))))</f>
        <v/>
      </c>
      <c r="BI118" s="110" t="str">
        <f>IF(B25="使用電線-3",W25,IF(B26="使用電線-3",W26,IF(B27="使用電線-3",W27,IF(B28="使用電線-3",W28,IF(B29="使用電線-3",W29,"")))))</f>
        <v/>
      </c>
      <c r="BK118" s="107" t="str">
        <f>IF(B26="使用電線-4",P26,IF(B27="使用電線-4",P27,IF(B28="使用電線-4",P28,IF(B29="使用電線-4",P29,""))))</f>
        <v/>
      </c>
      <c r="BL118" s="108" t="str">
        <f>IF(B26="使用電線-4",M26+U26,IF(B27="使用電線-4",M27+U27,IF(B28="使用電線-4",M28+U28,IF(B29="使用電線-4",M29+U29,""))))</f>
        <v/>
      </c>
      <c r="BM118" s="108">
        <f>IF(C47="",L19*(F19/40)^2,C47)</f>
        <v>0</v>
      </c>
      <c r="BN118" s="108">
        <f>F19</f>
        <v>0</v>
      </c>
      <c r="BO118" s="127" t="e">
        <f>BL118*1600/(8*L19)</f>
        <v>#VALUE!</v>
      </c>
      <c r="BP118" s="109" t="str">
        <f>IF(B26="使用電線-4",V26,IF(B27="使用電線-4",V27,IF(B28="使用電線-4",V28,IF(B29="使用電線-4",V29,""))))</f>
        <v/>
      </c>
      <c r="BQ118" s="108" t="str">
        <f>IF(B26="使用電線-4",L26,IF(B27="使用電線-4",L27,IF(B28="使用電線-4",L28,IF(B29="使用電線-4",L29,""))))</f>
        <v/>
      </c>
      <c r="BR118" s="110" t="str">
        <f>IF(B26="使用電線-4",W26,IF(B27="使用電線-4",W27,IF(B28="使用電線-4",W28,IF(B29="使用電線-4",W29,""))))</f>
        <v/>
      </c>
      <c r="BT118" s="107" t="str">
        <f>IF(B27="使用電線-5",P27,IF(B28="使用電線-5",P28,IF(B29="使用電線-5",P29,"")))</f>
        <v/>
      </c>
      <c r="BU118" s="108" t="str">
        <f>IF(B27="使用電線-5",M27+U27,IF(B28="使用電線-5",M28+U28,IF(B29="使用電線-5",M29+U29,"")))</f>
        <v/>
      </c>
      <c r="BV118" s="108">
        <f>IF(I47="",L19*(F19/40)^2,I47)</f>
        <v>0</v>
      </c>
      <c r="BW118" s="108">
        <f>F19</f>
        <v>0</v>
      </c>
      <c r="BX118" s="127" t="e">
        <f>BU118*1600/(8*L19)</f>
        <v>#VALUE!</v>
      </c>
      <c r="BY118" s="109" t="str">
        <f>IF(B27="使用電線-5",V27,IF(B28="使用電線-5",V28,IF(B29="使用電線-5",V29,"")))</f>
        <v/>
      </c>
      <c r="BZ118" s="108" t="str">
        <f>IF(B27="使用電線-5",L27,IF(B28="使用電線-5",L28,IF(B29="使用電線-5",L29,"")))</f>
        <v/>
      </c>
      <c r="CA118" s="110" t="str">
        <f>IF(B27="使用電線-5",W27,IF(B28="使用電線-5",W28,IF(B29="使用電線-5",W29,"")))</f>
        <v/>
      </c>
    </row>
    <row r="119" spans="36:79" ht="18" hidden="1" customHeight="1" x14ac:dyDescent="0.15"/>
    <row r="120" spans="36:79" ht="18" hidden="1" customHeight="1" thickBot="1" x14ac:dyDescent="0.2"/>
    <row r="121" spans="36:79" ht="18" hidden="1" customHeight="1" x14ac:dyDescent="0.15">
      <c r="AJ121" s="2" t="s">
        <v>232</v>
      </c>
      <c r="AK121" s="111" t="s">
        <v>233</v>
      </c>
      <c r="AL121" s="12" t="s">
        <v>234</v>
      </c>
      <c r="AM121" s="12" t="s">
        <v>235</v>
      </c>
      <c r="AN121" s="12" t="s">
        <v>236</v>
      </c>
      <c r="AO121" s="12" t="s">
        <v>237</v>
      </c>
      <c r="AP121" s="12" t="s">
        <v>238</v>
      </c>
      <c r="AQ121" s="13" t="s">
        <v>239</v>
      </c>
      <c r="AS121" s="2" t="s">
        <v>232</v>
      </c>
      <c r="AT121" s="111" t="s">
        <v>233</v>
      </c>
      <c r="AU121" s="12" t="s">
        <v>234</v>
      </c>
      <c r="AV121" s="12" t="s">
        <v>235</v>
      </c>
      <c r="AW121" s="12" t="s">
        <v>236</v>
      </c>
      <c r="AX121" s="12" t="s">
        <v>237</v>
      </c>
      <c r="AY121" s="12" t="s">
        <v>238</v>
      </c>
      <c r="AZ121" s="13" t="s">
        <v>239</v>
      </c>
      <c r="BB121" s="2" t="s">
        <v>232</v>
      </c>
      <c r="BC121" s="111" t="s">
        <v>233</v>
      </c>
      <c r="BD121" s="12" t="s">
        <v>234</v>
      </c>
      <c r="BE121" s="12" t="s">
        <v>235</v>
      </c>
      <c r="BF121" s="12" t="s">
        <v>236</v>
      </c>
      <c r="BG121" s="12" t="s">
        <v>237</v>
      </c>
      <c r="BH121" s="12" t="s">
        <v>238</v>
      </c>
      <c r="BI121" s="13" t="s">
        <v>239</v>
      </c>
      <c r="BK121" s="2" t="s">
        <v>232</v>
      </c>
      <c r="BL121" s="111" t="s">
        <v>233</v>
      </c>
      <c r="BM121" s="12" t="s">
        <v>234</v>
      </c>
      <c r="BN121" s="12" t="s">
        <v>235</v>
      </c>
      <c r="BO121" s="12" t="s">
        <v>236</v>
      </c>
      <c r="BP121" s="12" t="s">
        <v>237</v>
      </c>
      <c r="BQ121" s="12" t="s">
        <v>238</v>
      </c>
      <c r="BR121" s="13" t="s">
        <v>239</v>
      </c>
      <c r="BT121" s="2" t="s">
        <v>232</v>
      </c>
      <c r="BU121" s="111" t="s">
        <v>233</v>
      </c>
      <c r="BV121" s="12" t="s">
        <v>234</v>
      </c>
      <c r="BW121" s="12" t="s">
        <v>235</v>
      </c>
      <c r="BX121" s="12" t="s">
        <v>236</v>
      </c>
      <c r="BY121" s="12" t="s">
        <v>237</v>
      </c>
      <c r="BZ121" s="12" t="s">
        <v>238</v>
      </c>
      <c r="CA121" s="13" t="s">
        <v>239</v>
      </c>
    </row>
    <row r="122" spans="36:79" ht="18" hidden="1" customHeight="1" x14ac:dyDescent="0.15">
      <c r="AJ122" s="16" t="e">
        <f>-AJ125+AJ128</f>
        <v>#VALUE!</v>
      </c>
      <c r="AK122" s="17" t="e">
        <f>-AJ131</f>
        <v>#VALUE!</v>
      </c>
      <c r="AL122" s="18" t="e">
        <f>IF(AND(AP125&lt;0,AQ125&lt;0),AQ122*1.2,IF(AND(AP125&gt;0,AQ125&gt;0),AP122*0.8,10))</f>
        <v>#VALUE!</v>
      </c>
      <c r="AM122" s="18" t="e">
        <f>AL122^3+AJ122*AL122+AK122</f>
        <v>#VALUE!</v>
      </c>
      <c r="AN122" s="18" t="e">
        <f>3*AL122^2+AJ122</f>
        <v>#VALUE!</v>
      </c>
      <c r="AO122" s="18" t="e">
        <f t="shared" ref="AO122:AO136" si="38">AL122-AM122/AN122</f>
        <v>#VALUE!</v>
      </c>
      <c r="AP122" s="18" t="e">
        <f>-SQRT(ABS(-4*3*AJ122))/6</f>
        <v>#VALUE!</v>
      </c>
      <c r="AQ122" s="19" t="e">
        <f>SQRT(ABS(-4*3*AJ122))/6</f>
        <v>#VALUE!</v>
      </c>
      <c r="AS122" s="16" t="e">
        <f>-AS125+AS128</f>
        <v>#VALUE!</v>
      </c>
      <c r="AT122" s="17" t="e">
        <f>-AS131</f>
        <v>#VALUE!</v>
      </c>
      <c r="AU122" s="18" t="e">
        <f>IF(AND(AY125&lt;0,AZ125&lt;0),AZ122*1.2,IF(AND(AY125&gt;0,AZ125&gt;0),AY122*0.8,10))</f>
        <v>#VALUE!</v>
      </c>
      <c r="AV122" s="18" t="e">
        <f>AU122^3+AS122*AU122+AT122</f>
        <v>#VALUE!</v>
      </c>
      <c r="AW122" s="18" t="e">
        <f>3*AU122^2+AS122</f>
        <v>#VALUE!</v>
      </c>
      <c r="AX122" s="18" t="e">
        <f t="shared" ref="AX122:AX136" si="39">AU122-AV122/AW122</f>
        <v>#VALUE!</v>
      </c>
      <c r="AY122" s="18" t="e">
        <f>-SQRT(ABS(-4*3*AS122))/6</f>
        <v>#VALUE!</v>
      </c>
      <c r="AZ122" s="19" t="e">
        <f>SQRT(ABS(-4*3*AS122))/6</f>
        <v>#VALUE!</v>
      </c>
      <c r="BB122" s="16" t="e">
        <f>-BB125+BB128</f>
        <v>#VALUE!</v>
      </c>
      <c r="BC122" s="17" t="e">
        <f>-BB131</f>
        <v>#VALUE!</v>
      </c>
      <c r="BD122" s="18" t="e">
        <f>IF(AND(BH125&lt;0,BI125&lt;0),BI122*1.2,IF(AND(BH125&gt;0,BI125&gt;0),BH122*0.8,10))</f>
        <v>#VALUE!</v>
      </c>
      <c r="BE122" s="18" t="e">
        <f>BD122^3+BB122*BD122+BC122</f>
        <v>#VALUE!</v>
      </c>
      <c r="BF122" s="18" t="e">
        <f>3*BD122^2+BB122</f>
        <v>#VALUE!</v>
      </c>
      <c r="BG122" s="18" t="e">
        <f t="shared" ref="BG122:BG136" si="40">BD122-BE122/BF122</f>
        <v>#VALUE!</v>
      </c>
      <c r="BH122" s="18" t="e">
        <f>-SQRT(ABS(-4*3*BB122))/6</f>
        <v>#VALUE!</v>
      </c>
      <c r="BI122" s="19" t="e">
        <f>SQRT(ABS(-4*3*BB122))/6</f>
        <v>#VALUE!</v>
      </c>
      <c r="BK122" s="16" t="e">
        <f>-BK125+BK128</f>
        <v>#VALUE!</v>
      </c>
      <c r="BL122" s="17" t="e">
        <f>-BK131</f>
        <v>#VALUE!</v>
      </c>
      <c r="BM122" s="18" t="e">
        <f>IF(AND(BQ125&lt;0,BR125&lt;0),BR122*1.2,IF(AND(BQ125&gt;0,BR125&gt;0),BQ122*0.8,10))</f>
        <v>#VALUE!</v>
      </c>
      <c r="BN122" s="18" t="e">
        <f>BM122^3+BK122*BM122+BL122</f>
        <v>#VALUE!</v>
      </c>
      <c r="BO122" s="18" t="e">
        <f>3*BM122^2+BK122</f>
        <v>#VALUE!</v>
      </c>
      <c r="BP122" s="18" t="e">
        <f t="shared" ref="BP122:BP136" si="41">BM122-BN122/BO122</f>
        <v>#VALUE!</v>
      </c>
      <c r="BQ122" s="18" t="e">
        <f>-SQRT(ABS(-4*3*BK122))/6</f>
        <v>#VALUE!</v>
      </c>
      <c r="BR122" s="19" t="e">
        <f>SQRT(ABS(-4*3*BK122))/6</f>
        <v>#VALUE!</v>
      </c>
      <c r="BT122" s="16" t="e">
        <f>-BT125+BT128</f>
        <v>#VALUE!</v>
      </c>
      <c r="BU122" s="17" t="e">
        <f>-BT131</f>
        <v>#VALUE!</v>
      </c>
      <c r="BV122" s="18" t="e">
        <f>IF(AND(BZ125&lt;0,CA125&lt;0),CA122*1.2,IF(AND(BZ125&gt;0,CA125&gt;0),BZ122*0.8,10))</f>
        <v>#VALUE!</v>
      </c>
      <c r="BW122" s="18" t="e">
        <f>BV122^3+BT122*BV122+BU122</f>
        <v>#VALUE!</v>
      </c>
      <c r="BX122" s="18" t="e">
        <f>3*BV122^2+BT122</f>
        <v>#VALUE!</v>
      </c>
      <c r="BY122" s="18" t="e">
        <f t="shared" ref="BY122:BY136" si="42">BV122-BW122/BX122</f>
        <v>#VALUE!</v>
      </c>
      <c r="BZ122" s="18" t="e">
        <f>-SQRT(ABS(-4*3*BT122))/6</f>
        <v>#VALUE!</v>
      </c>
      <c r="CA122" s="19" t="e">
        <f>SQRT(ABS(-4*3*BT122))/6</f>
        <v>#VALUE!</v>
      </c>
    </row>
    <row r="123" spans="36:79" ht="18" hidden="1" customHeight="1" x14ac:dyDescent="0.15">
      <c r="AJ123" s="267"/>
      <c r="AK123" s="268"/>
      <c r="AL123" s="18" t="e">
        <f t="shared" ref="AL123:AL136" si="43">AO122</f>
        <v>#VALUE!</v>
      </c>
      <c r="AM123" s="18" t="e">
        <f>AL123^3+AJ122*AL123+AK122</f>
        <v>#VALUE!</v>
      </c>
      <c r="AN123" s="18" t="e">
        <f>3*AL123^2+AJ122</f>
        <v>#VALUE!</v>
      </c>
      <c r="AO123" s="18" t="e">
        <f t="shared" si="38"/>
        <v>#VALUE!</v>
      </c>
      <c r="AP123" s="6"/>
      <c r="AQ123" s="7"/>
      <c r="AS123" s="267"/>
      <c r="AT123" s="268"/>
      <c r="AU123" s="18" t="e">
        <f t="shared" ref="AU123:AU136" si="44">AX122</f>
        <v>#VALUE!</v>
      </c>
      <c r="AV123" s="18" t="e">
        <f>AU123^3+AS122*AU123+AT122</f>
        <v>#VALUE!</v>
      </c>
      <c r="AW123" s="18" t="e">
        <f>3*AU123^2+AS122</f>
        <v>#VALUE!</v>
      </c>
      <c r="AX123" s="18" t="e">
        <f t="shared" si="39"/>
        <v>#VALUE!</v>
      </c>
      <c r="AY123" s="6"/>
      <c r="AZ123" s="7"/>
      <c r="BB123" s="267"/>
      <c r="BC123" s="268"/>
      <c r="BD123" s="18" t="e">
        <f t="shared" ref="BD123:BD136" si="45">BG122</f>
        <v>#VALUE!</v>
      </c>
      <c r="BE123" s="18" t="e">
        <f>BD123^3+BB122*BD123+BC122</f>
        <v>#VALUE!</v>
      </c>
      <c r="BF123" s="18" t="e">
        <f>3*BD123^2+BB122</f>
        <v>#VALUE!</v>
      </c>
      <c r="BG123" s="18" t="e">
        <f t="shared" si="40"/>
        <v>#VALUE!</v>
      </c>
      <c r="BH123" s="6"/>
      <c r="BI123" s="7"/>
      <c r="BK123" s="267"/>
      <c r="BL123" s="268"/>
      <c r="BM123" s="18" t="e">
        <f t="shared" ref="BM123:BM136" si="46">BP122</f>
        <v>#VALUE!</v>
      </c>
      <c r="BN123" s="18" t="e">
        <f>BM123^3+BK122*BM123+BL122</f>
        <v>#VALUE!</v>
      </c>
      <c r="BO123" s="18" t="e">
        <f>3*BM123^2+BK122</f>
        <v>#VALUE!</v>
      </c>
      <c r="BP123" s="18" t="e">
        <f t="shared" si="41"/>
        <v>#VALUE!</v>
      </c>
      <c r="BQ123" s="6"/>
      <c r="BR123" s="7"/>
      <c r="BT123" s="267"/>
      <c r="BU123" s="268"/>
      <c r="BV123" s="18" t="e">
        <f t="shared" ref="BV123:BV136" si="47">BY122</f>
        <v>#VALUE!</v>
      </c>
      <c r="BW123" s="18" t="e">
        <f>BV123^3+BT122*BV123+BU122</f>
        <v>#VALUE!</v>
      </c>
      <c r="BX123" s="18" t="e">
        <f>3*BV123^2+BT122</f>
        <v>#VALUE!</v>
      </c>
      <c r="BY123" s="18" t="e">
        <f t="shared" si="42"/>
        <v>#VALUE!</v>
      </c>
      <c r="BZ123" s="6"/>
      <c r="CA123" s="7"/>
    </row>
    <row r="124" spans="36:79" ht="18" hidden="1" customHeight="1" x14ac:dyDescent="0.15">
      <c r="AJ124" s="269" t="s">
        <v>240</v>
      </c>
      <c r="AK124" s="270"/>
      <c r="AL124" s="18" t="e">
        <f t="shared" si="43"/>
        <v>#VALUE!</v>
      </c>
      <c r="AM124" s="18" t="e">
        <f>AL124^3+AJ122*AL124+AK122</f>
        <v>#VALUE!</v>
      </c>
      <c r="AN124" s="18" t="e">
        <f>3*AL124^2+AJ122</f>
        <v>#VALUE!</v>
      </c>
      <c r="AO124" s="18" t="e">
        <f t="shared" si="38"/>
        <v>#VALUE!</v>
      </c>
      <c r="AP124" s="14" t="s">
        <v>241</v>
      </c>
      <c r="AQ124" s="15" t="s">
        <v>242</v>
      </c>
      <c r="AS124" s="269" t="s">
        <v>240</v>
      </c>
      <c r="AT124" s="270"/>
      <c r="AU124" s="18" t="e">
        <f t="shared" si="44"/>
        <v>#VALUE!</v>
      </c>
      <c r="AV124" s="18" t="e">
        <f>AU124^3+AS122*AU124+AT122</f>
        <v>#VALUE!</v>
      </c>
      <c r="AW124" s="18" t="e">
        <f>3*AU124^2+AS122</f>
        <v>#VALUE!</v>
      </c>
      <c r="AX124" s="18" t="e">
        <f t="shared" si="39"/>
        <v>#VALUE!</v>
      </c>
      <c r="AY124" s="14" t="s">
        <v>241</v>
      </c>
      <c r="AZ124" s="15" t="s">
        <v>242</v>
      </c>
      <c r="BB124" s="269" t="s">
        <v>240</v>
      </c>
      <c r="BC124" s="270"/>
      <c r="BD124" s="18" t="e">
        <f t="shared" si="45"/>
        <v>#VALUE!</v>
      </c>
      <c r="BE124" s="18" t="e">
        <f>BD124^3+BB122*BD124+BC122</f>
        <v>#VALUE!</v>
      </c>
      <c r="BF124" s="18" t="e">
        <f>3*BD124^2+BB122</f>
        <v>#VALUE!</v>
      </c>
      <c r="BG124" s="18" t="e">
        <f t="shared" si="40"/>
        <v>#VALUE!</v>
      </c>
      <c r="BH124" s="14" t="s">
        <v>241</v>
      </c>
      <c r="BI124" s="15" t="s">
        <v>242</v>
      </c>
      <c r="BK124" s="269" t="s">
        <v>240</v>
      </c>
      <c r="BL124" s="270"/>
      <c r="BM124" s="18" t="e">
        <f t="shared" si="46"/>
        <v>#VALUE!</v>
      </c>
      <c r="BN124" s="18" t="e">
        <f>BM124^3+BK122*BM124+BL122</f>
        <v>#VALUE!</v>
      </c>
      <c r="BO124" s="18" t="e">
        <f>3*BM124^2+BK122</f>
        <v>#VALUE!</v>
      </c>
      <c r="BP124" s="18" t="e">
        <f t="shared" si="41"/>
        <v>#VALUE!</v>
      </c>
      <c r="BQ124" s="14" t="s">
        <v>241</v>
      </c>
      <c r="BR124" s="15" t="s">
        <v>242</v>
      </c>
      <c r="BT124" s="269" t="s">
        <v>240</v>
      </c>
      <c r="BU124" s="270"/>
      <c r="BV124" s="18" t="e">
        <f t="shared" si="47"/>
        <v>#VALUE!</v>
      </c>
      <c r="BW124" s="18" t="e">
        <f>BV124^3+BT122*BV124+BU122</f>
        <v>#VALUE!</v>
      </c>
      <c r="BX124" s="18" t="e">
        <f>3*BV124^2+BT122</f>
        <v>#VALUE!</v>
      </c>
      <c r="BY124" s="18" t="e">
        <f t="shared" si="42"/>
        <v>#VALUE!</v>
      </c>
      <c r="BZ124" s="14" t="s">
        <v>241</v>
      </c>
      <c r="CA124" s="15" t="s">
        <v>242</v>
      </c>
    </row>
    <row r="125" spans="36:79" ht="18" hidden="1" customHeight="1" x14ac:dyDescent="0.15">
      <c r="AJ125" s="269">
        <f>(AL138^2)+3*(AM138^2)*AQ138*(AQ133-15)/(8*10^7)</f>
        <v>0</v>
      </c>
      <c r="AK125" s="270"/>
      <c r="AL125" s="18" t="e">
        <f t="shared" si="43"/>
        <v>#VALUE!</v>
      </c>
      <c r="AM125" s="18" t="e">
        <f>AL125^3+AJ122*AL125+AK122</f>
        <v>#VALUE!</v>
      </c>
      <c r="AN125" s="18" t="e">
        <f>3*AL125^2+AJ122</f>
        <v>#VALUE!</v>
      </c>
      <c r="AO125" s="18" t="e">
        <f t="shared" si="38"/>
        <v>#VALUE!</v>
      </c>
      <c r="AP125" s="18" t="e">
        <f>AP122^3+AJ122*AP122+AK122</f>
        <v>#VALUE!</v>
      </c>
      <c r="AQ125" s="19" t="e">
        <f>AQ122^3+AJ122*AQ122+AK122</f>
        <v>#VALUE!</v>
      </c>
      <c r="AS125" s="269" t="e">
        <f>(AU138^2)+3*(AV138^2)*AZ138*(AZ133-15)/(8*10^7)</f>
        <v>#VALUE!</v>
      </c>
      <c r="AT125" s="270"/>
      <c r="AU125" s="18" t="e">
        <f t="shared" si="44"/>
        <v>#VALUE!</v>
      </c>
      <c r="AV125" s="18" t="e">
        <f>AU125^3+AS122*AU125+AT122</f>
        <v>#VALUE!</v>
      </c>
      <c r="AW125" s="18" t="e">
        <f>3*AU125^2+AS122</f>
        <v>#VALUE!</v>
      </c>
      <c r="AX125" s="18" t="e">
        <f t="shared" si="39"/>
        <v>#VALUE!</v>
      </c>
      <c r="AY125" s="18" t="e">
        <f>AY122^3+AS122*AY122+AT122</f>
        <v>#VALUE!</v>
      </c>
      <c r="AZ125" s="19" t="e">
        <f>AZ122^3+AS122*AZ122+AT122</f>
        <v>#VALUE!</v>
      </c>
      <c r="BB125" s="269" t="e">
        <f>(BD138^2)+3*(BE138^2)*BI138*(BI133-15)/(8*10^7)</f>
        <v>#VALUE!</v>
      </c>
      <c r="BC125" s="270"/>
      <c r="BD125" s="18" t="e">
        <f t="shared" si="45"/>
        <v>#VALUE!</v>
      </c>
      <c r="BE125" s="18" t="e">
        <f>BD125^3+BB122*BD125+BC122</f>
        <v>#VALUE!</v>
      </c>
      <c r="BF125" s="18" t="e">
        <f>3*BD125^2+BB122</f>
        <v>#VALUE!</v>
      </c>
      <c r="BG125" s="18" t="e">
        <f t="shared" si="40"/>
        <v>#VALUE!</v>
      </c>
      <c r="BH125" s="18" t="e">
        <f>BH122^3+BB122*BH122+BC122</f>
        <v>#VALUE!</v>
      </c>
      <c r="BI125" s="19" t="e">
        <f>BI122^3+BB122*BI122+BC122</f>
        <v>#VALUE!</v>
      </c>
      <c r="BK125" s="269" t="e">
        <f>(BM138^2)+3*(BN138^2)*BR138*(BR133-15)/(8*10^7)</f>
        <v>#VALUE!</v>
      </c>
      <c r="BL125" s="270"/>
      <c r="BM125" s="18" t="e">
        <f t="shared" si="46"/>
        <v>#VALUE!</v>
      </c>
      <c r="BN125" s="18" t="e">
        <f>BM125^3+BK122*BM125+BL122</f>
        <v>#VALUE!</v>
      </c>
      <c r="BO125" s="18" t="e">
        <f>3*BM125^2+BK122</f>
        <v>#VALUE!</v>
      </c>
      <c r="BP125" s="18" t="e">
        <f t="shared" si="41"/>
        <v>#VALUE!</v>
      </c>
      <c r="BQ125" s="18" t="e">
        <f>BQ122^3+BK122*BQ122+BL122</f>
        <v>#VALUE!</v>
      </c>
      <c r="BR125" s="19" t="e">
        <f>BR122^3+BK122*BR122+BL122</f>
        <v>#VALUE!</v>
      </c>
      <c r="BT125" s="269" t="e">
        <f>(BV138^2)+3*(BW138^2)*CA138*(CA133-15)/(8*10^7)</f>
        <v>#VALUE!</v>
      </c>
      <c r="BU125" s="270"/>
      <c r="BV125" s="18" t="e">
        <f t="shared" si="47"/>
        <v>#VALUE!</v>
      </c>
      <c r="BW125" s="18" t="e">
        <f>BV125^3+BT122*BV125+BU122</f>
        <v>#VALUE!</v>
      </c>
      <c r="BX125" s="18" t="e">
        <f>3*BV125^2+BT122</f>
        <v>#VALUE!</v>
      </c>
      <c r="BY125" s="18" t="e">
        <f t="shared" si="42"/>
        <v>#VALUE!</v>
      </c>
      <c r="BZ125" s="18" t="e">
        <f>BZ122^3+BT122*BZ122+BU122</f>
        <v>#VALUE!</v>
      </c>
      <c r="CA125" s="19" t="e">
        <f>CA122^3+BT122*CA122+BU122</f>
        <v>#VALUE!</v>
      </c>
    </row>
    <row r="126" spans="36:79" ht="18" hidden="1" customHeight="1" x14ac:dyDescent="0.15">
      <c r="AJ126" s="267"/>
      <c r="AK126" s="268"/>
      <c r="AL126" s="18" t="e">
        <f t="shared" si="43"/>
        <v>#VALUE!</v>
      </c>
      <c r="AM126" s="18" t="e">
        <f>AL126^3+AJ122*AL126+AK122</f>
        <v>#VALUE!</v>
      </c>
      <c r="AN126" s="18" t="e">
        <f>3*AL126^2+AJ122</f>
        <v>#VALUE!</v>
      </c>
      <c r="AO126" s="18" t="e">
        <f t="shared" si="38"/>
        <v>#VALUE!</v>
      </c>
      <c r="AP126" s="31"/>
      <c r="AQ126" s="32"/>
      <c r="AS126" s="267"/>
      <c r="AT126" s="268"/>
      <c r="AU126" s="18" t="e">
        <f t="shared" si="44"/>
        <v>#VALUE!</v>
      </c>
      <c r="AV126" s="18" t="e">
        <f>AU126^3+AS122*AU126+AT122</f>
        <v>#VALUE!</v>
      </c>
      <c r="AW126" s="18" t="e">
        <f>3*AU126^2+AS122</f>
        <v>#VALUE!</v>
      </c>
      <c r="AX126" s="18" t="e">
        <f t="shared" si="39"/>
        <v>#VALUE!</v>
      </c>
      <c r="AY126" s="31"/>
      <c r="AZ126" s="32"/>
      <c r="BB126" s="267"/>
      <c r="BC126" s="268"/>
      <c r="BD126" s="18" t="e">
        <f t="shared" si="45"/>
        <v>#VALUE!</v>
      </c>
      <c r="BE126" s="18" t="e">
        <f>BD126^3+BB122*BD126+BC122</f>
        <v>#VALUE!</v>
      </c>
      <c r="BF126" s="18" t="e">
        <f>3*BD126^2+BB122</f>
        <v>#VALUE!</v>
      </c>
      <c r="BG126" s="18" t="e">
        <f t="shared" si="40"/>
        <v>#VALUE!</v>
      </c>
      <c r="BH126" s="31"/>
      <c r="BI126" s="32"/>
      <c r="BK126" s="267"/>
      <c r="BL126" s="268"/>
      <c r="BM126" s="18" t="e">
        <f t="shared" si="46"/>
        <v>#VALUE!</v>
      </c>
      <c r="BN126" s="18" t="e">
        <f>BM126^3+BK122*BM126+BL122</f>
        <v>#VALUE!</v>
      </c>
      <c r="BO126" s="18" t="e">
        <f>3*BM126^2+BK122</f>
        <v>#VALUE!</v>
      </c>
      <c r="BP126" s="18" t="e">
        <f t="shared" si="41"/>
        <v>#VALUE!</v>
      </c>
      <c r="BQ126" s="31"/>
      <c r="BR126" s="32"/>
      <c r="BT126" s="267"/>
      <c r="BU126" s="268"/>
      <c r="BV126" s="18" t="e">
        <f t="shared" si="47"/>
        <v>#VALUE!</v>
      </c>
      <c r="BW126" s="18" t="e">
        <f>BV126^3+BT122*BV126+BU122</f>
        <v>#VALUE!</v>
      </c>
      <c r="BX126" s="18" t="e">
        <f>3*BV126^2+BT122</f>
        <v>#VALUE!</v>
      </c>
      <c r="BY126" s="18" t="e">
        <f t="shared" si="42"/>
        <v>#VALUE!</v>
      </c>
      <c r="BZ126" s="31"/>
      <c r="CA126" s="32"/>
    </row>
    <row r="127" spans="36:79" ht="18" hidden="1" customHeight="1" x14ac:dyDescent="0.15">
      <c r="AJ127" s="269" t="s">
        <v>243</v>
      </c>
      <c r="AK127" s="270"/>
      <c r="AL127" s="18" t="e">
        <f t="shared" si="43"/>
        <v>#VALUE!</v>
      </c>
      <c r="AM127" s="18" t="e">
        <f>AL127^3+AJ122*AL127+AK122</f>
        <v>#VALUE!</v>
      </c>
      <c r="AN127" s="18" t="e">
        <f>3*AL127^2+AJ122</f>
        <v>#VALUE!</v>
      </c>
      <c r="AO127" s="18" t="e">
        <f t="shared" si="38"/>
        <v>#VALUE!</v>
      </c>
      <c r="AP127" s="31"/>
      <c r="AQ127" s="32"/>
      <c r="AS127" s="269" t="s">
        <v>243</v>
      </c>
      <c r="AT127" s="270"/>
      <c r="AU127" s="18" t="e">
        <f t="shared" si="44"/>
        <v>#VALUE!</v>
      </c>
      <c r="AV127" s="18" t="e">
        <f>AU127^3+AS122*AU127+AT122</f>
        <v>#VALUE!</v>
      </c>
      <c r="AW127" s="18" t="e">
        <f>3*AU127^2+AS122</f>
        <v>#VALUE!</v>
      </c>
      <c r="AX127" s="18" t="e">
        <f t="shared" si="39"/>
        <v>#VALUE!</v>
      </c>
      <c r="AY127" s="31"/>
      <c r="AZ127" s="32"/>
      <c r="BB127" s="269" t="s">
        <v>243</v>
      </c>
      <c r="BC127" s="270"/>
      <c r="BD127" s="18" t="e">
        <f t="shared" si="45"/>
        <v>#VALUE!</v>
      </c>
      <c r="BE127" s="18" t="e">
        <f>BD127^3+BB122*BD127+BC122</f>
        <v>#VALUE!</v>
      </c>
      <c r="BF127" s="18" t="e">
        <f>3*BD127^2+BB122</f>
        <v>#VALUE!</v>
      </c>
      <c r="BG127" s="18" t="e">
        <f t="shared" si="40"/>
        <v>#VALUE!</v>
      </c>
      <c r="BH127" s="31"/>
      <c r="BI127" s="32"/>
      <c r="BK127" s="269" t="s">
        <v>243</v>
      </c>
      <c r="BL127" s="270"/>
      <c r="BM127" s="18" t="e">
        <f t="shared" si="46"/>
        <v>#VALUE!</v>
      </c>
      <c r="BN127" s="18" t="e">
        <f>BM127^3+BK122*BM127+BL122</f>
        <v>#VALUE!</v>
      </c>
      <c r="BO127" s="18" t="e">
        <f>3*BM127^2+BK122</f>
        <v>#VALUE!</v>
      </c>
      <c r="BP127" s="18" t="e">
        <f t="shared" si="41"/>
        <v>#VALUE!</v>
      </c>
      <c r="BQ127" s="31"/>
      <c r="BR127" s="32"/>
      <c r="BT127" s="269" t="s">
        <v>243</v>
      </c>
      <c r="BU127" s="270"/>
      <c r="BV127" s="18" t="e">
        <f t="shared" si="47"/>
        <v>#VALUE!</v>
      </c>
      <c r="BW127" s="18" t="e">
        <f>BV127^3+BT122*BV127+BU122</f>
        <v>#VALUE!</v>
      </c>
      <c r="BX127" s="18" t="e">
        <f>3*BV127^2+BT122</f>
        <v>#VALUE!</v>
      </c>
      <c r="BY127" s="18" t="e">
        <f t="shared" si="42"/>
        <v>#VALUE!</v>
      </c>
      <c r="BZ127" s="31"/>
      <c r="CA127" s="32"/>
    </row>
    <row r="128" spans="36:79" ht="18" hidden="1" customHeight="1" x14ac:dyDescent="0.15">
      <c r="AJ128" s="277" t="e">
        <f>3*(AM138^2)*AN138/(8*AO138*AP138)</f>
        <v>#VALUE!</v>
      </c>
      <c r="AK128" s="278"/>
      <c r="AL128" s="118" t="e">
        <f t="shared" si="43"/>
        <v>#VALUE!</v>
      </c>
      <c r="AM128" s="118" t="e">
        <f>AL128^3+AJ122*AL128+AK122</f>
        <v>#VALUE!</v>
      </c>
      <c r="AN128" s="118" t="e">
        <f>3*AL128^2+AJ122</f>
        <v>#VALUE!</v>
      </c>
      <c r="AO128" s="118" t="e">
        <f t="shared" si="38"/>
        <v>#VALUE!</v>
      </c>
      <c r="AP128" s="116"/>
      <c r="AQ128" s="117"/>
      <c r="AS128" s="277" t="e">
        <f>3*(AV138^2)*AW138/(8*AX138*AY138)</f>
        <v>#VALUE!</v>
      </c>
      <c r="AT128" s="278"/>
      <c r="AU128" s="118" t="e">
        <f t="shared" si="44"/>
        <v>#VALUE!</v>
      </c>
      <c r="AV128" s="118" t="e">
        <f>AU128^3+AS122*AU128+AT122</f>
        <v>#VALUE!</v>
      </c>
      <c r="AW128" s="118" t="e">
        <f>3*AU128^2+AS122</f>
        <v>#VALUE!</v>
      </c>
      <c r="AX128" s="118" t="e">
        <f t="shared" si="39"/>
        <v>#VALUE!</v>
      </c>
      <c r="AY128" s="116"/>
      <c r="AZ128" s="117"/>
      <c r="BB128" s="277" t="e">
        <f>3*(BE138^2)*BF138/(8*BG138*BH138)</f>
        <v>#VALUE!</v>
      </c>
      <c r="BC128" s="278"/>
      <c r="BD128" s="118" t="e">
        <f t="shared" si="45"/>
        <v>#VALUE!</v>
      </c>
      <c r="BE128" s="118" t="e">
        <f>BD128^3+BB122*BD128+BC122</f>
        <v>#VALUE!</v>
      </c>
      <c r="BF128" s="118" t="e">
        <f>3*BD128^2+BB122</f>
        <v>#VALUE!</v>
      </c>
      <c r="BG128" s="118" t="e">
        <f t="shared" si="40"/>
        <v>#VALUE!</v>
      </c>
      <c r="BH128" s="116"/>
      <c r="BI128" s="117"/>
      <c r="BK128" s="277" t="e">
        <f>3*(BN138^2)*BO138/(8*BP138*BQ138)</f>
        <v>#VALUE!</v>
      </c>
      <c r="BL128" s="278"/>
      <c r="BM128" s="118" t="e">
        <f t="shared" si="46"/>
        <v>#VALUE!</v>
      </c>
      <c r="BN128" s="118" t="e">
        <f>BM128^3+BK122*BM128+BL122</f>
        <v>#VALUE!</v>
      </c>
      <c r="BO128" s="118" t="e">
        <f>3*BM128^2+BK122</f>
        <v>#VALUE!</v>
      </c>
      <c r="BP128" s="118" t="e">
        <f t="shared" si="41"/>
        <v>#VALUE!</v>
      </c>
      <c r="BQ128" s="116"/>
      <c r="BR128" s="117"/>
      <c r="BT128" s="277" t="e">
        <f>3*(BW138^2)*BX138/(8*BY138*BZ138)</f>
        <v>#VALUE!</v>
      </c>
      <c r="BU128" s="278"/>
      <c r="BV128" s="118" t="e">
        <f t="shared" si="47"/>
        <v>#VALUE!</v>
      </c>
      <c r="BW128" s="118" t="e">
        <f>BV128^3+BT122*BV128+BU122</f>
        <v>#VALUE!</v>
      </c>
      <c r="BX128" s="118" t="e">
        <f>3*BV128^2+BT122</f>
        <v>#VALUE!</v>
      </c>
      <c r="BY128" s="118" t="e">
        <f t="shared" si="42"/>
        <v>#VALUE!</v>
      </c>
      <c r="BZ128" s="116"/>
      <c r="CA128" s="117"/>
    </row>
    <row r="129" spans="36:79" ht="18" hidden="1" customHeight="1" x14ac:dyDescent="0.15">
      <c r="AJ129" s="121"/>
      <c r="AK129" s="122"/>
      <c r="AL129" s="118" t="e">
        <f t="shared" si="43"/>
        <v>#VALUE!</v>
      </c>
      <c r="AM129" s="118" t="e">
        <f>AL129^3+AJ122*AL129+AK122</f>
        <v>#VALUE!</v>
      </c>
      <c r="AN129" s="118" t="e">
        <f>3*AL129^2+AJ122</f>
        <v>#VALUE!</v>
      </c>
      <c r="AO129" s="118" t="e">
        <f t="shared" si="38"/>
        <v>#VALUE!</v>
      </c>
      <c r="AP129" s="119"/>
      <c r="AQ129" s="120"/>
      <c r="AS129" s="121"/>
      <c r="AT129" s="122"/>
      <c r="AU129" s="118" t="e">
        <f t="shared" si="44"/>
        <v>#VALUE!</v>
      </c>
      <c r="AV129" s="118" t="e">
        <f>AU129^3+AS122*AU129+AT122</f>
        <v>#VALUE!</v>
      </c>
      <c r="AW129" s="118" t="e">
        <f>3*AU129^2+AS122</f>
        <v>#VALUE!</v>
      </c>
      <c r="AX129" s="118" t="e">
        <f t="shared" si="39"/>
        <v>#VALUE!</v>
      </c>
      <c r="AY129" s="119"/>
      <c r="AZ129" s="120"/>
      <c r="BB129" s="121"/>
      <c r="BC129" s="122"/>
      <c r="BD129" s="118" t="e">
        <f t="shared" si="45"/>
        <v>#VALUE!</v>
      </c>
      <c r="BE129" s="118" t="e">
        <f>BD129^3+BB122*BD129+BC122</f>
        <v>#VALUE!</v>
      </c>
      <c r="BF129" s="118" t="e">
        <f>3*BD129^2+BB122</f>
        <v>#VALUE!</v>
      </c>
      <c r="BG129" s="118" t="e">
        <f t="shared" si="40"/>
        <v>#VALUE!</v>
      </c>
      <c r="BH129" s="119"/>
      <c r="BI129" s="120"/>
      <c r="BK129" s="121"/>
      <c r="BL129" s="122"/>
      <c r="BM129" s="118" t="e">
        <f t="shared" si="46"/>
        <v>#VALUE!</v>
      </c>
      <c r="BN129" s="118" t="e">
        <f>BM129^3+BK122*BM129+BL122</f>
        <v>#VALUE!</v>
      </c>
      <c r="BO129" s="118" t="e">
        <f>3*BM129^2+BK122</f>
        <v>#VALUE!</v>
      </c>
      <c r="BP129" s="118" t="e">
        <f t="shared" si="41"/>
        <v>#VALUE!</v>
      </c>
      <c r="BQ129" s="119"/>
      <c r="BR129" s="120"/>
      <c r="BT129" s="121"/>
      <c r="BU129" s="122"/>
      <c r="BV129" s="118" t="e">
        <f t="shared" si="47"/>
        <v>#VALUE!</v>
      </c>
      <c r="BW129" s="118" t="e">
        <f>BV129^3+BT122*BV129+BU122</f>
        <v>#VALUE!</v>
      </c>
      <c r="BX129" s="118" t="e">
        <f>3*BV129^2+BT122</f>
        <v>#VALUE!</v>
      </c>
      <c r="BY129" s="118" t="e">
        <f t="shared" si="42"/>
        <v>#VALUE!</v>
      </c>
      <c r="BZ129" s="119"/>
      <c r="CA129" s="120"/>
    </row>
    <row r="130" spans="36:79" ht="18" hidden="1" customHeight="1" x14ac:dyDescent="0.15">
      <c r="AJ130" s="269" t="s">
        <v>244</v>
      </c>
      <c r="AK130" s="270"/>
      <c r="AL130" s="118" t="e">
        <f t="shared" si="43"/>
        <v>#VALUE!</v>
      </c>
      <c r="AM130" s="118" t="e">
        <f>AL130^3+AJ122*AL130+AK122</f>
        <v>#VALUE!</v>
      </c>
      <c r="AN130" s="118" t="e">
        <f>3*AL130^2+AJ122</f>
        <v>#VALUE!</v>
      </c>
      <c r="AO130" s="118" t="e">
        <f t="shared" si="38"/>
        <v>#VALUE!</v>
      </c>
      <c r="AP130" s="14" t="s">
        <v>245</v>
      </c>
      <c r="AQ130" s="123" t="e">
        <f>AO136</f>
        <v>#VALUE!</v>
      </c>
      <c r="AS130" s="269" t="s">
        <v>244</v>
      </c>
      <c r="AT130" s="270"/>
      <c r="AU130" s="118" t="e">
        <f t="shared" si="44"/>
        <v>#VALUE!</v>
      </c>
      <c r="AV130" s="118" t="e">
        <f>AU130^3+AS122*AU130+AT122</f>
        <v>#VALUE!</v>
      </c>
      <c r="AW130" s="118" t="e">
        <f>3*AU130^2+AS122</f>
        <v>#VALUE!</v>
      </c>
      <c r="AX130" s="118" t="e">
        <f t="shared" si="39"/>
        <v>#VALUE!</v>
      </c>
      <c r="AY130" s="14" t="s">
        <v>245</v>
      </c>
      <c r="AZ130" s="123" t="e">
        <f>AX136</f>
        <v>#VALUE!</v>
      </c>
      <c r="BB130" s="269" t="s">
        <v>244</v>
      </c>
      <c r="BC130" s="270"/>
      <c r="BD130" s="118" t="e">
        <f t="shared" si="45"/>
        <v>#VALUE!</v>
      </c>
      <c r="BE130" s="118" t="e">
        <f>BD130^3+BB122*BD130+BC122</f>
        <v>#VALUE!</v>
      </c>
      <c r="BF130" s="118" t="e">
        <f>3*BD130^2+BB122</f>
        <v>#VALUE!</v>
      </c>
      <c r="BG130" s="118" t="e">
        <f t="shared" si="40"/>
        <v>#VALUE!</v>
      </c>
      <c r="BH130" s="14" t="s">
        <v>245</v>
      </c>
      <c r="BI130" s="123" t="e">
        <f>BG136</f>
        <v>#VALUE!</v>
      </c>
      <c r="BK130" s="269" t="s">
        <v>244</v>
      </c>
      <c r="BL130" s="270"/>
      <c r="BM130" s="118" t="e">
        <f t="shared" si="46"/>
        <v>#VALUE!</v>
      </c>
      <c r="BN130" s="118" t="e">
        <f>BM130^3+BK122*BM130+BL122</f>
        <v>#VALUE!</v>
      </c>
      <c r="BO130" s="118" t="e">
        <f>3*BM130^2+BK122</f>
        <v>#VALUE!</v>
      </c>
      <c r="BP130" s="118" t="e">
        <f t="shared" si="41"/>
        <v>#VALUE!</v>
      </c>
      <c r="BQ130" s="14" t="s">
        <v>245</v>
      </c>
      <c r="BR130" s="123" t="e">
        <f>BP136</f>
        <v>#VALUE!</v>
      </c>
      <c r="BT130" s="269" t="s">
        <v>244</v>
      </c>
      <c r="BU130" s="270"/>
      <c r="BV130" s="118" t="e">
        <f t="shared" si="47"/>
        <v>#VALUE!</v>
      </c>
      <c r="BW130" s="118" t="e">
        <f>BV130^3+BT122*BV130+BU122</f>
        <v>#VALUE!</v>
      </c>
      <c r="BX130" s="118" t="e">
        <f>3*BV130^2+BT122</f>
        <v>#VALUE!</v>
      </c>
      <c r="BY130" s="118" t="e">
        <f t="shared" si="42"/>
        <v>#VALUE!</v>
      </c>
      <c r="BZ130" s="14" t="s">
        <v>245</v>
      </c>
      <c r="CA130" s="123" t="e">
        <f>BY136</f>
        <v>#VALUE!</v>
      </c>
    </row>
    <row r="131" spans="36:79" ht="18" hidden="1" customHeight="1" x14ac:dyDescent="0.15">
      <c r="AJ131" s="271" t="e">
        <f>AJ128*AL138*AK138/AK138</f>
        <v>#VALUE!</v>
      </c>
      <c r="AK131" s="272"/>
      <c r="AL131" s="118" t="e">
        <f t="shared" si="43"/>
        <v>#VALUE!</v>
      </c>
      <c r="AM131" s="118" t="e">
        <f>AL131^3+AJ122*AL131+AK122</f>
        <v>#VALUE!</v>
      </c>
      <c r="AN131" s="118" t="e">
        <f>3*AL131^2+AJ122</f>
        <v>#VALUE!</v>
      </c>
      <c r="AO131" s="118" t="e">
        <f t="shared" si="38"/>
        <v>#VALUE!</v>
      </c>
      <c r="AP131" s="14" t="s">
        <v>246</v>
      </c>
      <c r="AQ131" s="124" t="e">
        <f>AK138*AM138^2/(8*AO136)</f>
        <v>#VALUE!</v>
      </c>
      <c r="AS131" s="271" t="e">
        <f>AS128*AU138*AT138/AT138</f>
        <v>#VALUE!</v>
      </c>
      <c r="AT131" s="272"/>
      <c r="AU131" s="118" t="e">
        <f t="shared" si="44"/>
        <v>#VALUE!</v>
      </c>
      <c r="AV131" s="118" t="e">
        <f>AU131^3+AS122*AU131+AT122</f>
        <v>#VALUE!</v>
      </c>
      <c r="AW131" s="118" t="e">
        <f>3*AU131^2+AS122</f>
        <v>#VALUE!</v>
      </c>
      <c r="AX131" s="118" t="e">
        <f t="shared" si="39"/>
        <v>#VALUE!</v>
      </c>
      <c r="AY131" s="14" t="s">
        <v>246</v>
      </c>
      <c r="AZ131" s="124" t="e">
        <f>AT138*AV138^2/(8*AX136)</f>
        <v>#VALUE!</v>
      </c>
      <c r="BB131" s="271" t="e">
        <f>BB128*BD138*BC138/BC138</f>
        <v>#VALUE!</v>
      </c>
      <c r="BC131" s="272"/>
      <c r="BD131" s="118" t="e">
        <f t="shared" si="45"/>
        <v>#VALUE!</v>
      </c>
      <c r="BE131" s="118" t="e">
        <f>BD131^3+BB122*BD131+BC122</f>
        <v>#VALUE!</v>
      </c>
      <c r="BF131" s="118" t="e">
        <f>3*BD131^2+BB122</f>
        <v>#VALUE!</v>
      </c>
      <c r="BG131" s="118" t="e">
        <f t="shared" si="40"/>
        <v>#VALUE!</v>
      </c>
      <c r="BH131" s="14" t="s">
        <v>246</v>
      </c>
      <c r="BI131" s="124" t="e">
        <f>BC138*BE138^2/(8*BG136)</f>
        <v>#VALUE!</v>
      </c>
      <c r="BK131" s="271" t="e">
        <f>BK128*BM138*BL138/BL138</f>
        <v>#VALUE!</v>
      </c>
      <c r="BL131" s="272"/>
      <c r="BM131" s="118" t="e">
        <f t="shared" si="46"/>
        <v>#VALUE!</v>
      </c>
      <c r="BN131" s="118" t="e">
        <f>BM131^3+BK122*BM131+BL122</f>
        <v>#VALUE!</v>
      </c>
      <c r="BO131" s="118" t="e">
        <f>3*BM131^2+BK122</f>
        <v>#VALUE!</v>
      </c>
      <c r="BP131" s="118" t="e">
        <f t="shared" si="41"/>
        <v>#VALUE!</v>
      </c>
      <c r="BQ131" s="14" t="s">
        <v>246</v>
      </c>
      <c r="BR131" s="124" t="e">
        <f>BL138*BN138^2/(8*BP136)</f>
        <v>#VALUE!</v>
      </c>
      <c r="BT131" s="271" t="e">
        <f>BT128*BV138*BU138/BU138</f>
        <v>#VALUE!</v>
      </c>
      <c r="BU131" s="272"/>
      <c r="BV131" s="118" t="e">
        <f t="shared" si="47"/>
        <v>#VALUE!</v>
      </c>
      <c r="BW131" s="118" t="e">
        <f>BV131^3+BT122*BV131+BU122</f>
        <v>#VALUE!</v>
      </c>
      <c r="BX131" s="118" t="e">
        <f>3*BV131^2+BT122</f>
        <v>#VALUE!</v>
      </c>
      <c r="BY131" s="118" t="e">
        <f t="shared" si="42"/>
        <v>#VALUE!</v>
      </c>
      <c r="BZ131" s="14" t="s">
        <v>246</v>
      </c>
      <c r="CA131" s="124" t="e">
        <f>BU138*BW138^2/(8*BY136)</f>
        <v>#VALUE!</v>
      </c>
    </row>
    <row r="132" spans="36:79" ht="18" hidden="1" customHeight="1" x14ac:dyDescent="0.15">
      <c r="AJ132" s="125"/>
      <c r="AK132" s="126"/>
      <c r="AL132" s="118" t="e">
        <f t="shared" si="43"/>
        <v>#VALUE!</v>
      </c>
      <c r="AM132" s="118" t="e">
        <f>AL132^3+AJ122*AL132+AK122</f>
        <v>#VALUE!</v>
      </c>
      <c r="AN132" s="118" t="e">
        <f>3*AL132^2+AJ122</f>
        <v>#VALUE!</v>
      </c>
      <c r="AO132" s="118" t="e">
        <f t="shared" si="38"/>
        <v>#VALUE!</v>
      </c>
      <c r="AP132" s="116"/>
      <c r="AQ132" s="117"/>
      <c r="AS132" s="125"/>
      <c r="AT132" s="126"/>
      <c r="AU132" s="118" t="e">
        <f t="shared" si="44"/>
        <v>#VALUE!</v>
      </c>
      <c r="AV132" s="118" t="e">
        <f>AU132^3+AS122*AU132+AT122</f>
        <v>#VALUE!</v>
      </c>
      <c r="AW132" s="118" t="e">
        <f>3*AU132^2+AS122</f>
        <v>#VALUE!</v>
      </c>
      <c r="AX132" s="118" t="e">
        <f t="shared" si="39"/>
        <v>#VALUE!</v>
      </c>
      <c r="AY132" s="116"/>
      <c r="AZ132" s="117"/>
      <c r="BB132" s="125"/>
      <c r="BC132" s="126"/>
      <c r="BD132" s="118" t="e">
        <f t="shared" si="45"/>
        <v>#VALUE!</v>
      </c>
      <c r="BE132" s="118" t="e">
        <f>BD132^3+BB122*BD132+BC122</f>
        <v>#VALUE!</v>
      </c>
      <c r="BF132" s="118" t="e">
        <f>3*BD132^2+BB122</f>
        <v>#VALUE!</v>
      </c>
      <c r="BG132" s="118" t="e">
        <f t="shared" si="40"/>
        <v>#VALUE!</v>
      </c>
      <c r="BH132" s="116"/>
      <c r="BI132" s="117"/>
      <c r="BK132" s="125"/>
      <c r="BL132" s="126"/>
      <c r="BM132" s="118" t="e">
        <f t="shared" si="46"/>
        <v>#VALUE!</v>
      </c>
      <c r="BN132" s="118" t="e">
        <f>BM132^3+BK122*BM132+BL122</f>
        <v>#VALUE!</v>
      </c>
      <c r="BO132" s="118" t="e">
        <f>3*BM132^2+BK122</f>
        <v>#VALUE!</v>
      </c>
      <c r="BP132" s="118" t="e">
        <f t="shared" si="41"/>
        <v>#VALUE!</v>
      </c>
      <c r="BQ132" s="116"/>
      <c r="BR132" s="117"/>
      <c r="BT132" s="125"/>
      <c r="BU132" s="126"/>
      <c r="BV132" s="118" t="e">
        <f t="shared" si="47"/>
        <v>#VALUE!</v>
      </c>
      <c r="BW132" s="118" t="e">
        <f>BV132^3+BT122*BV132+BU122</f>
        <v>#VALUE!</v>
      </c>
      <c r="BX132" s="118" t="e">
        <f>3*BV132^2+BT122</f>
        <v>#VALUE!</v>
      </c>
      <c r="BY132" s="118" t="e">
        <f t="shared" si="42"/>
        <v>#VALUE!</v>
      </c>
      <c r="BZ132" s="116"/>
      <c r="CA132" s="117"/>
    </row>
    <row r="133" spans="36:79" ht="18" hidden="1" customHeight="1" x14ac:dyDescent="0.15">
      <c r="AJ133" s="125"/>
      <c r="AK133" s="126"/>
      <c r="AL133" s="118" t="e">
        <f t="shared" si="43"/>
        <v>#VALUE!</v>
      </c>
      <c r="AM133" s="118" t="e">
        <f>AL133^3+AJ122*AL133+AK122</f>
        <v>#VALUE!</v>
      </c>
      <c r="AN133" s="118" t="e">
        <f>3*AL133^2+AJ122</f>
        <v>#VALUE!</v>
      </c>
      <c r="AO133" s="118" t="e">
        <f t="shared" si="38"/>
        <v>#VALUE!</v>
      </c>
      <c r="AP133" s="112" t="s">
        <v>147</v>
      </c>
      <c r="AQ133" s="113">
        <v>0</v>
      </c>
      <c r="AS133" s="125"/>
      <c r="AT133" s="126"/>
      <c r="AU133" s="118" t="e">
        <f t="shared" si="44"/>
        <v>#VALUE!</v>
      </c>
      <c r="AV133" s="118" t="e">
        <f>AU133^3+AS122*AU133+AT122</f>
        <v>#VALUE!</v>
      </c>
      <c r="AW133" s="118" t="e">
        <f>3*AU133^2+AS122</f>
        <v>#VALUE!</v>
      </c>
      <c r="AX133" s="118" t="e">
        <f t="shared" si="39"/>
        <v>#VALUE!</v>
      </c>
      <c r="AY133" s="112" t="s">
        <v>147</v>
      </c>
      <c r="AZ133" s="113">
        <v>0</v>
      </c>
      <c r="BB133" s="125"/>
      <c r="BC133" s="126"/>
      <c r="BD133" s="118" t="e">
        <f t="shared" si="45"/>
        <v>#VALUE!</v>
      </c>
      <c r="BE133" s="118" t="e">
        <f>BD133^3+BB122*BD133+BC122</f>
        <v>#VALUE!</v>
      </c>
      <c r="BF133" s="118" t="e">
        <f>3*BD133^2+BB122</f>
        <v>#VALUE!</v>
      </c>
      <c r="BG133" s="118" t="e">
        <f t="shared" si="40"/>
        <v>#VALUE!</v>
      </c>
      <c r="BH133" s="112" t="s">
        <v>147</v>
      </c>
      <c r="BI133" s="113">
        <v>0</v>
      </c>
      <c r="BK133" s="125"/>
      <c r="BL133" s="126"/>
      <c r="BM133" s="118" t="e">
        <f t="shared" si="46"/>
        <v>#VALUE!</v>
      </c>
      <c r="BN133" s="118" t="e">
        <f>BM133^3+BK122*BM133+BL122</f>
        <v>#VALUE!</v>
      </c>
      <c r="BO133" s="118" t="e">
        <f>3*BM133^2+BK122</f>
        <v>#VALUE!</v>
      </c>
      <c r="BP133" s="118" t="e">
        <f t="shared" si="41"/>
        <v>#VALUE!</v>
      </c>
      <c r="BQ133" s="112" t="s">
        <v>147</v>
      </c>
      <c r="BR133" s="113">
        <v>0</v>
      </c>
      <c r="BT133" s="125"/>
      <c r="BU133" s="126"/>
      <c r="BV133" s="118" t="e">
        <f t="shared" si="47"/>
        <v>#VALUE!</v>
      </c>
      <c r="BW133" s="118" t="e">
        <f>BV133^3+BT122*BV133+BU122</f>
        <v>#VALUE!</v>
      </c>
      <c r="BX133" s="118" t="e">
        <f>3*BV133^2+BT122</f>
        <v>#VALUE!</v>
      </c>
      <c r="BY133" s="118" t="e">
        <f t="shared" si="42"/>
        <v>#VALUE!</v>
      </c>
      <c r="BZ133" s="112" t="s">
        <v>147</v>
      </c>
      <c r="CA133" s="113">
        <v>0</v>
      </c>
    </row>
    <row r="134" spans="36:79" ht="18" hidden="1" customHeight="1" x14ac:dyDescent="0.15">
      <c r="AJ134" s="125"/>
      <c r="AK134" s="126"/>
      <c r="AL134" s="118" t="e">
        <f t="shared" si="43"/>
        <v>#VALUE!</v>
      </c>
      <c r="AM134" s="118" t="e">
        <f>AL134^3+AJ122*AL134+AK122</f>
        <v>#VALUE!</v>
      </c>
      <c r="AN134" s="118" t="e">
        <f>3*AL134^2+AJ122</f>
        <v>#VALUE!</v>
      </c>
      <c r="AO134" s="118" t="e">
        <f t="shared" si="38"/>
        <v>#VALUE!</v>
      </c>
      <c r="AP134" s="128" t="s">
        <v>218</v>
      </c>
      <c r="AQ134" s="32"/>
      <c r="AS134" s="125"/>
      <c r="AT134" s="126"/>
      <c r="AU134" s="118" t="e">
        <f t="shared" si="44"/>
        <v>#VALUE!</v>
      </c>
      <c r="AV134" s="118" t="e">
        <f>AU134^3+AS122*AU134+AT122</f>
        <v>#VALUE!</v>
      </c>
      <c r="AW134" s="118" t="e">
        <f>3*AU134^2+AS122</f>
        <v>#VALUE!</v>
      </c>
      <c r="AX134" s="118" t="e">
        <f t="shared" si="39"/>
        <v>#VALUE!</v>
      </c>
      <c r="AY134" s="128" t="s">
        <v>219</v>
      </c>
      <c r="AZ134" s="32"/>
      <c r="BB134" s="125"/>
      <c r="BC134" s="126"/>
      <c r="BD134" s="118" t="e">
        <f t="shared" si="45"/>
        <v>#VALUE!</v>
      </c>
      <c r="BE134" s="118" t="e">
        <f>BD134^3+BB122*BD134+BC122</f>
        <v>#VALUE!</v>
      </c>
      <c r="BF134" s="118" t="e">
        <f>3*BD134^2+BB122</f>
        <v>#VALUE!</v>
      </c>
      <c r="BG134" s="118" t="e">
        <f t="shared" si="40"/>
        <v>#VALUE!</v>
      </c>
      <c r="BH134" s="128" t="s">
        <v>220</v>
      </c>
      <c r="BI134" s="32"/>
      <c r="BK134" s="125"/>
      <c r="BL134" s="126"/>
      <c r="BM134" s="118" t="e">
        <f t="shared" si="46"/>
        <v>#VALUE!</v>
      </c>
      <c r="BN134" s="118" t="e">
        <f>BM134^3+BK122*BM134+BL122</f>
        <v>#VALUE!</v>
      </c>
      <c r="BO134" s="118" t="e">
        <f>3*BM134^2+BK122</f>
        <v>#VALUE!</v>
      </c>
      <c r="BP134" s="118" t="e">
        <f t="shared" si="41"/>
        <v>#VALUE!</v>
      </c>
      <c r="BQ134" s="128" t="s">
        <v>221</v>
      </c>
      <c r="BR134" s="32"/>
      <c r="BT134" s="125"/>
      <c r="BU134" s="126"/>
      <c r="BV134" s="118" t="e">
        <f t="shared" si="47"/>
        <v>#VALUE!</v>
      </c>
      <c r="BW134" s="118" t="e">
        <f>BV134^3+BT122*BV134+BU122</f>
        <v>#VALUE!</v>
      </c>
      <c r="BX134" s="118" t="e">
        <f>3*BV134^2+BT122</f>
        <v>#VALUE!</v>
      </c>
      <c r="BY134" s="118" t="e">
        <f t="shared" si="42"/>
        <v>#VALUE!</v>
      </c>
      <c r="BZ134" s="128" t="s">
        <v>222</v>
      </c>
      <c r="CA134" s="32"/>
    </row>
    <row r="135" spans="36:79" ht="18" hidden="1" customHeight="1" x14ac:dyDescent="0.15">
      <c r="AJ135" s="125"/>
      <c r="AK135" s="126"/>
      <c r="AL135" s="18" t="e">
        <f t="shared" si="43"/>
        <v>#VALUE!</v>
      </c>
      <c r="AM135" s="18" t="e">
        <f>AL135^3+AJ122*AL135+AK122</f>
        <v>#VALUE!</v>
      </c>
      <c r="AN135" s="18" t="e">
        <f>3*AL135^2+AJ122</f>
        <v>#VALUE!</v>
      </c>
      <c r="AO135" s="18" t="e">
        <f t="shared" si="38"/>
        <v>#VALUE!</v>
      </c>
      <c r="AP135" s="273" t="str">
        <f>M54</f>
        <v>無 風 時　 0[℃]</v>
      </c>
      <c r="AQ135" s="284"/>
      <c r="AS135" s="125"/>
      <c r="AT135" s="126"/>
      <c r="AU135" s="18" t="e">
        <f t="shared" si="44"/>
        <v>#VALUE!</v>
      </c>
      <c r="AV135" s="18" t="e">
        <f>AU135^3+AS122*AU135+AT122</f>
        <v>#VALUE!</v>
      </c>
      <c r="AW135" s="18" t="e">
        <f>3*AU135^2+AS122</f>
        <v>#VALUE!</v>
      </c>
      <c r="AX135" s="18" t="e">
        <f t="shared" si="39"/>
        <v>#VALUE!</v>
      </c>
      <c r="AY135" s="273" t="str">
        <f>M54</f>
        <v>無 風 時　 0[℃]</v>
      </c>
      <c r="AZ135" s="274"/>
      <c r="BB135" s="125"/>
      <c r="BC135" s="126"/>
      <c r="BD135" s="18" t="e">
        <f t="shared" si="45"/>
        <v>#VALUE!</v>
      </c>
      <c r="BE135" s="18" t="e">
        <f>BD135^3+BB122*BD135+BC122</f>
        <v>#VALUE!</v>
      </c>
      <c r="BF135" s="18" t="e">
        <f>3*BD135^2+BB122</f>
        <v>#VALUE!</v>
      </c>
      <c r="BG135" s="18" t="e">
        <f t="shared" si="40"/>
        <v>#VALUE!</v>
      </c>
      <c r="BH135" s="273" t="str">
        <f>M54</f>
        <v>無 風 時　 0[℃]</v>
      </c>
      <c r="BI135" s="274"/>
      <c r="BK135" s="125"/>
      <c r="BL135" s="126"/>
      <c r="BM135" s="18" t="e">
        <f t="shared" si="46"/>
        <v>#VALUE!</v>
      </c>
      <c r="BN135" s="18" t="e">
        <f>BM135^3+BK122*BM135+BL122</f>
        <v>#VALUE!</v>
      </c>
      <c r="BO135" s="18" t="e">
        <f>3*BM135^2+BK122</f>
        <v>#VALUE!</v>
      </c>
      <c r="BP135" s="18" t="e">
        <f t="shared" si="41"/>
        <v>#VALUE!</v>
      </c>
      <c r="BQ135" s="273" t="str">
        <f>M54</f>
        <v>無 風 時　 0[℃]</v>
      </c>
      <c r="BR135" s="274"/>
      <c r="BT135" s="125"/>
      <c r="BU135" s="126"/>
      <c r="BV135" s="18" t="e">
        <f t="shared" si="47"/>
        <v>#VALUE!</v>
      </c>
      <c r="BW135" s="18" t="e">
        <f>BV135^3+BT122*BV135+BU122</f>
        <v>#VALUE!</v>
      </c>
      <c r="BX135" s="18" t="e">
        <f>3*BV135^2+BT122</f>
        <v>#VALUE!</v>
      </c>
      <c r="BY135" s="18" t="e">
        <f t="shared" si="42"/>
        <v>#VALUE!</v>
      </c>
      <c r="BZ135" s="273" t="str">
        <f>M54</f>
        <v>無 風 時　 0[℃]</v>
      </c>
      <c r="CA135" s="274"/>
    </row>
    <row r="136" spans="36:79" ht="18" hidden="1" customHeight="1" thickBot="1" x14ac:dyDescent="0.2">
      <c r="AJ136" s="125"/>
      <c r="AK136" s="126"/>
      <c r="AL136" s="114" t="e">
        <f t="shared" si="43"/>
        <v>#VALUE!</v>
      </c>
      <c r="AM136" s="115" t="e">
        <f>AL136^3+AJ122*AL136+AK122</f>
        <v>#VALUE!</v>
      </c>
      <c r="AN136" s="115" t="e">
        <f>3*AL136^2+AJ122</f>
        <v>#VALUE!</v>
      </c>
      <c r="AO136" s="115" t="e">
        <f t="shared" si="38"/>
        <v>#VALUE!</v>
      </c>
      <c r="AP136" s="285"/>
      <c r="AQ136" s="286"/>
      <c r="AS136" s="125"/>
      <c r="AT136" s="126"/>
      <c r="AU136" s="114" t="e">
        <f t="shared" si="44"/>
        <v>#VALUE!</v>
      </c>
      <c r="AV136" s="115" t="e">
        <f>AU136^3+AS122*AU136+AT122</f>
        <v>#VALUE!</v>
      </c>
      <c r="AW136" s="115" t="e">
        <f>3*AU136^2+AS122</f>
        <v>#VALUE!</v>
      </c>
      <c r="AX136" s="115" t="e">
        <f t="shared" si="39"/>
        <v>#VALUE!</v>
      </c>
      <c r="AY136" s="275"/>
      <c r="AZ136" s="276"/>
      <c r="BB136" s="125"/>
      <c r="BC136" s="126"/>
      <c r="BD136" s="114" t="e">
        <f t="shared" si="45"/>
        <v>#VALUE!</v>
      </c>
      <c r="BE136" s="115" t="e">
        <f>BD136^3+BB122*BD136+BC122</f>
        <v>#VALUE!</v>
      </c>
      <c r="BF136" s="115" t="e">
        <f>3*BD136^2+BB122</f>
        <v>#VALUE!</v>
      </c>
      <c r="BG136" s="115" t="e">
        <f t="shared" si="40"/>
        <v>#VALUE!</v>
      </c>
      <c r="BH136" s="275"/>
      <c r="BI136" s="276"/>
      <c r="BK136" s="125"/>
      <c r="BL136" s="126"/>
      <c r="BM136" s="114" t="e">
        <f t="shared" si="46"/>
        <v>#VALUE!</v>
      </c>
      <c r="BN136" s="115" t="e">
        <f>BM136^3+BK122*BM136+BL122</f>
        <v>#VALUE!</v>
      </c>
      <c r="BO136" s="115" t="e">
        <f>3*BM136^2+BK122</f>
        <v>#VALUE!</v>
      </c>
      <c r="BP136" s="115" t="e">
        <f t="shared" si="41"/>
        <v>#VALUE!</v>
      </c>
      <c r="BQ136" s="275"/>
      <c r="BR136" s="276"/>
      <c r="BT136" s="125"/>
      <c r="BU136" s="126"/>
      <c r="BV136" s="114" t="e">
        <f t="shared" si="47"/>
        <v>#VALUE!</v>
      </c>
      <c r="BW136" s="115" t="e">
        <f>BV136^3+BT122*BV136+BU122</f>
        <v>#VALUE!</v>
      </c>
      <c r="BX136" s="115" t="e">
        <f>3*BV136^2+BT122</f>
        <v>#VALUE!</v>
      </c>
      <c r="BY136" s="115" t="e">
        <f t="shared" si="42"/>
        <v>#VALUE!</v>
      </c>
      <c r="BZ136" s="275"/>
      <c r="CA136" s="276"/>
    </row>
    <row r="137" spans="36:79" ht="18" hidden="1" customHeight="1" x14ac:dyDescent="0.15">
      <c r="AJ137" s="62"/>
      <c r="AK137" s="12" t="s">
        <v>224</v>
      </c>
      <c r="AL137" s="12" t="s">
        <v>225</v>
      </c>
      <c r="AM137" s="12" t="s">
        <v>226</v>
      </c>
      <c r="AN137" s="12" t="s">
        <v>227</v>
      </c>
      <c r="AO137" s="63" t="s">
        <v>228</v>
      </c>
      <c r="AP137" s="12" t="s">
        <v>229</v>
      </c>
      <c r="AQ137" s="13" t="s">
        <v>230</v>
      </c>
      <c r="AS137" s="62"/>
      <c r="AT137" s="12" t="s">
        <v>224</v>
      </c>
      <c r="AU137" s="12" t="s">
        <v>225</v>
      </c>
      <c r="AV137" s="12" t="s">
        <v>226</v>
      </c>
      <c r="AW137" s="12" t="s">
        <v>227</v>
      </c>
      <c r="AX137" s="63" t="s">
        <v>228</v>
      </c>
      <c r="AY137" s="12" t="s">
        <v>229</v>
      </c>
      <c r="AZ137" s="13" t="s">
        <v>230</v>
      </c>
      <c r="BB137" s="62"/>
      <c r="BC137" s="12" t="s">
        <v>224</v>
      </c>
      <c r="BD137" s="12" t="s">
        <v>225</v>
      </c>
      <c r="BE137" s="12" t="s">
        <v>226</v>
      </c>
      <c r="BF137" s="12" t="s">
        <v>227</v>
      </c>
      <c r="BG137" s="63" t="s">
        <v>228</v>
      </c>
      <c r="BH137" s="12" t="s">
        <v>229</v>
      </c>
      <c r="BI137" s="13" t="s">
        <v>230</v>
      </c>
      <c r="BK137" s="62"/>
      <c r="BL137" s="12" t="s">
        <v>224</v>
      </c>
      <c r="BM137" s="12" t="s">
        <v>225</v>
      </c>
      <c r="BN137" s="12" t="s">
        <v>226</v>
      </c>
      <c r="BO137" s="12" t="s">
        <v>227</v>
      </c>
      <c r="BP137" s="63" t="s">
        <v>228</v>
      </c>
      <c r="BQ137" s="12" t="s">
        <v>229</v>
      </c>
      <c r="BR137" s="13" t="s">
        <v>230</v>
      </c>
      <c r="BT137" s="62"/>
      <c r="BU137" s="12" t="s">
        <v>224</v>
      </c>
      <c r="BV137" s="12" t="s">
        <v>225</v>
      </c>
      <c r="BW137" s="12" t="s">
        <v>226</v>
      </c>
      <c r="BX137" s="12" t="s">
        <v>227</v>
      </c>
      <c r="BY137" s="63" t="s">
        <v>228</v>
      </c>
      <c r="BZ137" s="12" t="s">
        <v>229</v>
      </c>
      <c r="CA137" s="13" t="s">
        <v>230</v>
      </c>
    </row>
    <row r="138" spans="36:79" ht="18" hidden="1" customHeight="1" thickBot="1" x14ac:dyDescent="0.2">
      <c r="AJ138" s="107"/>
      <c r="AK138" s="108" t="e">
        <f>M23+U23</f>
        <v>#VALUE!</v>
      </c>
      <c r="AL138" s="108">
        <f>IF(C33="",L19*(F19/40)^2,C33)</f>
        <v>0</v>
      </c>
      <c r="AM138" s="108">
        <f>F19</f>
        <v>0</v>
      </c>
      <c r="AN138" s="108" t="e">
        <f>AK78*1600/(8*L19)</f>
        <v>#VALUE!</v>
      </c>
      <c r="AO138" s="109">
        <f>V23</f>
        <v>0</v>
      </c>
      <c r="AP138" s="108" t="str">
        <f>L23</f>
        <v/>
      </c>
      <c r="AQ138" s="110">
        <f>W23</f>
        <v>0</v>
      </c>
      <c r="AS138" s="107"/>
      <c r="AT138" s="108" t="str">
        <f>IF(B24="使用電線-2",M24+U24,IF(B25="使用電線-2",M25+U25,IF(B26="使用電線-2",M26+U26,IF(B27="使用電線-2",M27+U27,IF(B28="使用電線-2",M28+U28,IF(B29="使用電線-2",M29+U29,""))))))</f>
        <v/>
      </c>
      <c r="AU138" s="108">
        <f>IF(I33="",L19*(F19/40)^2,I33)</f>
        <v>0</v>
      </c>
      <c r="AV138" s="108">
        <f>F19</f>
        <v>0</v>
      </c>
      <c r="AW138" s="108" t="e">
        <f>AT138*1600/(8*L19)</f>
        <v>#VALUE!</v>
      </c>
      <c r="AX138" s="109" t="str">
        <f>IF(B24="使用電線-2",V24,IF(B25="使用電線-2",V25,IF(B26="使用電線-2",V26,IF(B27="使用電線-2",V27,IF(B28="使用電線-2",V28,IF(B29="使用電線-2",V29,""))))))</f>
        <v/>
      </c>
      <c r="AY138" s="108" t="str">
        <f>IF(B24="使用電線-2",L24,IF(B25="使用電線-2",L25,IF(B26="使用電線-2",L26,IF(B27="使用電線-2",L27,IF(B28="使用電線-2",L28,IF(B29="使用電線-2",L29,""))))))</f>
        <v/>
      </c>
      <c r="AZ138" s="110" t="str">
        <f>IF(B24="使用電線-2",W24,IF(B25="使用電線-2",W25,IF(B26="使用電線-2",W26,IF(B27="使用電線-2",W27,IF(B28="使用電線-2",W28,IF(B29="使用電線-2",W29,""))))))</f>
        <v/>
      </c>
      <c r="BB138" s="107"/>
      <c r="BC138" s="108" t="str">
        <f>IF(B25="使用電線-3",M25+U25,IF(B26="使用電線-3",M26+U26,IF(B27="使用電線-3",M27+U27,IF(B28="使用電線-3",M28+U28,IF(B29="使用電線-3",M29+U29,"")))))</f>
        <v/>
      </c>
      <c r="BD138" s="108">
        <f>IF(N33="",L19*(F19/40)^2,N33)</f>
        <v>0</v>
      </c>
      <c r="BE138" s="108">
        <f>F19</f>
        <v>0</v>
      </c>
      <c r="BF138" s="108" t="e">
        <f>BC138*1600/(8*L19)</f>
        <v>#VALUE!</v>
      </c>
      <c r="BG138" s="109" t="str">
        <f>IF(B25="使用電線-3",V25,IF(B26="使用電線-3",V26,IF(B27="使用電線-3",V27,IF(B28="使用電線-3",V28,IF(B29="使用電線-3",V29,"")))))</f>
        <v/>
      </c>
      <c r="BH138" s="108" t="str">
        <f>IF(B25="使用電線-3",L25,IF(B26="使用電線-3",L26,IF(B27="使用電線-3",L27,IF(B28="使用電線-3",L28,IF(B29="使用電線-3",L29,"")))))</f>
        <v/>
      </c>
      <c r="BI138" s="110" t="str">
        <f>IF(B25="使用電線-3",W25,IF(B26="使用電線-3",W26,IF(B27="使用電線-3",W27,IF(B28="使用電線-3",W28,IF(B29="使用電線-3",W29,"")))))</f>
        <v/>
      </c>
      <c r="BK138" s="107"/>
      <c r="BL138" s="108" t="str">
        <f>IF(B26="使用電線-4",M26+U26,IF(B27="使用電線-4",M27+U27,IF(B28="使用電線-4",M28+U28,IF(B29="使用電線-4",M29+U29,""))))</f>
        <v/>
      </c>
      <c r="BM138" s="108">
        <f>IF(C47="",L19*(F19/40)^2,C47)</f>
        <v>0</v>
      </c>
      <c r="BN138" s="108">
        <f>F19</f>
        <v>0</v>
      </c>
      <c r="BO138" s="127" t="e">
        <f>BL138*1600/(8*L19)</f>
        <v>#VALUE!</v>
      </c>
      <c r="BP138" s="109" t="str">
        <f>IF(B26="使用電線-4",V26,IF(B27="使用電線-4",V27,IF(B28="使用電線-4",V28,IF(B29="使用電線-4",V29,""))))</f>
        <v/>
      </c>
      <c r="BQ138" s="108" t="str">
        <f>IF(B26="使用電線-4",L26,IF(B27="使用電線-4",L27,IF(B28="使用電線-4",L28,IF(B29="使用電線-4",L29,""))))</f>
        <v/>
      </c>
      <c r="BR138" s="110" t="str">
        <f>IF(B26="使用電線-4",W26,IF(B27="使用電線-4",W27,IF(B28="使用電線-4",W28,IF(B29="使用電線-4",W29,""))))</f>
        <v/>
      </c>
      <c r="BT138" s="107"/>
      <c r="BU138" s="108" t="str">
        <f>IF(B27="使用電線-5",M27+U27,IF(B28="使用電線-5",M28+U28,IF(B29="使用電線-5",M29+U29,"")))</f>
        <v/>
      </c>
      <c r="BV138" s="108">
        <f>IF(I47="",L19*(F19/40)^2,I47)</f>
        <v>0</v>
      </c>
      <c r="BW138" s="108">
        <f>F19</f>
        <v>0</v>
      </c>
      <c r="BX138" s="127" t="e">
        <f>BU138*1600/(8*L19)</f>
        <v>#VALUE!</v>
      </c>
      <c r="BY138" s="109" t="str">
        <f>IF(B27="使用電線-5",V27,IF(B28="使用電線-5",V28,IF(B29="使用電線-5",V29,"")))</f>
        <v/>
      </c>
      <c r="BZ138" s="108" t="str">
        <f>IF(B27="使用電線-5",L27,IF(B28="使用電線-5",L28,IF(B29="使用電線-5",L29,"")))</f>
        <v/>
      </c>
      <c r="CA138" s="110" t="str">
        <f>IF(B27="使用電線-5",W27,IF(B28="使用電線-5",W28,IF(B29="使用電線-5",W29,"")))</f>
        <v/>
      </c>
    </row>
    <row r="139" spans="36:79" ht="18" hidden="1" customHeight="1" x14ac:dyDescent="0.15"/>
    <row r="140" spans="36:79" ht="18" hidden="1" customHeight="1" thickBot="1" x14ac:dyDescent="0.2"/>
    <row r="141" spans="36:79" ht="18" hidden="1" customHeight="1" x14ac:dyDescent="0.15">
      <c r="AJ141" s="2" t="s">
        <v>232</v>
      </c>
      <c r="AK141" s="111" t="s">
        <v>233</v>
      </c>
      <c r="AL141" s="12" t="s">
        <v>234</v>
      </c>
      <c r="AM141" s="12" t="s">
        <v>235</v>
      </c>
      <c r="AN141" s="12" t="s">
        <v>236</v>
      </c>
      <c r="AO141" s="12" t="s">
        <v>237</v>
      </c>
      <c r="AP141" s="12" t="s">
        <v>238</v>
      </c>
      <c r="AQ141" s="13" t="s">
        <v>239</v>
      </c>
      <c r="AS141" s="2" t="s">
        <v>232</v>
      </c>
      <c r="AT141" s="111" t="s">
        <v>233</v>
      </c>
      <c r="AU141" s="12" t="s">
        <v>234</v>
      </c>
      <c r="AV141" s="12" t="s">
        <v>235</v>
      </c>
      <c r="AW141" s="12" t="s">
        <v>236</v>
      </c>
      <c r="AX141" s="12" t="s">
        <v>237</v>
      </c>
      <c r="AY141" s="12" t="s">
        <v>238</v>
      </c>
      <c r="AZ141" s="13" t="s">
        <v>239</v>
      </c>
      <c r="BB141" s="2" t="s">
        <v>232</v>
      </c>
      <c r="BC141" s="111" t="s">
        <v>233</v>
      </c>
      <c r="BD141" s="12" t="s">
        <v>234</v>
      </c>
      <c r="BE141" s="12" t="s">
        <v>235</v>
      </c>
      <c r="BF141" s="12" t="s">
        <v>236</v>
      </c>
      <c r="BG141" s="12" t="s">
        <v>237</v>
      </c>
      <c r="BH141" s="12" t="s">
        <v>238</v>
      </c>
      <c r="BI141" s="13" t="s">
        <v>239</v>
      </c>
      <c r="BK141" s="2" t="s">
        <v>232</v>
      </c>
      <c r="BL141" s="111" t="s">
        <v>233</v>
      </c>
      <c r="BM141" s="12" t="s">
        <v>234</v>
      </c>
      <c r="BN141" s="12" t="s">
        <v>235</v>
      </c>
      <c r="BO141" s="12" t="s">
        <v>236</v>
      </c>
      <c r="BP141" s="12" t="s">
        <v>237</v>
      </c>
      <c r="BQ141" s="12" t="s">
        <v>238</v>
      </c>
      <c r="BR141" s="13" t="s">
        <v>239</v>
      </c>
      <c r="BT141" s="2" t="s">
        <v>232</v>
      </c>
      <c r="BU141" s="111" t="s">
        <v>233</v>
      </c>
      <c r="BV141" s="12" t="s">
        <v>234</v>
      </c>
      <c r="BW141" s="12" t="s">
        <v>235</v>
      </c>
      <c r="BX141" s="12" t="s">
        <v>236</v>
      </c>
      <c r="BY141" s="12" t="s">
        <v>237</v>
      </c>
      <c r="BZ141" s="12" t="s">
        <v>238</v>
      </c>
      <c r="CA141" s="13" t="s">
        <v>239</v>
      </c>
    </row>
    <row r="142" spans="36:79" ht="18" hidden="1" customHeight="1" x14ac:dyDescent="0.15">
      <c r="AJ142" s="16" t="e">
        <f>-AJ145+AJ148</f>
        <v>#VALUE!</v>
      </c>
      <c r="AK142" s="17" t="e">
        <f>-AJ151</f>
        <v>#VALUE!</v>
      </c>
      <c r="AL142" s="18" t="e">
        <f>IF(AND(AP145&lt;0,AQ145&lt;0),AQ142*1.2,IF(AND(AP145&gt;0,AQ145&gt;0),AP142*0.8,10))</f>
        <v>#VALUE!</v>
      </c>
      <c r="AM142" s="18" t="e">
        <f>AL142^3+AJ142*AL142+AK142</f>
        <v>#VALUE!</v>
      </c>
      <c r="AN142" s="18" t="e">
        <f>3*AL142^2+AJ142</f>
        <v>#VALUE!</v>
      </c>
      <c r="AO142" s="18" t="e">
        <f t="shared" ref="AO142:AO156" si="48">AL142-AM142/AN142</f>
        <v>#VALUE!</v>
      </c>
      <c r="AP142" s="18" t="e">
        <f>-SQRT(ABS(-4*3*AJ142))/6</f>
        <v>#VALUE!</v>
      </c>
      <c r="AQ142" s="19" t="e">
        <f>SQRT(ABS(-4*3*AJ142))/6</f>
        <v>#VALUE!</v>
      </c>
      <c r="AS142" s="16" t="e">
        <f>-AS145+AS148</f>
        <v>#VALUE!</v>
      </c>
      <c r="AT142" s="17" t="e">
        <f>-AS151</f>
        <v>#VALUE!</v>
      </c>
      <c r="AU142" s="18" t="e">
        <f>IF(AND(AY145&lt;0,AZ145&lt;0),AZ142*1.2,IF(AND(AY145&gt;0,AZ145&gt;0),AY142*0.8,10))</f>
        <v>#VALUE!</v>
      </c>
      <c r="AV142" s="18" t="e">
        <f>AU142^3+AS142*AU142+AT142</f>
        <v>#VALUE!</v>
      </c>
      <c r="AW142" s="18" t="e">
        <f>3*AU142^2+AS142</f>
        <v>#VALUE!</v>
      </c>
      <c r="AX142" s="18" t="e">
        <f t="shared" ref="AX142:AX156" si="49">AU142-AV142/AW142</f>
        <v>#VALUE!</v>
      </c>
      <c r="AY142" s="18" t="e">
        <f>-SQRT(ABS(-4*3*AS142))/6</f>
        <v>#VALUE!</v>
      </c>
      <c r="AZ142" s="19" t="e">
        <f>SQRT(ABS(-4*3*AS142))/6</f>
        <v>#VALUE!</v>
      </c>
      <c r="BB142" s="16" t="e">
        <f>-BB145+BB148</f>
        <v>#VALUE!</v>
      </c>
      <c r="BC142" s="17" t="e">
        <f>-BB151</f>
        <v>#VALUE!</v>
      </c>
      <c r="BD142" s="18" t="e">
        <f>IF(AND(BH145&lt;0,BI145&lt;0),BI142*1.2,IF(AND(BH145&gt;0,BI145&gt;0),BH142*0.8,10))</f>
        <v>#VALUE!</v>
      </c>
      <c r="BE142" s="18" t="e">
        <f>BD142^3+BB142*BD142+BC142</f>
        <v>#VALUE!</v>
      </c>
      <c r="BF142" s="18" t="e">
        <f>3*BD142^2+BB142</f>
        <v>#VALUE!</v>
      </c>
      <c r="BG142" s="18" t="e">
        <f t="shared" ref="BG142:BG156" si="50">BD142-BE142/BF142</f>
        <v>#VALUE!</v>
      </c>
      <c r="BH142" s="18" t="e">
        <f>-SQRT(ABS(-4*3*BB142))/6</f>
        <v>#VALUE!</v>
      </c>
      <c r="BI142" s="19" t="e">
        <f>SQRT(ABS(-4*3*BB142))/6</f>
        <v>#VALUE!</v>
      </c>
      <c r="BK142" s="16" t="e">
        <f>-BK145+BK148</f>
        <v>#VALUE!</v>
      </c>
      <c r="BL142" s="17" t="e">
        <f>-BK151</f>
        <v>#VALUE!</v>
      </c>
      <c r="BM142" s="18" t="e">
        <f>IF(AND(BQ145&lt;0,BR145&lt;0),BR142*1.2,IF(AND(BQ145&gt;0,BR145&gt;0),BQ142*0.8,10))</f>
        <v>#VALUE!</v>
      </c>
      <c r="BN142" s="18" t="e">
        <f>BM142^3+BK142*BM142+BL142</f>
        <v>#VALUE!</v>
      </c>
      <c r="BO142" s="18" t="e">
        <f>3*BM142^2+BK142</f>
        <v>#VALUE!</v>
      </c>
      <c r="BP142" s="18" t="e">
        <f t="shared" ref="BP142:BP156" si="51">BM142-BN142/BO142</f>
        <v>#VALUE!</v>
      </c>
      <c r="BQ142" s="18" t="e">
        <f>-SQRT(ABS(-4*3*BK142))/6</f>
        <v>#VALUE!</v>
      </c>
      <c r="BR142" s="19" t="e">
        <f>SQRT(ABS(-4*3*BK142))/6</f>
        <v>#VALUE!</v>
      </c>
      <c r="BT142" s="16" t="e">
        <f>-BT145+BT148</f>
        <v>#VALUE!</v>
      </c>
      <c r="BU142" s="17" t="e">
        <f>-BT151</f>
        <v>#VALUE!</v>
      </c>
      <c r="BV142" s="18" t="e">
        <f>IF(AND(BZ145&lt;0,CA145&lt;0),CA142*1.2,IF(AND(BZ145&gt;0,CA145&gt;0),BZ142*0.8,10))</f>
        <v>#VALUE!</v>
      </c>
      <c r="BW142" s="18" t="e">
        <f>BV142^3+BT142*BV142+BU142</f>
        <v>#VALUE!</v>
      </c>
      <c r="BX142" s="18" t="e">
        <f>3*BV142^2+BT142</f>
        <v>#VALUE!</v>
      </c>
      <c r="BY142" s="18" t="e">
        <f t="shared" ref="BY142:BY156" si="52">BV142-BW142/BX142</f>
        <v>#VALUE!</v>
      </c>
      <c r="BZ142" s="18" t="e">
        <f>-SQRT(ABS(-4*3*BT142))/6</f>
        <v>#VALUE!</v>
      </c>
      <c r="CA142" s="19" t="e">
        <f>SQRT(ABS(-4*3*BT142))/6</f>
        <v>#VALUE!</v>
      </c>
    </row>
    <row r="143" spans="36:79" ht="18" hidden="1" customHeight="1" x14ac:dyDescent="0.15">
      <c r="AJ143" s="267"/>
      <c r="AK143" s="268"/>
      <c r="AL143" s="18" t="e">
        <f t="shared" ref="AL143:AL156" si="53">AO142</f>
        <v>#VALUE!</v>
      </c>
      <c r="AM143" s="18" t="e">
        <f>AL143^3+AJ142*AL143+AK142</f>
        <v>#VALUE!</v>
      </c>
      <c r="AN143" s="18" t="e">
        <f>3*AL143^2+AJ142</f>
        <v>#VALUE!</v>
      </c>
      <c r="AO143" s="18" t="e">
        <f t="shared" si="48"/>
        <v>#VALUE!</v>
      </c>
      <c r="AP143" s="6"/>
      <c r="AQ143" s="7"/>
      <c r="AS143" s="267"/>
      <c r="AT143" s="268"/>
      <c r="AU143" s="18" t="e">
        <f t="shared" ref="AU143:AU156" si="54">AX142</f>
        <v>#VALUE!</v>
      </c>
      <c r="AV143" s="18" t="e">
        <f>AU143^3+AS142*AU143+AT142</f>
        <v>#VALUE!</v>
      </c>
      <c r="AW143" s="18" t="e">
        <f>3*AU143^2+AS142</f>
        <v>#VALUE!</v>
      </c>
      <c r="AX143" s="18" t="e">
        <f t="shared" si="49"/>
        <v>#VALUE!</v>
      </c>
      <c r="AY143" s="6"/>
      <c r="AZ143" s="7"/>
      <c r="BB143" s="267"/>
      <c r="BC143" s="268"/>
      <c r="BD143" s="18" t="e">
        <f t="shared" ref="BD143:BD156" si="55">BG142</f>
        <v>#VALUE!</v>
      </c>
      <c r="BE143" s="18" t="e">
        <f>BD143^3+BB142*BD143+BC142</f>
        <v>#VALUE!</v>
      </c>
      <c r="BF143" s="18" t="e">
        <f>3*BD143^2+BB142</f>
        <v>#VALUE!</v>
      </c>
      <c r="BG143" s="18" t="e">
        <f t="shared" si="50"/>
        <v>#VALUE!</v>
      </c>
      <c r="BH143" s="6"/>
      <c r="BI143" s="7"/>
      <c r="BK143" s="267"/>
      <c r="BL143" s="268"/>
      <c r="BM143" s="18" t="e">
        <f t="shared" ref="BM143:BM156" si="56">BP142</f>
        <v>#VALUE!</v>
      </c>
      <c r="BN143" s="18" t="e">
        <f>BM143^3+BK142*BM143+BL142</f>
        <v>#VALUE!</v>
      </c>
      <c r="BO143" s="18" t="e">
        <f>3*BM143^2+BK142</f>
        <v>#VALUE!</v>
      </c>
      <c r="BP143" s="18" t="e">
        <f t="shared" si="51"/>
        <v>#VALUE!</v>
      </c>
      <c r="BQ143" s="6"/>
      <c r="BR143" s="7"/>
      <c r="BT143" s="267"/>
      <c r="BU143" s="268"/>
      <c r="BV143" s="18" t="e">
        <f t="shared" ref="BV143:BV156" si="57">BY142</f>
        <v>#VALUE!</v>
      </c>
      <c r="BW143" s="18" t="e">
        <f>BV143^3+BT142*BV143+BU142</f>
        <v>#VALUE!</v>
      </c>
      <c r="BX143" s="18" t="e">
        <f>3*BV143^2+BT142</f>
        <v>#VALUE!</v>
      </c>
      <c r="BY143" s="18" t="e">
        <f t="shared" si="52"/>
        <v>#VALUE!</v>
      </c>
      <c r="BZ143" s="6"/>
      <c r="CA143" s="7"/>
    </row>
    <row r="144" spans="36:79" ht="18" hidden="1" customHeight="1" x14ac:dyDescent="0.15">
      <c r="AJ144" s="269" t="s">
        <v>240</v>
      </c>
      <c r="AK144" s="270"/>
      <c r="AL144" s="18" t="e">
        <f t="shared" si="53"/>
        <v>#VALUE!</v>
      </c>
      <c r="AM144" s="18" t="e">
        <f>AL144^3+AJ142*AL144+AK142</f>
        <v>#VALUE!</v>
      </c>
      <c r="AN144" s="18" t="e">
        <f>3*AL144^2+AJ142</f>
        <v>#VALUE!</v>
      </c>
      <c r="AO144" s="18" t="e">
        <f t="shared" si="48"/>
        <v>#VALUE!</v>
      </c>
      <c r="AP144" s="14" t="s">
        <v>241</v>
      </c>
      <c r="AQ144" s="15" t="s">
        <v>242</v>
      </c>
      <c r="AS144" s="269" t="s">
        <v>240</v>
      </c>
      <c r="AT144" s="270"/>
      <c r="AU144" s="18" t="e">
        <f t="shared" si="54"/>
        <v>#VALUE!</v>
      </c>
      <c r="AV144" s="18" t="e">
        <f>AU144^3+AS142*AU144+AT142</f>
        <v>#VALUE!</v>
      </c>
      <c r="AW144" s="18" t="e">
        <f>3*AU144^2+AS142</f>
        <v>#VALUE!</v>
      </c>
      <c r="AX144" s="18" t="e">
        <f t="shared" si="49"/>
        <v>#VALUE!</v>
      </c>
      <c r="AY144" s="14" t="s">
        <v>241</v>
      </c>
      <c r="AZ144" s="15" t="s">
        <v>242</v>
      </c>
      <c r="BB144" s="269" t="s">
        <v>240</v>
      </c>
      <c r="BC144" s="270"/>
      <c r="BD144" s="18" t="e">
        <f t="shared" si="55"/>
        <v>#VALUE!</v>
      </c>
      <c r="BE144" s="18" t="e">
        <f>BD144^3+BB142*BD144+BC142</f>
        <v>#VALUE!</v>
      </c>
      <c r="BF144" s="18" t="e">
        <f>3*BD144^2+BB142</f>
        <v>#VALUE!</v>
      </c>
      <c r="BG144" s="18" t="e">
        <f t="shared" si="50"/>
        <v>#VALUE!</v>
      </c>
      <c r="BH144" s="14" t="s">
        <v>241</v>
      </c>
      <c r="BI144" s="15" t="s">
        <v>242</v>
      </c>
      <c r="BK144" s="269" t="s">
        <v>240</v>
      </c>
      <c r="BL144" s="270"/>
      <c r="BM144" s="18" t="e">
        <f t="shared" si="56"/>
        <v>#VALUE!</v>
      </c>
      <c r="BN144" s="18" t="e">
        <f>BM144^3+BK142*BM144+BL142</f>
        <v>#VALUE!</v>
      </c>
      <c r="BO144" s="18" t="e">
        <f>3*BM144^2+BK142</f>
        <v>#VALUE!</v>
      </c>
      <c r="BP144" s="18" t="e">
        <f t="shared" si="51"/>
        <v>#VALUE!</v>
      </c>
      <c r="BQ144" s="14" t="s">
        <v>241</v>
      </c>
      <c r="BR144" s="15" t="s">
        <v>242</v>
      </c>
      <c r="BT144" s="269" t="s">
        <v>240</v>
      </c>
      <c r="BU144" s="270"/>
      <c r="BV144" s="18" t="e">
        <f t="shared" si="57"/>
        <v>#VALUE!</v>
      </c>
      <c r="BW144" s="18" t="e">
        <f>BV144^3+BT142*BV144+BU142</f>
        <v>#VALUE!</v>
      </c>
      <c r="BX144" s="18" t="e">
        <f>3*BV144^2+BT142</f>
        <v>#VALUE!</v>
      </c>
      <c r="BY144" s="18" t="e">
        <f t="shared" si="52"/>
        <v>#VALUE!</v>
      </c>
      <c r="BZ144" s="14" t="s">
        <v>241</v>
      </c>
      <c r="CA144" s="15" t="s">
        <v>242</v>
      </c>
    </row>
    <row r="145" spans="36:79" ht="18" hidden="1" customHeight="1" x14ac:dyDescent="0.15">
      <c r="AJ145" s="269">
        <f>(AL158^2)+3*(AM158^2)*AQ158*(AQ153-15)/(8*10^7)</f>
        <v>0</v>
      </c>
      <c r="AK145" s="270"/>
      <c r="AL145" s="18" t="e">
        <f t="shared" si="53"/>
        <v>#VALUE!</v>
      </c>
      <c r="AM145" s="18" t="e">
        <f>AL145^3+AJ142*AL145+AK142</f>
        <v>#VALUE!</v>
      </c>
      <c r="AN145" s="18" t="e">
        <f>3*AL145^2+AJ142</f>
        <v>#VALUE!</v>
      </c>
      <c r="AO145" s="18" t="e">
        <f t="shared" si="48"/>
        <v>#VALUE!</v>
      </c>
      <c r="AP145" s="18" t="e">
        <f>AP142^3+AJ142*AP142+AK142</f>
        <v>#VALUE!</v>
      </c>
      <c r="AQ145" s="19" t="e">
        <f>AQ142^3+AJ142*AQ142+AK142</f>
        <v>#VALUE!</v>
      </c>
      <c r="AS145" s="269" t="e">
        <f>(AU158^2)+3*(AV158^2)*AZ158*(AZ153-15)/(8*10^7)</f>
        <v>#VALUE!</v>
      </c>
      <c r="AT145" s="270"/>
      <c r="AU145" s="18" t="e">
        <f t="shared" si="54"/>
        <v>#VALUE!</v>
      </c>
      <c r="AV145" s="18" t="e">
        <f>AU145^3+AS142*AU145+AT142</f>
        <v>#VALUE!</v>
      </c>
      <c r="AW145" s="18" t="e">
        <f>3*AU145^2+AS142</f>
        <v>#VALUE!</v>
      </c>
      <c r="AX145" s="18" t="e">
        <f t="shared" si="49"/>
        <v>#VALUE!</v>
      </c>
      <c r="AY145" s="18" t="e">
        <f>AY142^3+AS142*AY142+AT142</f>
        <v>#VALUE!</v>
      </c>
      <c r="AZ145" s="19" t="e">
        <f>AZ142^3+AS142*AZ142+AT142</f>
        <v>#VALUE!</v>
      </c>
      <c r="BB145" s="269" t="e">
        <f>(BD158^2)+3*(BE158^2)*BI158*(BI153-15)/(8*10^7)</f>
        <v>#VALUE!</v>
      </c>
      <c r="BC145" s="270"/>
      <c r="BD145" s="18" t="e">
        <f t="shared" si="55"/>
        <v>#VALUE!</v>
      </c>
      <c r="BE145" s="18" t="e">
        <f>BD145^3+BB142*BD145+BC142</f>
        <v>#VALUE!</v>
      </c>
      <c r="BF145" s="18" t="e">
        <f>3*BD145^2+BB142</f>
        <v>#VALUE!</v>
      </c>
      <c r="BG145" s="18" t="e">
        <f t="shared" si="50"/>
        <v>#VALUE!</v>
      </c>
      <c r="BH145" s="18" t="e">
        <f>BH142^3+BB142*BH142+BC142</f>
        <v>#VALUE!</v>
      </c>
      <c r="BI145" s="19" t="e">
        <f>BI142^3+BB142*BI142+BC142</f>
        <v>#VALUE!</v>
      </c>
      <c r="BK145" s="269" t="e">
        <f>(BM158^2)+3*(BN158^2)*BR158*(BR153-15)/(8*10^7)</f>
        <v>#VALUE!</v>
      </c>
      <c r="BL145" s="270"/>
      <c r="BM145" s="18" t="e">
        <f t="shared" si="56"/>
        <v>#VALUE!</v>
      </c>
      <c r="BN145" s="18" t="e">
        <f>BM145^3+BK142*BM145+BL142</f>
        <v>#VALUE!</v>
      </c>
      <c r="BO145" s="18" t="e">
        <f>3*BM145^2+BK142</f>
        <v>#VALUE!</v>
      </c>
      <c r="BP145" s="18" t="e">
        <f t="shared" si="51"/>
        <v>#VALUE!</v>
      </c>
      <c r="BQ145" s="18" t="e">
        <f>BQ142^3+BK142*BQ142+BL142</f>
        <v>#VALUE!</v>
      </c>
      <c r="BR145" s="19" t="e">
        <f>BR142^3+BK142*BR142+BL142</f>
        <v>#VALUE!</v>
      </c>
      <c r="BT145" s="269" t="e">
        <f>(BV158^2)+3*(BW158^2)*CA158*(CA153-15)/(8*10^7)</f>
        <v>#VALUE!</v>
      </c>
      <c r="BU145" s="270"/>
      <c r="BV145" s="18" t="e">
        <f t="shared" si="57"/>
        <v>#VALUE!</v>
      </c>
      <c r="BW145" s="18" t="e">
        <f>BV145^3+BT142*BV145+BU142</f>
        <v>#VALUE!</v>
      </c>
      <c r="BX145" s="18" t="e">
        <f>3*BV145^2+BT142</f>
        <v>#VALUE!</v>
      </c>
      <c r="BY145" s="18" t="e">
        <f t="shared" si="52"/>
        <v>#VALUE!</v>
      </c>
      <c r="BZ145" s="18" t="e">
        <f>BZ142^3+BT142*BZ142+BU142</f>
        <v>#VALUE!</v>
      </c>
      <c r="CA145" s="19" t="e">
        <f>CA142^3+BT142*CA142+BU142</f>
        <v>#VALUE!</v>
      </c>
    </row>
    <row r="146" spans="36:79" ht="18" hidden="1" customHeight="1" x14ac:dyDescent="0.15">
      <c r="AJ146" s="267"/>
      <c r="AK146" s="268"/>
      <c r="AL146" s="18" t="e">
        <f t="shared" si="53"/>
        <v>#VALUE!</v>
      </c>
      <c r="AM146" s="18" t="e">
        <f>AL146^3+AJ142*AL146+AK142</f>
        <v>#VALUE!</v>
      </c>
      <c r="AN146" s="18" t="e">
        <f>3*AL146^2+AJ142</f>
        <v>#VALUE!</v>
      </c>
      <c r="AO146" s="18" t="e">
        <f t="shared" si="48"/>
        <v>#VALUE!</v>
      </c>
      <c r="AP146" s="31"/>
      <c r="AQ146" s="32"/>
      <c r="AS146" s="267"/>
      <c r="AT146" s="268"/>
      <c r="AU146" s="18" t="e">
        <f t="shared" si="54"/>
        <v>#VALUE!</v>
      </c>
      <c r="AV146" s="18" t="e">
        <f>AU146^3+AS142*AU146+AT142</f>
        <v>#VALUE!</v>
      </c>
      <c r="AW146" s="18" t="e">
        <f>3*AU146^2+AS142</f>
        <v>#VALUE!</v>
      </c>
      <c r="AX146" s="18" t="e">
        <f t="shared" si="49"/>
        <v>#VALUE!</v>
      </c>
      <c r="AY146" s="31"/>
      <c r="AZ146" s="32"/>
      <c r="BB146" s="267"/>
      <c r="BC146" s="268"/>
      <c r="BD146" s="18" t="e">
        <f t="shared" si="55"/>
        <v>#VALUE!</v>
      </c>
      <c r="BE146" s="18" t="e">
        <f>BD146^3+BB142*BD146+BC142</f>
        <v>#VALUE!</v>
      </c>
      <c r="BF146" s="18" t="e">
        <f>3*BD146^2+BB142</f>
        <v>#VALUE!</v>
      </c>
      <c r="BG146" s="18" t="e">
        <f t="shared" si="50"/>
        <v>#VALUE!</v>
      </c>
      <c r="BH146" s="31"/>
      <c r="BI146" s="32"/>
      <c r="BK146" s="267"/>
      <c r="BL146" s="268"/>
      <c r="BM146" s="18" t="e">
        <f t="shared" si="56"/>
        <v>#VALUE!</v>
      </c>
      <c r="BN146" s="18" t="e">
        <f>BM146^3+BK142*BM146+BL142</f>
        <v>#VALUE!</v>
      </c>
      <c r="BO146" s="18" t="e">
        <f>3*BM146^2+BK142</f>
        <v>#VALUE!</v>
      </c>
      <c r="BP146" s="18" t="e">
        <f t="shared" si="51"/>
        <v>#VALUE!</v>
      </c>
      <c r="BQ146" s="31"/>
      <c r="BR146" s="32"/>
      <c r="BT146" s="267"/>
      <c r="BU146" s="268"/>
      <c r="BV146" s="18" t="e">
        <f t="shared" si="57"/>
        <v>#VALUE!</v>
      </c>
      <c r="BW146" s="18" t="e">
        <f>BV146^3+BT142*BV146+BU142</f>
        <v>#VALUE!</v>
      </c>
      <c r="BX146" s="18" t="e">
        <f>3*BV146^2+BT142</f>
        <v>#VALUE!</v>
      </c>
      <c r="BY146" s="18" t="e">
        <f t="shared" si="52"/>
        <v>#VALUE!</v>
      </c>
      <c r="BZ146" s="31"/>
      <c r="CA146" s="32"/>
    </row>
    <row r="147" spans="36:79" ht="18" hidden="1" customHeight="1" x14ac:dyDescent="0.15">
      <c r="AJ147" s="269" t="s">
        <v>243</v>
      </c>
      <c r="AK147" s="270"/>
      <c r="AL147" s="18" t="e">
        <f t="shared" si="53"/>
        <v>#VALUE!</v>
      </c>
      <c r="AM147" s="18" t="e">
        <f>AL147^3+AJ142*AL147+AK142</f>
        <v>#VALUE!</v>
      </c>
      <c r="AN147" s="18" t="e">
        <f>3*AL147^2+AJ142</f>
        <v>#VALUE!</v>
      </c>
      <c r="AO147" s="18" t="e">
        <f t="shared" si="48"/>
        <v>#VALUE!</v>
      </c>
      <c r="AP147" s="31"/>
      <c r="AQ147" s="32"/>
      <c r="AS147" s="269" t="s">
        <v>243</v>
      </c>
      <c r="AT147" s="270"/>
      <c r="AU147" s="18" t="e">
        <f t="shared" si="54"/>
        <v>#VALUE!</v>
      </c>
      <c r="AV147" s="18" t="e">
        <f>AU147^3+AS142*AU147+AT142</f>
        <v>#VALUE!</v>
      </c>
      <c r="AW147" s="18" t="e">
        <f>3*AU147^2+AS142</f>
        <v>#VALUE!</v>
      </c>
      <c r="AX147" s="18" t="e">
        <f t="shared" si="49"/>
        <v>#VALUE!</v>
      </c>
      <c r="AY147" s="31"/>
      <c r="AZ147" s="32"/>
      <c r="BB147" s="269" t="s">
        <v>243</v>
      </c>
      <c r="BC147" s="270"/>
      <c r="BD147" s="18" t="e">
        <f t="shared" si="55"/>
        <v>#VALUE!</v>
      </c>
      <c r="BE147" s="18" t="e">
        <f>BD147^3+BB142*BD147+BC142</f>
        <v>#VALUE!</v>
      </c>
      <c r="BF147" s="18" t="e">
        <f>3*BD147^2+BB142</f>
        <v>#VALUE!</v>
      </c>
      <c r="BG147" s="18" t="e">
        <f t="shared" si="50"/>
        <v>#VALUE!</v>
      </c>
      <c r="BH147" s="31"/>
      <c r="BI147" s="32"/>
      <c r="BK147" s="269" t="s">
        <v>243</v>
      </c>
      <c r="BL147" s="270"/>
      <c r="BM147" s="18" t="e">
        <f t="shared" si="56"/>
        <v>#VALUE!</v>
      </c>
      <c r="BN147" s="18" t="e">
        <f>BM147^3+BK142*BM147+BL142</f>
        <v>#VALUE!</v>
      </c>
      <c r="BO147" s="18" t="e">
        <f>3*BM147^2+BK142</f>
        <v>#VALUE!</v>
      </c>
      <c r="BP147" s="18" t="e">
        <f t="shared" si="51"/>
        <v>#VALUE!</v>
      </c>
      <c r="BQ147" s="31"/>
      <c r="BR147" s="32"/>
      <c r="BT147" s="269" t="s">
        <v>243</v>
      </c>
      <c r="BU147" s="270"/>
      <c r="BV147" s="18" t="e">
        <f t="shared" si="57"/>
        <v>#VALUE!</v>
      </c>
      <c r="BW147" s="18" t="e">
        <f>BV147^3+BT142*BV147+BU142</f>
        <v>#VALUE!</v>
      </c>
      <c r="BX147" s="18" t="e">
        <f>3*BV147^2+BT142</f>
        <v>#VALUE!</v>
      </c>
      <c r="BY147" s="18" t="e">
        <f t="shared" si="52"/>
        <v>#VALUE!</v>
      </c>
      <c r="BZ147" s="31"/>
      <c r="CA147" s="32"/>
    </row>
    <row r="148" spans="36:79" ht="18" hidden="1" customHeight="1" x14ac:dyDescent="0.15">
      <c r="AJ148" s="277" t="e">
        <f>3*(AM158^2)*AN158/(8*AO158*AP158)</f>
        <v>#VALUE!</v>
      </c>
      <c r="AK148" s="278"/>
      <c r="AL148" s="118" t="e">
        <f t="shared" si="53"/>
        <v>#VALUE!</v>
      </c>
      <c r="AM148" s="118" t="e">
        <f>AL148^3+AJ142*AL148+AK142</f>
        <v>#VALUE!</v>
      </c>
      <c r="AN148" s="118" t="e">
        <f>3*AL148^2+AJ142</f>
        <v>#VALUE!</v>
      </c>
      <c r="AO148" s="118" t="e">
        <f t="shared" si="48"/>
        <v>#VALUE!</v>
      </c>
      <c r="AP148" s="116"/>
      <c r="AQ148" s="117"/>
      <c r="AS148" s="277" t="e">
        <f>3*(AV158^2)*AW158/(8*AX158*AY158)</f>
        <v>#VALUE!</v>
      </c>
      <c r="AT148" s="278"/>
      <c r="AU148" s="118" t="e">
        <f t="shared" si="54"/>
        <v>#VALUE!</v>
      </c>
      <c r="AV148" s="118" t="e">
        <f>AU148^3+AS142*AU148+AT142</f>
        <v>#VALUE!</v>
      </c>
      <c r="AW148" s="118" t="e">
        <f>3*AU148^2+AS142</f>
        <v>#VALUE!</v>
      </c>
      <c r="AX148" s="118" t="e">
        <f t="shared" si="49"/>
        <v>#VALUE!</v>
      </c>
      <c r="AY148" s="116"/>
      <c r="AZ148" s="117"/>
      <c r="BB148" s="277" t="e">
        <f>3*(BE158^2)*BF158/(8*BG158*BH158)</f>
        <v>#VALUE!</v>
      </c>
      <c r="BC148" s="278"/>
      <c r="BD148" s="118" t="e">
        <f t="shared" si="55"/>
        <v>#VALUE!</v>
      </c>
      <c r="BE148" s="118" t="e">
        <f>BD148^3+BB142*BD148+BC142</f>
        <v>#VALUE!</v>
      </c>
      <c r="BF148" s="118" t="e">
        <f>3*BD148^2+BB142</f>
        <v>#VALUE!</v>
      </c>
      <c r="BG148" s="118" t="e">
        <f t="shared" si="50"/>
        <v>#VALUE!</v>
      </c>
      <c r="BH148" s="116"/>
      <c r="BI148" s="117"/>
      <c r="BK148" s="277" t="e">
        <f>3*(BN158^2)*BO158/(8*BP158*BQ158)</f>
        <v>#VALUE!</v>
      </c>
      <c r="BL148" s="278"/>
      <c r="BM148" s="118" t="e">
        <f t="shared" si="56"/>
        <v>#VALUE!</v>
      </c>
      <c r="BN148" s="118" t="e">
        <f>BM148^3+BK142*BM148+BL142</f>
        <v>#VALUE!</v>
      </c>
      <c r="BO148" s="118" t="e">
        <f>3*BM148^2+BK142</f>
        <v>#VALUE!</v>
      </c>
      <c r="BP148" s="118" t="e">
        <f t="shared" si="51"/>
        <v>#VALUE!</v>
      </c>
      <c r="BQ148" s="116"/>
      <c r="BR148" s="117"/>
      <c r="BT148" s="277" t="e">
        <f>3*(BW158^2)*BX158/(8*BY158*BZ158)</f>
        <v>#VALUE!</v>
      </c>
      <c r="BU148" s="278"/>
      <c r="BV148" s="118" t="e">
        <f t="shared" si="57"/>
        <v>#VALUE!</v>
      </c>
      <c r="BW148" s="118" t="e">
        <f>BV148^3+BT142*BV148+BU142</f>
        <v>#VALUE!</v>
      </c>
      <c r="BX148" s="118" t="e">
        <f>3*BV148^2+BT142</f>
        <v>#VALUE!</v>
      </c>
      <c r="BY148" s="118" t="e">
        <f t="shared" si="52"/>
        <v>#VALUE!</v>
      </c>
      <c r="BZ148" s="116"/>
      <c r="CA148" s="117"/>
    </row>
    <row r="149" spans="36:79" ht="18" hidden="1" customHeight="1" x14ac:dyDescent="0.15">
      <c r="AJ149" s="121"/>
      <c r="AK149" s="122"/>
      <c r="AL149" s="118" t="e">
        <f t="shared" si="53"/>
        <v>#VALUE!</v>
      </c>
      <c r="AM149" s="118" t="e">
        <f>AL149^3+AJ142*AL149+AK142</f>
        <v>#VALUE!</v>
      </c>
      <c r="AN149" s="118" t="e">
        <f>3*AL149^2+AJ142</f>
        <v>#VALUE!</v>
      </c>
      <c r="AO149" s="118" t="e">
        <f t="shared" si="48"/>
        <v>#VALUE!</v>
      </c>
      <c r="AP149" s="119"/>
      <c r="AQ149" s="120"/>
      <c r="AS149" s="121"/>
      <c r="AT149" s="122"/>
      <c r="AU149" s="118" t="e">
        <f t="shared" si="54"/>
        <v>#VALUE!</v>
      </c>
      <c r="AV149" s="118" t="e">
        <f>AU149^3+AS142*AU149+AT142</f>
        <v>#VALUE!</v>
      </c>
      <c r="AW149" s="118" t="e">
        <f>3*AU149^2+AS142</f>
        <v>#VALUE!</v>
      </c>
      <c r="AX149" s="118" t="e">
        <f t="shared" si="49"/>
        <v>#VALUE!</v>
      </c>
      <c r="AY149" s="119"/>
      <c r="AZ149" s="120"/>
      <c r="BB149" s="121"/>
      <c r="BC149" s="122"/>
      <c r="BD149" s="118" t="e">
        <f t="shared" si="55"/>
        <v>#VALUE!</v>
      </c>
      <c r="BE149" s="118" t="e">
        <f>BD149^3+BB142*BD149+BC142</f>
        <v>#VALUE!</v>
      </c>
      <c r="BF149" s="118" t="e">
        <f>3*BD149^2+BB142</f>
        <v>#VALUE!</v>
      </c>
      <c r="BG149" s="118" t="e">
        <f t="shared" si="50"/>
        <v>#VALUE!</v>
      </c>
      <c r="BH149" s="119"/>
      <c r="BI149" s="120"/>
      <c r="BK149" s="121"/>
      <c r="BL149" s="122"/>
      <c r="BM149" s="118" t="e">
        <f t="shared" si="56"/>
        <v>#VALUE!</v>
      </c>
      <c r="BN149" s="118" t="e">
        <f>BM149^3+BK142*BM149+BL142</f>
        <v>#VALUE!</v>
      </c>
      <c r="BO149" s="118" t="e">
        <f>3*BM149^2+BK142</f>
        <v>#VALUE!</v>
      </c>
      <c r="BP149" s="118" t="e">
        <f t="shared" si="51"/>
        <v>#VALUE!</v>
      </c>
      <c r="BQ149" s="119"/>
      <c r="BR149" s="120"/>
      <c r="BT149" s="121"/>
      <c r="BU149" s="122"/>
      <c r="BV149" s="118" t="e">
        <f t="shared" si="57"/>
        <v>#VALUE!</v>
      </c>
      <c r="BW149" s="118" t="e">
        <f>BV149^3+BT142*BV149+BU142</f>
        <v>#VALUE!</v>
      </c>
      <c r="BX149" s="118" t="e">
        <f>3*BV149^2+BT142</f>
        <v>#VALUE!</v>
      </c>
      <c r="BY149" s="118" t="e">
        <f t="shared" si="52"/>
        <v>#VALUE!</v>
      </c>
      <c r="BZ149" s="119"/>
      <c r="CA149" s="120"/>
    </row>
    <row r="150" spans="36:79" ht="18" hidden="1" customHeight="1" x14ac:dyDescent="0.15">
      <c r="AJ150" s="269" t="s">
        <v>244</v>
      </c>
      <c r="AK150" s="270"/>
      <c r="AL150" s="118" t="e">
        <f t="shared" si="53"/>
        <v>#VALUE!</v>
      </c>
      <c r="AM150" s="118" t="e">
        <f>AL150^3+AJ142*AL150+AK142</f>
        <v>#VALUE!</v>
      </c>
      <c r="AN150" s="118" t="e">
        <f>3*AL150^2+AJ142</f>
        <v>#VALUE!</v>
      </c>
      <c r="AO150" s="118" t="e">
        <f t="shared" si="48"/>
        <v>#VALUE!</v>
      </c>
      <c r="AP150" s="14" t="s">
        <v>245</v>
      </c>
      <c r="AQ150" s="123" t="e">
        <f>AO156</f>
        <v>#VALUE!</v>
      </c>
      <c r="AS150" s="269" t="s">
        <v>244</v>
      </c>
      <c r="AT150" s="270"/>
      <c r="AU150" s="118" t="e">
        <f t="shared" si="54"/>
        <v>#VALUE!</v>
      </c>
      <c r="AV150" s="118" t="e">
        <f>AU150^3+AS142*AU150+AT142</f>
        <v>#VALUE!</v>
      </c>
      <c r="AW150" s="118" t="e">
        <f>3*AU150^2+AS142</f>
        <v>#VALUE!</v>
      </c>
      <c r="AX150" s="118" t="e">
        <f t="shared" si="49"/>
        <v>#VALUE!</v>
      </c>
      <c r="AY150" s="14" t="s">
        <v>245</v>
      </c>
      <c r="AZ150" s="123" t="e">
        <f>AX156</f>
        <v>#VALUE!</v>
      </c>
      <c r="BB150" s="269" t="s">
        <v>244</v>
      </c>
      <c r="BC150" s="270"/>
      <c r="BD150" s="118" t="e">
        <f t="shared" si="55"/>
        <v>#VALUE!</v>
      </c>
      <c r="BE150" s="118" t="e">
        <f>BD150^3+BB142*BD150+BC142</f>
        <v>#VALUE!</v>
      </c>
      <c r="BF150" s="118" t="e">
        <f>3*BD150^2+BB142</f>
        <v>#VALUE!</v>
      </c>
      <c r="BG150" s="118" t="e">
        <f t="shared" si="50"/>
        <v>#VALUE!</v>
      </c>
      <c r="BH150" s="14" t="s">
        <v>245</v>
      </c>
      <c r="BI150" s="123" t="e">
        <f>BG156</f>
        <v>#VALUE!</v>
      </c>
      <c r="BK150" s="269" t="s">
        <v>244</v>
      </c>
      <c r="BL150" s="270"/>
      <c r="BM150" s="118" t="e">
        <f t="shared" si="56"/>
        <v>#VALUE!</v>
      </c>
      <c r="BN150" s="118" t="e">
        <f>BM150^3+BK142*BM150+BL142</f>
        <v>#VALUE!</v>
      </c>
      <c r="BO150" s="118" t="e">
        <f>3*BM150^2+BK142</f>
        <v>#VALUE!</v>
      </c>
      <c r="BP150" s="118" t="e">
        <f t="shared" si="51"/>
        <v>#VALUE!</v>
      </c>
      <c r="BQ150" s="14" t="s">
        <v>245</v>
      </c>
      <c r="BR150" s="123" t="e">
        <f>BP156</f>
        <v>#VALUE!</v>
      </c>
      <c r="BT150" s="269" t="s">
        <v>244</v>
      </c>
      <c r="BU150" s="270"/>
      <c r="BV150" s="118" t="e">
        <f t="shared" si="57"/>
        <v>#VALUE!</v>
      </c>
      <c r="BW150" s="118" t="e">
        <f>BV150^3+BT142*BV150+BU142</f>
        <v>#VALUE!</v>
      </c>
      <c r="BX150" s="118" t="e">
        <f>3*BV150^2+BT142</f>
        <v>#VALUE!</v>
      </c>
      <c r="BY150" s="118" t="e">
        <f t="shared" si="52"/>
        <v>#VALUE!</v>
      </c>
      <c r="BZ150" s="14" t="s">
        <v>245</v>
      </c>
      <c r="CA150" s="123" t="e">
        <f>BY156</f>
        <v>#VALUE!</v>
      </c>
    </row>
    <row r="151" spans="36:79" ht="18" hidden="1" customHeight="1" x14ac:dyDescent="0.15">
      <c r="AJ151" s="271" t="e">
        <f>AJ148*AL158*AK158/AK158</f>
        <v>#VALUE!</v>
      </c>
      <c r="AK151" s="272"/>
      <c r="AL151" s="118" t="e">
        <f t="shared" si="53"/>
        <v>#VALUE!</v>
      </c>
      <c r="AM151" s="118" t="e">
        <f>AL151^3+AJ142*AL151+AK142</f>
        <v>#VALUE!</v>
      </c>
      <c r="AN151" s="118" t="e">
        <f>3*AL151^2+AJ142</f>
        <v>#VALUE!</v>
      </c>
      <c r="AO151" s="118" t="e">
        <f t="shared" si="48"/>
        <v>#VALUE!</v>
      </c>
      <c r="AP151" s="14" t="s">
        <v>246</v>
      </c>
      <c r="AQ151" s="124" t="e">
        <f>AK158*AM158^2/(8*AO156)</f>
        <v>#VALUE!</v>
      </c>
      <c r="AS151" s="271" t="e">
        <f>AS148*AU158*AT158/AT158</f>
        <v>#VALUE!</v>
      </c>
      <c r="AT151" s="272"/>
      <c r="AU151" s="118" t="e">
        <f t="shared" si="54"/>
        <v>#VALUE!</v>
      </c>
      <c r="AV151" s="118" t="e">
        <f>AU151^3+AS142*AU151+AT142</f>
        <v>#VALUE!</v>
      </c>
      <c r="AW151" s="118" t="e">
        <f>3*AU151^2+AS142</f>
        <v>#VALUE!</v>
      </c>
      <c r="AX151" s="118" t="e">
        <f t="shared" si="49"/>
        <v>#VALUE!</v>
      </c>
      <c r="AY151" s="14" t="s">
        <v>246</v>
      </c>
      <c r="AZ151" s="124" t="e">
        <f>AT158*AV158^2/(8*AX156)</f>
        <v>#VALUE!</v>
      </c>
      <c r="BB151" s="271" t="e">
        <f>BB148*BD158*BC158/BC158</f>
        <v>#VALUE!</v>
      </c>
      <c r="BC151" s="272"/>
      <c r="BD151" s="118" t="e">
        <f t="shared" si="55"/>
        <v>#VALUE!</v>
      </c>
      <c r="BE151" s="118" t="e">
        <f>BD151^3+BB142*BD151+BC142</f>
        <v>#VALUE!</v>
      </c>
      <c r="BF151" s="118" t="e">
        <f>3*BD151^2+BB142</f>
        <v>#VALUE!</v>
      </c>
      <c r="BG151" s="118" t="e">
        <f t="shared" si="50"/>
        <v>#VALUE!</v>
      </c>
      <c r="BH151" s="14" t="s">
        <v>246</v>
      </c>
      <c r="BI151" s="124" t="e">
        <f>BC158*BE158^2/(8*BG156)</f>
        <v>#VALUE!</v>
      </c>
      <c r="BK151" s="271" t="e">
        <f>BK148*BM158*BL158/BL158</f>
        <v>#VALUE!</v>
      </c>
      <c r="BL151" s="272"/>
      <c r="BM151" s="118" t="e">
        <f t="shared" si="56"/>
        <v>#VALUE!</v>
      </c>
      <c r="BN151" s="118" t="e">
        <f>BM151^3+BK142*BM151+BL142</f>
        <v>#VALUE!</v>
      </c>
      <c r="BO151" s="118" t="e">
        <f>3*BM151^2+BK142</f>
        <v>#VALUE!</v>
      </c>
      <c r="BP151" s="118" t="e">
        <f t="shared" si="51"/>
        <v>#VALUE!</v>
      </c>
      <c r="BQ151" s="14" t="s">
        <v>246</v>
      </c>
      <c r="BR151" s="124" t="e">
        <f>BL158*BN158^2/(8*BP156)</f>
        <v>#VALUE!</v>
      </c>
      <c r="BT151" s="271" t="e">
        <f>BT148*BV158*BU158/BU158</f>
        <v>#VALUE!</v>
      </c>
      <c r="BU151" s="272"/>
      <c r="BV151" s="118" t="e">
        <f t="shared" si="57"/>
        <v>#VALUE!</v>
      </c>
      <c r="BW151" s="118" t="e">
        <f>BV151^3+BT142*BV151+BU142</f>
        <v>#VALUE!</v>
      </c>
      <c r="BX151" s="118" t="e">
        <f>3*BV151^2+BT142</f>
        <v>#VALUE!</v>
      </c>
      <c r="BY151" s="118" t="e">
        <f t="shared" si="52"/>
        <v>#VALUE!</v>
      </c>
      <c r="BZ151" s="14" t="s">
        <v>246</v>
      </c>
      <c r="CA151" s="124" t="e">
        <f>BU158*BW158^2/(8*BY156)</f>
        <v>#VALUE!</v>
      </c>
    </row>
    <row r="152" spans="36:79" ht="18" hidden="1" customHeight="1" x14ac:dyDescent="0.15">
      <c r="AJ152" s="125"/>
      <c r="AK152" s="126"/>
      <c r="AL152" s="118" t="e">
        <f t="shared" si="53"/>
        <v>#VALUE!</v>
      </c>
      <c r="AM152" s="118" t="e">
        <f>AL152^3+AJ142*AL152+AK142</f>
        <v>#VALUE!</v>
      </c>
      <c r="AN152" s="118" t="e">
        <f>3*AL152^2+AJ142</f>
        <v>#VALUE!</v>
      </c>
      <c r="AO152" s="118" t="e">
        <f t="shared" si="48"/>
        <v>#VALUE!</v>
      </c>
      <c r="AP152" s="116"/>
      <c r="AQ152" s="117"/>
      <c r="AS152" s="125"/>
      <c r="AT152" s="126"/>
      <c r="AU152" s="118" t="e">
        <f t="shared" si="54"/>
        <v>#VALUE!</v>
      </c>
      <c r="AV152" s="118" t="e">
        <f>AU152^3+AS142*AU152+AT142</f>
        <v>#VALUE!</v>
      </c>
      <c r="AW152" s="118" t="e">
        <f>3*AU152^2+AS142</f>
        <v>#VALUE!</v>
      </c>
      <c r="AX152" s="118" t="e">
        <f t="shared" si="49"/>
        <v>#VALUE!</v>
      </c>
      <c r="AY152" s="116"/>
      <c r="AZ152" s="117"/>
      <c r="BB152" s="125"/>
      <c r="BC152" s="126"/>
      <c r="BD152" s="118" t="e">
        <f t="shared" si="55"/>
        <v>#VALUE!</v>
      </c>
      <c r="BE152" s="118" t="e">
        <f>BD152^3+BB142*BD152+BC142</f>
        <v>#VALUE!</v>
      </c>
      <c r="BF152" s="118" t="e">
        <f>3*BD152^2+BB142</f>
        <v>#VALUE!</v>
      </c>
      <c r="BG152" s="118" t="e">
        <f t="shared" si="50"/>
        <v>#VALUE!</v>
      </c>
      <c r="BH152" s="116"/>
      <c r="BI152" s="117"/>
      <c r="BK152" s="125"/>
      <c r="BL152" s="126"/>
      <c r="BM152" s="118" t="e">
        <f t="shared" si="56"/>
        <v>#VALUE!</v>
      </c>
      <c r="BN152" s="118" t="e">
        <f>BM152^3+BK142*BM152+BL142</f>
        <v>#VALUE!</v>
      </c>
      <c r="BO152" s="118" t="e">
        <f>3*BM152^2+BK142</f>
        <v>#VALUE!</v>
      </c>
      <c r="BP152" s="118" t="e">
        <f t="shared" si="51"/>
        <v>#VALUE!</v>
      </c>
      <c r="BQ152" s="116"/>
      <c r="BR152" s="117"/>
      <c r="BT152" s="125"/>
      <c r="BU152" s="126"/>
      <c r="BV152" s="118" t="e">
        <f t="shared" si="57"/>
        <v>#VALUE!</v>
      </c>
      <c r="BW152" s="118" t="e">
        <f>BV152^3+BT142*BV152+BU142</f>
        <v>#VALUE!</v>
      </c>
      <c r="BX152" s="118" t="e">
        <f>3*BV152^2+BT142</f>
        <v>#VALUE!</v>
      </c>
      <c r="BY152" s="118" t="e">
        <f t="shared" si="52"/>
        <v>#VALUE!</v>
      </c>
      <c r="BZ152" s="116"/>
      <c r="CA152" s="117"/>
    </row>
    <row r="153" spans="36:79" ht="18" hidden="1" customHeight="1" x14ac:dyDescent="0.15">
      <c r="AJ153" s="125"/>
      <c r="AK153" s="126"/>
      <c r="AL153" s="118" t="e">
        <f t="shared" si="53"/>
        <v>#VALUE!</v>
      </c>
      <c r="AM153" s="118" t="e">
        <f>AL153^3+AJ142*AL153+AK142</f>
        <v>#VALUE!</v>
      </c>
      <c r="AN153" s="118" t="e">
        <f>3*AL153^2+AJ142</f>
        <v>#VALUE!</v>
      </c>
      <c r="AO153" s="118" t="e">
        <f t="shared" si="48"/>
        <v>#VALUE!</v>
      </c>
      <c r="AP153" s="112" t="s">
        <v>147</v>
      </c>
      <c r="AQ153" s="113">
        <v>15</v>
      </c>
      <c r="AS153" s="125"/>
      <c r="AT153" s="126"/>
      <c r="AU153" s="118" t="e">
        <f t="shared" si="54"/>
        <v>#VALUE!</v>
      </c>
      <c r="AV153" s="118" t="e">
        <f>AU153^3+AS142*AU153+AT142</f>
        <v>#VALUE!</v>
      </c>
      <c r="AW153" s="118" t="e">
        <f>3*AU153^2+AS142</f>
        <v>#VALUE!</v>
      </c>
      <c r="AX153" s="118" t="e">
        <f t="shared" si="49"/>
        <v>#VALUE!</v>
      </c>
      <c r="AY153" s="112" t="s">
        <v>147</v>
      </c>
      <c r="AZ153" s="113">
        <v>15</v>
      </c>
      <c r="BB153" s="125"/>
      <c r="BC153" s="126"/>
      <c r="BD153" s="118" t="e">
        <f t="shared" si="55"/>
        <v>#VALUE!</v>
      </c>
      <c r="BE153" s="118" t="e">
        <f>BD153^3+BB142*BD153+BC142</f>
        <v>#VALUE!</v>
      </c>
      <c r="BF153" s="118" t="e">
        <f>3*BD153^2+BB142</f>
        <v>#VALUE!</v>
      </c>
      <c r="BG153" s="118" t="e">
        <f t="shared" si="50"/>
        <v>#VALUE!</v>
      </c>
      <c r="BH153" s="112" t="s">
        <v>147</v>
      </c>
      <c r="BI153" s="113">
        <v>15</v>
      </c>
      <c r="BK153" s="125"/>
      <c r="BL153" s="126"/>
      <c r="BM153" s="118" t="e">
        <f t="shared" si="56"/>
        <v>#VALUE!</v>
      </c>
      <c r="BN153" s="118" t="e">
        <f>BM153^3+BK142*BM153+BL142</f>
        <v>#VALUE!</v>
      </c>
      <c r="BO153" s="118" t="e">
        <f>3*BM153^2+BK142</f>
        <v>#VALUE!</v>
      </c>
      <c r="BP153" s="118" t="e">
        <f t="shared" si="51"/>
        <v>#VALUE!</v>
      </c>
      <c r="BQ153" s="112" t="s">
        <v>147</v>
      </c>
      <c r="BR153" s="113">
        <v>15</v>
      </c>
      <c r="BT153" s="125"/>
      <c r="BU153" s="126"/>
      <c r="BV153" s="118" t="e">
        <f t="shared" si="57"/>
        <v>#VALUE!</v>
      </c>
      <c r="BW153" s="118" t="e">
        <f>BV153^3+BT142*BV153+BU142</f>
        <v>#VALUE!</v>
      </c>
      <c r="BX153" s="118" t="e">
        <f>3*BV153^2+BT142</f>
        <v>#VALUE!</v>
      </c>
      <c r="BY153" s="118" t="e">
        <f t="shared" si="52"/>
        <v>#VALUE!</v>
      </c>
      <c r="BZ153" s="112" t="s">
        <v>147</v>
      </c>
      <c r="CA153" s="113">
        <v>15</v>
      </c>
    </row>
    <row r="154" spans="36:79" ht="18" hidden="1" customHeight="1" x14ac:dyDescent="0.15">
      <c r="AJ154" s="125"/>
      <c r="AK154" s="126"/>
      <c r="AL154" s="118" t="e">
        <f t="shared" si="53"/>
        <v>#VALUE!</v>
      </c>
      <c r="AM154" s="118" t="e">
        <f>AL154^3+AJ142*AL154+AK142</f>
        <v>#VALUE!</v>
      </c>
      <c r="AN154" s="118" t="e">
        <f>3*AL154^2+AJ142</f>
        <v>#VALUE!</v>
      </c>
      <c r="AO154" s="118" t="e">
        <f t="shared" si="48"/>
        <v>#VALUE!</v>
      </c>
      <c r="AP154" s="128" t="s">
        <v>218</v>
      </c>
      <c r="AQ154" s="32"/>
      <c r="AS154" s="125"/>
      <c r="AT154" s="126"/>
      <c r="AU154" s="118" t="e">
        <f t="shared" si="54"/>
        <v>#VALUE!</v>
      </c>
      <c r="AV154" s="118" t="e">
        <f>AU154^3+AS142*AU154+AT142</f>
        <v>#VALUE!</v>
      </c>
      <c r="AW154" s="118" t="e">
        <f>3*AU154^2+AS142</f>
        <v>#VALUE!</v>
      </c>
      <c r="AX154" s="118" t="e">
        <f t="shared" si="49"/>
        <v>#VALUE!</v>
      </c>
      <c r="AY154" s="128" t="s">
        <v>219</v>
      </c>
      <c r="AZ154" s="32"/>
      <c r="BB154" s="125"/>
      <c r="BC154" s="126"/>
      <c r="BD154" s="118" t="e">
        <f t="shared" si="55"/>
        <v>#VALUE!</v>
      </c>
      <c r="BE154" s="118" t="e">
        <f>BD154^3+BB142*BD154+BC142</f>
        <v>#VALUE!</v>
      </c>
      <c r="BF154" s="118" t="e">
        <f>3*BD154^2+BB142</f>
        <v>#VALUE!</v>
      </c>
      <c r="BG154" s="118" t="e">
        <f t="shared" si="50"/>
        <v>#VALUE!</v>
      </c>
      <c r="BH154" s="128" t="s">
        <v>220</v>
      </c>
      <c r="BI154" s="32"/>
      <c r="BK154" s="125"/>
      <c r="BL154" s="126"/>
      <c r="BM154" s="118" t="e">
        <f t="shared" si="56"/>
        <v>#VALUE!</v>
      </c>
      <c r="BN154" s="118" t="e">
        <f>BM154^3+BK142*BM154+BL142</f>
        <v>#VALUE!</v>
      </c>
      <c r="BO154" s="118" t="e">
        <f>3*BM154^2+BK142</f>
        <v>#VALUE!</v>
      </c>
      <c r="BP154" s="118" t="e">
        <f t="shared" si="51"/>
        <v>#VALUE!</v>
      </c>
      <c r="BQ154" s="128" t="s">
        <v>221</v>
      </c>
      <c r="BR154" s="32"/>
      <c r="BT154" s="125"/>
      <c r="BU154" s="126"/>
      <c r="BV154" s="118" t="e">
        <f t="shared" si="57"/>
        <v>#VALUE!</v>
      </c>
      <c r="BW154" s="118" t="e">
        <f>BV154^3+BT142*BV154+BU142</f>
        <v>#VALUE!</v>
      </c>
      <c r="BX154" s="118" t="e">
        <f>3*BV154^2+BT142</f>
        <v>#VALUE!</v>
      </c>
      <c r="BY154" s="118" t="e">
        <f t="shared" si="52"/>
        <v>#VALUE!</v>
      </c>
      <c r="BZ154" s="128" t="s">
        <v>222</v>
      </c>
      <c r="CA154" s="32"/>
    </row>
    <row r="155" spans="36:79" ht="18" hidden="1" customHeight="1" x14ac:dyDescent="0.15">
      <c r="AJ155" s="125"/>
      <c r="AK155" s="126"/>
      <c r="AL155" s="18" t="e">
        <f t="shared" si="53"/>
        <v>#VALUE!</v>
      </c>
      <c r="AM155" s="18" t="e">
        <f>AL155^3+AJ142*AL155+AK142</f>
        <v>#VALUE!</v>
      </c>
      <c r="AN155" s="18" t="e">
        <f>3*AL155^2+AJ142</f>
        <v>#VALUE!</v>
      </c>
      <c r="AO155" s="18" t="e">
        <f t="shared" si="48"/>
        <v>#VALUE!</v>
      </c>
      <c r="AP155" s="273" t="str">
        <f>M55</f>
        <v>無 風 時　15[℃]</v>
      </c>
      <c r="AQ155" s="274"/>
      <c r="AS155" s="125"/>
      <c r="AT155" s="126"/>
      <c r="AU155" s="18" t="e">
        <f t="shared" si="54"/>
        <v>#VALUE!</v>
      </c>
      <c r="AV155" s="18" t="e">
        <f>AU155^3+AS142*AU155+AT142</f>
        <v>#VALUE!</v>
      </c>
      <c r="AW155" s="18" t="e">
        <f>3*AU155^2+AS142</f>
        <v>#VALUE!</v>
      </c>
      <c r="AX155" s="18" t="e">
        <f t="shared" si="49"/>
        <v>#VALUE!</v>
      </c>
      <c r="AY155" s="273" t="str">
        <f>M55</f>
        <v>無 風 時　15[℃]</v>
      </c>
      <c r="AZ155" s="274"/>
      <c r="BB155" s="125"/>
      <c r="BC155" s="126"/>
      <c r="BD155" s="18" t="e">
        <f t="shared" si="55"/>
        <v>#VALUE!</v>
      </c>
      <c r="BE155" s="18" t="e">
        <f>BD155^3+BB142*BD155+BC142</f>
        <v>#VALUE!</v>
      </c>
      <c r="BF155" s="18" t="e">
        <f>3*BD155^2+BB142</f>
        <v>#VALUE!</v>
      </c>
      <c r="BG155" s="18" t="e">
        <f t="shared" si="50"/>
        <v>#VALUE!</v>
      </c>
      <c r="BH155" s="273" t="str">
        <f>M55</f>
        <v>無 風 時　15[℃]</v>
      </c>
      <c r="BI155" s="274"/>
      <c r="BK155" s="125"/>
      <c r="BL155" s="126"/>
      <c r="BM155" s="18" t="e">
        <f t="shared" si="56"/>
        <v>#VALUE!</v>
      </c>
      <c r="BN155" s="18" t="e">
        <f>BM155^3+BK142*BM155+BL142</f>
        <v>#VALUE!</v>
      </c>
      <c r="BO155" s="18" t="e">
        <f>3*BM155^2+BK142</f>
        <v>#VALUE!</v>
      </c>
      <c r="BP155" s="18" t="e">
        <f t="shared" si="51"/>
        <v>#VALUE!</v>
      </c>
      <c r="BQ155" s="273" t="str">
        <f>M55</f>
        <v>無 風 時　15[℃]</v>
      </c>
      <c r="BR155" s="274"/>
      <c r="BT155" s="125"/>
      <c r="BU155" s="126"/>
      <c r="BV155" s="18" t="e">
        <f t="shared" si="57"/>
        <v>#VALUE!</v>
      </c>
      <c r="BW155" s="18" t="e">
        <f>BV155^3+BT142*BV155+BU142</f>
        <v>#VALUE!</v>
      </c>
      <c r="BX155" s="18" t="e">
        <f>3*BV155^2+BT142</f>
        <v>#VALUE!</v>
      </c>
      <c r="BY155" s="18" t="e">
        <f t="shared" si="52"/>
        <v>#VALUE!</v>
      </c>
      <c r="BZ155" s="273" t="str">
        <f>M55</f>
        <v>無 風 時　15[℃]</v>
      </c>
      <c r="CA155" s="274"/>
    </row>
    <row r="156" spans="36:79" ht="18" hidden="1" customHeight="1" thickBot="1" x14ac:dyDescent="0.2">
      <c r="AJ156" s="125"/>
      <c r="AK156" s="126"/>
      <c r="AL156" s="114" t="e">
        <f t="shared" si="53"/>
        <v>#VALUE!</v>
      </c>
      <c r="AM156" s="115" t="e">
        <f>AL156^3+AJ142*AL156+AK142</f>
        <v>#VALUE!</v>
      </c>
      <c r="AN156" s="115" t="e">
        <f>3*AL156^2+AJ142</f>
        <v>#VALUE!</v>
      </c>
      <c r="AO156" s="115" t="e">
        <f t="shared" si="48"/>
        <v>#VALUE!</v>
      </c>
      <c r="AP156" s="275"/>
      <c r="AQ156" s="276"/>
      <c r="AS156" s="125"/>
      <c r="AT156" s="126"/>
      <c r="AU156" s="114" t="e">
        <f t="shared" si="54"/>
        <v>#VALUE!</v>
      </c>
      <c r="AV156" s="115" t="e">
        <f>AU156^3+AS142*AU156+AT142</f>
        <v>#VALUE!</v>
      </c>
      <c r="AW156" s="115" t="e">
        <f>3*AU156^2+AS142</f>
        <v>#VALUE!</v>
      </c>
      <c r="AX156" s="115" t="e">
        <f t="shared" si="49"/>
        <v>#VALUE!</v>
      </c>
      <c r="AY156" s="275"/>
      <c r="AZ156" s="276"/>
      <c r="BB156" s="125"/>
      <c r="BC156" s="126"/>
      <c r="BD156" s="114" t="e">
        <f t="shared" si="55"/>
        <v>#VALUE!</v>
      </c>
      <c r="BE156" s="115" t="e">
        <f>BD156^3+BB142*BD156+BC142</f>
        <v>#VALUE!</v>
      </c>
      <c r="BF156" s="115" t="e">
        <f>3*BD156^2+BB142</f>
        <v>#VALUE!</v>
      </c>
      <c r="BG156" s="115" t="e">
        <f t="shared" si="50"/>
        <v>#VALUE!</v>
      </c>
      <c r="BH156" s="275"/>
      <c r="BI156" s="276"/>
      <c r="BK156" s="125"/>
      <c r="BL156" s="126"/>
      <c r="BM156" s="114" t="e">
        <f t="shared" si="56"/>
        <v>#VALUE!</v>
      </c>
      <c r="BN156" s="115" t="e">
        <f>BM156^3+BK142*BM156+BL142</f>
        <v>#VALUE!</v>
      </c>
      <c r="BO156" s="115" t="e">
        <f>3*BM156^2+BK142</f>
        <v>#VALUE!</v>
      </c>
      <c r="BP156" s="115" t="e">
        <f t="shared" si="51"/>
        <v>#VALUE!</v>
      </c>
      <c r="BQ156" s="275"/>
      <c r="BR156" s="276"/>
      <c r="BT156" s="125"/>
      <c r="BU156" s="126"/>
      <c r="BV156" s="114" t="e">
        <f t="shared" si="57"/>
        <v>#VALUE!</v>
      </c>
      <c r="BW156" s="115" t="e">
        <f>BV156^3+BT142*BV156+BU142</f>
        <v>#VALUE!</v>
      </c>
      <c r="BX156" s="115" t="e">
        <f>3*BV156^2+BT142</f>
        <v>#VALUE!</v>
      </c>
      <c r="BY156" s="115" t="e">
        <f t="shared" si="52"/>
        <v>#VALUE!</v>
      </c>
      <c r="BZ156" s="275"/>
      <c r="CA156" s="276"/>
    </row>
    <row r="157" spans="36:79" ht="18" hidden="1" customHeight="1" x14ac:dyDescent="0.15">
      <c r="AJ157" s="62"/>
      <c r="AK157" s="12" t="s">
        <v>224</v>
      </c>
      <c r="AL157" s="12" t="s">
        <v>225</v>
      </c>
      <c r="AM157" s="12" t="s">
        <v>226</v>
      </c>
      <c r="AN157" s="12" t="s">
        <v>227</v>
      </c>
      <c r="AO157" s="63" t="s">
        <v>228</v>
      </c>
      <c r="AP157" s="12" t="s">
        <v>229</v>
      </c>
      <c r="AQ157" s="13" t="s">
        <v>230</v>
      </c>
      <c r="AS157" s="62"/>
      <c r="AT157" s="12" t="s">
        <v>224</v>
      </c>
      <c r="AU157" s="12" t="s">
        <v>225</v>
      </c>
      <c r="AV157" s="12" t="s">
        <v>226</v>
      </c>
      <c r="AW157" s="12" t="s">
        <v>227</v>
      </c>
      <c r="AX157" s="63" t="s">
        <v>228</v>
      </c>
      <c r="AY157" s="12" t="s">
        <v>229</v>
      </c>
      <c r="AZ157" s="13" t="s">
        <v>230</v>
      </c>
      <c r="BB157" s="62"/>
      <c r="BC157" s="12" t="s">
        <v>224</v>
      </c>
      <c r="BD157" s="12" t="s">
        <v>225</v>
      </c>
      <c r="BE157" s="12" t="s">
        <v>226</v>
      </c>
      <c r="BF157" s="12" t="s">
        <v>227</v>
      </c>
      <c r="BG157" s="63" t="s">
        <v>228</v>
      </c>
      <c r="BH157" s="12" t="s">
        <v>229</v>
      </c>
      <c r="BI157" s="13" t="s">
        <v>230</v>
      </c>
      <c r="BK157" s="62"/>
      <c r="BL157" s="12" t="s">
        <v>224</v>
      </c>
      <c r="BM157" s="12" t="s">
        <v>225</v>
      </c>
      <c r="BN157" s="12" t="s">
        <v>226</v>
      </c>
      <c r="BO157" s="12" t="s">
        <v>227</v>
      </c>
      <c r="BP157" s="63" t="s">
        <v>228</v>
      </c>
      <c r="BQ157" s="12" t="s">
        <v>229</v>
      </c>
      <c r="BR157" s="13" t="s">
        <v>230</v>
      </c>
      <c r="BT157" s="62"/>
      <c r="BU157" s="12" t="s">
        <v>224</v>
      </c>
      <c r="BV157" s="12" t="s">
        <v>225</v>
      </c>
      <c r="BW157" s="12" t="s">
        <v>226</v>
      </c>
      <c r="BX157" s="12" t="s">
        <v>227</v>
      </c>
      <c r="BY157" s="63" t="s">
        <v>228</v>
      </c>
      <c r="BZ157" s="12" t="s">
        <v>229</v>
      </c>
      <c r="CA157" s="13" t="s">
        <v>230</v>
      </c>
    </row>
    <row r="158" spans="36:79" ht="18" hidden="1" customHeight="1" thickBot="1" x14ac:dyDescent="0.2">
      <c r="AJ158" s="107"/>
      <c r="AK158" s="108" t="e">
        <f>M23+U23</f>
        <v>#VALUE!</v>
      </c>
      <c r="AL158" s="108">
        <f>IF(C33="",L19*(F19/40)^2,C33)</f>
        <v>0</v>
      </c>
      <c r="AM158" s="108">
        <f>F19</f>
        <v>0</v>
      </c>
      <c r="AN158" s="108" t="e">
        <f>AK78*1600/(8*L19)</f>
        <v>#VALUE!</v>
      </c>
      <c r="AO158" s="109">
        <f>V23</f>
        <v>0</v>
      </c>
      <c r="AP158" s="108" t="str">
        <f>L23</f>
        <v/>
      </c>
      <c r="AQ158" s="110">
        <f>W23</f>
        <v>0</v>
      </c>
      <c r="AS158" s="107"/>
      <c r="AT158" s="108" t="str">
        <f>IF(B24="使用電線-2",M24+U24,IF(B25="使用電線-2",M25+U25,IF(B26="使用電線-2",M26+U26,IF(B27="使用電線-2",M27+U27,IF(B28="使用電線-2",M28+U28,IF(B29="使用電線-2",M29+U29,""))))))</f>
        <v/>
      </c>
      <c r="AU158" s="108">
        <f>IF(I33="",L19*(F19/40)^2,I33)</f>
        <v>0</v>
      </c>
      <c r="AV158" s="108">
        <f>F19</f>
        <v>0</v>
      </c>
      <c r="AW158" s="108" t="e">
        <f>AT158*1600/(8*L19)</f>
        <v>#VALUE!</v>
      </c>
      <c r="AX158" s="109" t="str">
        <f>IF(B24="使用電線-2",V24,IF(B25="使用電線-2",V25,IF(B26="使用電線-2",V26,IF(B27="使用電線-2",V27,IF(B28="使用電線-2",V28,IF(B29="使用電線-2",V29,""))))))</f>
        <v/>
      </c>
      <c r="AY158" s="108" t="str">
        <f>IF(B24="使用電線-2",L24,IF(B25="使用電線-2",L25,IF(B26="使用電線-2",L26,IF(B27="使用電線-2",L27,IF(B28="使用電線-2",L28,IF(B29="使用電線-2",L29,""))))))</f>
        <v/>
      </c>
      <c r="AZ158" s="110" t="str">
        <f>IF(B24="使用電線-2",W24,IF(B25="使用電線-2",W25,IF(B26="使用電線-2",W26,IF(B27="使用電線-2",W27,IF(B28="使用電線-2",W28,IF(B29="使用電線-2",W29,""))))))</f>
        <v/>
      </c>
      <c r="BB158" s="107"/>
      <c r="BC158" s="108" t="str">
        <f>IF(B25="使用電線-3",M25+U25,IF(B26="使用電線-3",M26+U26,IF(B27="使用電線-3",M27+U27,IF(B28="使用電線-3",M28+U28,IF(B29="使用電線-3",M29+U29,"")))))</f>
        <v/>
      </c>
      <c r="BD158" s="108">
        <f>IF(N33="",L19*(F19/40)^2,N33)</f>
        <v>0</v>
      </c>
      <c r="BE158" s="108">
        <f>F19</f>
        <v>0</v>
      </c>
      <c r="BF158" s="108" t="e">
        <f>BC158*1600/(8*L19)</f>
        <v>#VALUE!</v>
      </c>
      <c r="BG158" s="109" t="str">
        <f>IF(B25="使用電線-3",V25,IF(B26="使用電線-3",V26,IF(B27="使用電線-3",V27,IF(B28="使用電線-3",V28,IF(B29="使用電線-3",V29,"")))))</f>
        <v/>
      </c>
      <c r="BH158" s="108" t="str">
        <f>IF(B25="使用電線-3",L25,IF(B26="使用電線-3",L26,IF(B27="使用電線-3",L27,IF(B28="使用電線-3",L28,IF(B29="使用電線-3",L29,"")))))</f>
        <v/>
      </c>
      <c r="BI158" s="110" t="str">
        <f>IF(B25="使用電線-3",W25,IF(B26="使用電線-3",W26,IF(B27="使用電線-3",W27,IF(B28="使用電線-3",W28,IF(B29="使用電線-3",W29,"")))))</f>
        <v/>
      </c>
      <c r="BK158" s="107"/>
      <c r="BL158" s="108" t="str">
        <f>IF(B26="使用電線-4",M26+U26,IF(B27="使用電線-4",M27+U27,IF(B28="使用電線-4",M28+U28,IF(B29="使用電線-4",M29+U29,""))))</f>
        <v/>
      </c>
      <c r="BM158" s="108">
        <f>IF(C47="",L19*(F19/40)^2,C47)</f>
        <v>0</v>
      </c>
      <c r="BN158" s="108">
        <f>F19</f>
        <v>0</v>
      </c>
      <c r="BO158" s="127" t="e">
        <f>BL158*1600/(8*L19)</f>
        <v>#VALUE!</v>
      </c>
      <c r="BP158" s="109" t="str">
        <f>IF(B26="使用電線-4",V26,IF(B27="使用電線-4",V27,IF(B28="使用電線-4",V28,IF(B29="使用電線-4",V29,""))))</f>
        <v/>
      </c>
      <c r="BQ158" s="108" t="str">
        <f>IF(B26="使用電線-4",L26,IF(B27="使用電線-4",L27,IF(B28="使用電線-4",L28,IF(B29="使用電線-4",L29,""))))</f>
        <v/>
      </c>
      <c r="BR158" s="110" t="str">
        <f>IF(B26="使用電線-4",W26,IF(B27="使用電線-4",W27,IF(B28="使用電線-4",W28,IF(B29="使用電線-4",W29,""))))</f>
        <v/>
      </c>
      <c r="BT158" s="107"/>
      <c r="BU158" s="108" t="str">
        <f>IF(B27="使用電線-5",M27+U27,IF(B28="使用電線-5",M28+U28,IF(B29="使用電線-5",M29+U29,"")))</f>
        <v/>
      </c>
      <c r="BV158" s="108">
        <f>IF(I47="",L19*(F19/40)^2,I47)</f>
        <v>0</v>
      </c>
      <c r="BW158" s="108">
        <f>F19</f>
        <v>0</v>
      </c>
      <c r="BX158" s="127" t="e">
        <f>BU158*1600/(8*L19)</f>
        <v>#VALUE!</v>
      </c>
      <c r="BY158" s="109" t="str">
        <f>IF(B27="使用電線-5",V27,IF(B28="使用電線-5",V28,IF(B29="使用電線-5",V29,"")))</f>
        <v/>
      </c>
      <c r="BZ158" s="108" t="str">
        <f>IF(B27="使用電線-5",L27,IF(B28="使用電線-5",L28,IF(B29="使用電線-5",L29,"")))</f>
        <v/>
      </c>
      <c r="CA158" s="110" t="str">
        <f>IF(B27="使用電線-5",W27,IF(B28="使用電線-5",W28,IF(B29="使用電線-5",W29,"")))</f>
        <v/>
      </c>
    </row>
    <row r="159" spans="36:79" ht="18" hidden="1" customHeight="1" x14ac:dyDescent="0.15"/>
    <row r="160" spans="36:79" ht="18" hidden="1" customHeight="1" thickBot="1" x14ac:dyDescent="0.2"/>
    <row r="161" spans="36:79" ht="18" hidden="1" customHeight="1" x14ac:dyDescent="0.15">
      <c r="AJ161" s="2" t="s">
        <v>232</v>
      </c>
      <c r="AK161" s="111" t="s">
        <v>233</v>
      </c>
      <c r="AL161" s="12" t="s">
        <v>234</v>
      </c>
      <c r="AM161" s="12" t="s">
        <v>235</v>
      </c>
      <c r="AN161" s="12" t="s">
        <v>236</v>
      </c>
      <c r="AO161" s="12" t="s">
        <v>237</v>
      </c>
      <c r="AP161" s="12" t="s">
        <v>238</v>
      </c>
      <c r="AQ161" s="13" t="s">
        <v>239</v>
      </c>
      <c r="AS161" s="2" t="s">
        <v>232</v>
      </c>
      <c r="AT161" s="111" t="s">
        <v>233</v>
      </c>
      <c r="AU161" s="12" t="s">
        <v>234</v>
      </c>
      <c r="AV161" s="12" t="s">
        <v>235</v>
      </c>
      <c r="AW161" s="12" t="s">
        <v>236</v>
      </c>
      <c r="AX161" s="12" t="s">
        <v>237</v>
      </c>
      <c r="AY161" s="12" t="s">
        <v>238</v>
      </c>
      <c r="AZ161" s="13" t="s">
        <v>239</v>
      </c>
      <c r="BB161" s="2" t="s">
        <v>232</v>
      </c>
      <c r="BC161" s="111" t="s">
        <v>233</v>
      </c>
      <c r="BD161" s="12" t="s">
        <v>234</v>
      </c>
      <c r="BE161" s="12" t="s">
        <v>235</v>
      </c>
      <c r="BF161" s="12" t="s">
        <v>236</v>
      </c>
      <c r="BG161" s="12" t="s">
        <v>237</v>
      </c>
      <c r="BH161" s="12" t="s">
        <v>238</v>
      </c>
      <c r="BI161" s="13" t="s">
        <v>239</v>
      </c>
      <c r="BK161" s="2" t="s">
        <v>232</v>
      </c>
      <c r="BL161" s="111" t="s">
        <v>233</v>
      </c>
      <c r="BM161" s="12" t="s">
        <v>234</v>
      </c>
      <c r="BN161" s="12" t="s">
        <v>235</v>
      </c>
      <c r="BO161" s="12" t="s">
        <v>236</v>
      </c>
      <c r="BP161" s="12" t="s">
        <v>237</v>
      </c>
      <c r="BQ161" s="12" t="s">
        <v>238</v>
      </c>
      <c r="BR161" s="13" t="s">
        <v>239</v>
      </c>
      <c r="BT161" s="2" t="s">
        <v>232</v>
      </c>
      <c r="BU161" s="111" t="s">
        <v>233</v>
      </c>
      <c r="BV161" s="12" t="s">
        <v>234</v>
      </c>
      <c r="BW161" s="12" t="s">
        <v>235</v>
      </c>
      <c r="BX161" s="12" t="s">
        <v>236</v>
      </c>
      <c r="BY161" s="12" t="s">
        <v>237</v>
      </c>
      <c r="BZ161" s="12" t="s">
        <v>238</v>
      </c>
      <c r="CA161" s="13" t="s">
        <v>239</v>
      </c>
    </row>
    <row r="162" spans="36:79" ht="18" hidden="1" customHeight="1" x14ac:dyDescent="0.15">
      <c r="AJ162" s="16" t="e">
        <f>-AJ165+AJ168</f>
        <v>#VALUE!</v>
      </c>
      <c r="AK162" s="17" t="e">
        <f>-AJ171</f>
        <v>#VALUE!</v>
      </c>
      <c r="AL162" s="18" t="e">
        <f>IF(AND(AP165&lt;0,AQ165&lt;0),AQ162*1.2,IF(AND(AP165&gt;0,AQ165&gt;0),AP162*0.8,10))</f>
        <v>#VALUE!</v>
      </c>
      <c r="AM162" s="18" t="e">
        <f>AL162^3+AJ162*AL162+AK162</f>
        <v>#VALUE!</v>
      </c>
      <c r="AN162" s="18" t="e">
        <f>3*AL162^2+AJ162</f>
        <v>#VALUE!</v>
      </c>
      <c r="AO162" s="18" t="e">
        <f t="shared" ref="AO162:AO176" si="58">AL162-AM162/AN162</f>
        <v>#VALUE!</v>
      </c>
      <c r="AP162" s="18" t="e">
        <f>-SQRT(ABS(-4*3*AJ162))/6</f>
        <v>#VALUE!</v>
      </c>
      <c r="AQ162" s="19" t="e">
        <f>SQRT(ABS(-4*3*AJ162))/6</f>
        <v>#VALUE!</v>
      </c>
      <c r="AS162" s="16" t="e">
        <f>-AS165+AS168</f>
        <v>#VALUE!</v>
      </c>
      <c r="AT162" s="17" t="e">
        <f>-AS171</f>
        <v>#VALUE!</v>
      </c>
      <c r="AU162" s="18" t="e">
        <f>IF(AND(AY165&lt;0,AZ165&lt;0),AZ162*1.2,IF(AND(AY165&gt;0,AZ165&gt;0),AY162*0.8,10))</f>
        <v>#VALUE!</v>
      </c>
      <c r="AV162" s="18" t="e">
        <f>AU162^3+AS162*AU162+AT162</f>
        <v>#VALUE!</v>
      </c>
      <c r="AW162" s="18" t="e">
        <f>3*AU162^2+AS162</f>
        <v>#VALUE!</v>
      </c>
      <c r="AX162" s="18" t="e">
        <f t="shared" ref="AX162:AX176" si="59">AU162-AV162/AW162</f>
        <v>#VALUE!</v>
      </c>
      <c r="AY162" s="18" t="e">
        <f>-SQRT(ABS(-4*3*AS162))/6</f>
        <v>#VALUE!</v>
      </c>
      <c r="AZ162" s="19" t="e">
        <f>SQRT(ABS(-4*3*AS162))/6</f>
        <v>#VALUE!</v>
      </c>
      <c r="BB162" s="16" t="e">
        <f>-BB165+BB168</f>
        <v>#VALUE!</v>
      </c>
      <c r="BC162" s="17" t="e">
        <f>-BB171</f>
        <v>#VALUE!</v>
      </c>
      <c r="BD162" s="18" t="e">
        <f>IF(AND(BH165&lt;0,BI165&lt;0),BI162*1.2,IF(AND(BH165&gt;0,BI165&gt;0),BH162*0.8,10))</f>
        <v>#VALUE!</v>
      </c>
      <c r="BE162" s="18" t="e">
        <f>BD162^3+BB162*BD162+BC162</f>
        <v>#VALUE!</v>
      </c>
      <c r="BF162" s="18" t="e">
        <f>3*BD162^2+BB162</f>
        <v>#VALUE!</v>
      </c>
      <c r="BG162" s="18" t="e">
        <f t="shared" ref="BG162:BG176" si="60">BD162-BE162/BF162</f>
        <v>#VALUE!</v>
      </c>
      <c r="BH162" s="18" t="e">
        <f>-SQRT(ABS(-4*3*BB162))/6</f>
        <v>#VALUE!</v>
      </c>
      <c r="BI162" s="19" t="e">
        <f>SQRT(ABS(-4*3*BB162))/6</f>
        <v>#VALUE!</v>
      </c>
      <c r="BK162" s="16" t="e">
        <f>-BK165+BK168</f>
        <v>#VALUE!</v>
      </c>
      <c r="BL162" s="17" t="e">
        <f>-BK171</f>
        <v>#VALUE!</v>
      </c>
      <c r="BM162" s="18" t="e">
        <f>IF(AND(BQ165&lt;0,BR165&lt;0),BR162*1.2,IF(AND(BQ165&gt;0,BR165&gt;0),BQ162*0.8,10))</f>
        <v>#VALUE!</v>
      </c>
      <c r="BN162" s="18" t="e">
        <f>BM162^3+BK162*BM162+BL162</f>
        <v>#VALUE!</v>
      </c>
      <c r="BO162" s="18" t="e">
        <f>3*BM162^2+BK162</f>
        <v>#VALUE!</v>
      </c>
      <c r="BP162" s="18" t="e">
        <f t="shared" ref="BP162:BP176" si="61">BM162-BN162/BO162</f>
        <v>#VALUE!</v>
      </c>
      <c r="BQ162" s="18" t="e">
        <f>-SQRT(ABS(-4*3*BK162))/6</f>
        <v>#VALUE!</v>
      </c>
      <c r="BR162" s="19" t="e">
        <f>SQRT(ABS(-4*3*BK162))/6</f>
        <v>#VALUE!</v>
      </c>
      <c r="BT162" s="16" t="e">
        <f>-BT165+BT168</f>
        <v>#VALUE!</v>
      </c>
      <c r="BU162" s="17" t="e">
        <f>-BT171</f>
        <v>#VALUE!</v>
      </c>
      <c r="BV162" s="18" t="e">
        <f>IF(AND(BZ165&lt;0,CA165&lt;0),CA162*1.2,IF(AND(BZ165&gt;0,CA165&gt;0),BZ162*0.8,10))</f>
        <v>#VALUE!</v>
      </c>
      <c r="BW162" s="18" t="e">
        <f>BV162^3+BT162*BV162+BU162</f>
        <v>#VALUE!</v>
      </c>
      <c r="BX162" s="18" t="e">
        <f>3*BV162^2+BT162</f>
        <v>#VALUE!</v>
      </c>
      <c r="BY162" s="18" t="e">
        <f t="shared" ref="BY162:BY176" si="62">BV162-BW162/BX162</f>
        <v>#VALUE!</v>
      </c>
      <c r="BZ162" s="18" t="e">
        <f>-SQRT(ABS(-4*3*BT162))/6</f>
        <v>#VALUE!</v>
      </c>
      <c r="CA162" s="19" t="e">
        <f>SQRT(ABS(-4*3*BT162))/6</f>
        <v>#VALUE!</v>
      </c>
    </row>
    <row r="163" spans="36:79" ht="18" hidden="1" customHeight="1" x14ac:dyDescent="0.15">
      <c r="AJ163" s="267"/>
      <c r="AK163" s="268"/>
      <c r="AL163" s="18" t="e">
        <f t="shared" ref="AL163:AL176" si="63">AO162</f>
        <v>#VALUE!</v>
      </c>
      <c r="AM163" s="18" t="e">
        <f>AL163^3+AJ162*AL163+AK162</f>
        <v>#VALUE!</v>
      </c>
      <c r="AN163" s="18" t="e">
        <f>3*AL163^2+AJ162</f>
        <v>#VALUE!</v>
      </c>
      <c r="AO163" s="18" t="e">
        <f t="shared" si="58"/>
        <v>#VALUE!</v>
      </c>
      <c r="AP163" s="6"/>
      <c r="AQ163" s="7"/>
      <c r="AS163" s="267"/>
      <c r="AT163" s="268"/>
      <c r="AU163" s="18" t="e">
        <f t="shared" ref="AU163:AU176" si="64">AX162</f>
        <v>#VALUE!</v>
      </c>
      <c r="AV163" s="18" t="e">
        <f>AU163^3+AS162*AU163+AT162</f>
        <v>#VALUE!</v>
      </c>
      <c r="AW163" s="18" t="e">
        <f>3*AU163^2+AS162</f>
        <v>#VALUE!</v>
      </c>
      <c r="AX163" s="18" t="e">
        <f t="shared" si="59"/>
        <v>#VALUE!</v>
      </c>
      <c r="AY163" s="6"/>
      <c r="AZ163" s="7"/>
      <c r="BB163" s="267"/>
      <c r="BC163" s="268"/>
      <c r="BD163" s="18" t="e">
        <f t="shared" ref="BD163:BD176" si="65">BG162</f>
        <v>#VALUE!</v>
      </c>
      <c r="BE163" s="18" t="e">
        <f>BD163^3+BB162*BD163+BC162</f>
        <v>#VALUE!</v>
      </c>
      <c r="BF163" s="18" t="e">
        <f>3*BD163^2+BB162</f>
        <v>#VALUE!</v>
      </c>
      <c r="BG163" s="18" t="e">
        <f t="shared" si="60"/>
        <v>#VALUE!</v>
      </c>
      <c r="BH163" s="6"/>
      <c r="BI163" s="7"/>
      <c r="BK163" s="267"/>
      <c r="BL163" s="268"/>
      <c r="BM163" s="18" t="e">
        <f t="shared" ref="BM163:BM176" si="66">BP162</f>
        <v>#VALUE!</v>
      </c>
      <c r="BN163" s="18" t="e">
        <f>BM163^3+BK162*BM163+BL162</f>
        <v>#VALUE!</v>
      </c>
      <c r="BO163" s="18" t="e">
        <f>3*BM163^2+BK162</f>
        <v>#VALUE!</v>
      </c>
      <c r="BP163" s="18" t="e">
        <f t="shared" si="61"/>
        <v>#VALUE!</v>
      </c>
      <c r="BQ163" s="6"/>
      <c r="BR163" s="7"/>
      <c r="BT163" s="267"/>
      <c r="BU163" s="268"/>
      <c r="BV163" s="18" t="e">
        <f t="shared" ref="BV163:BV176" si="67">BY162</f>
        <v>#VALUE!</v>
      </c>
      <c r="BW163" s="18" t="e">
        <f>BV163^3+BT162*BV163+BU162</f>
        <v>#VALUE!</v>
      </c>
      <c r="BX163" s="18" t="e">
        <f>3*BV163^2+BT162</f>
        <v>#VALUE!</v>
      </c>
      <c r="BY163" s="18" t="e">
        <f t="shared" si="62"/>
        <v>#VALUE!</v>
      </c>
      <c r="BZ163" s="6"/>
      <c r="CA163" s="7"/>
    </row>
    <row r="164" spans="36:79" ht="18" hidden="1" customHeight="1" x14ac:dyDescent="0.15">
      <c r="AJ164" s="269" t="s">
        <v>240</v>
      </c>
      <c r="AK164" s="270"/>
      <c r="AL164" s="18" t="e">
        <f t="shared" si="63"/>
        <v>#VALUE!</v>
      </c>
      <c r="AM164" s="18" t="e">
        <f>AL164^3+AJ162*AL164+AK162</f>
        <v>#VALUE!</v>
      </c>
      <c r="AN164" s="18" t="e">
        <f>3*AL164^2+AJ162</f>
        <v>#VALUE!</v>
      </c>
      <c r="AO164" s="18" t="e">
        <f t="shared" si="58"/>
        <v>#VALUE!</v>
      </c>
      <c r="AP164" s="14" t="s">
        <v>241</v>
      </c>
      <c r="AQ164" s="15" t="s">
        <v>242</v>
      </c>
      <c r="AS164" s="269" t="s">
        <v>240</v>
      </c>
      <c r="AT164" s="270"/>
      <c r="AU164" s="18" t="e">
        <f t="shared" si="64"/>
        <v>#VALUE!</v>
      </c>
      <c r="AV164" s="18" t="e">
        <f>AU164^3+AS162*AU164+AT162</f>
        <v>#VALUE!</v>
      </c>
      <c r="AW164" s="18" t="e">
        <f>3*AU164^2+AS162</f>
        <v>#VALUE!</v>
      </c>
      <c r="AX164" s="18" t="e">
        <f t="shared" si="59"/>
        <v>#VALUE!</v>
      </c>
      <c r="AY164" s="14" t="s">
        <v>241</v>
      </c>
      <c r="AZ164" s="15" t="s">
        <v>242</v>
      </c>
      <c r="BB164" s="269" t="s">
        <v>240</v>
      </c>
      <c r="BC164" s="270"/>
      <c r="BD164" s="18" t="e">
        <f t="shared" si="65"/>
        <v>#VALUE!</v>
      </c>
      <c r="BE164" s="18" t="e">
        <f>BD164^3+BB162*BD164+BC162</f>
        <v>#VALUE!</v>
      </c>
      <c r="BF164" s="18" t="e">
        <f>3*BD164^2+BB162</f>
        <v>#VALUE!</v>
      </c>
      <c r="BG164" s="18" t="e">
        <f t="shared" si="60"/>
        <v>#VALUE!</v>
      </c>
      <c r="BH164" s="14" t="s">
        <v>241</v>
      </c>
      <c r="BI164" s="15" t="s">
        <v>242</v>
      </c>
      <c r="BK164" s="269" t="s">
        <v>240</v>
      </c>
      <c r="BL164" s="270"/>
      <c r="BM164" s="18" t="e">
        <f t="shared" si="66"/>
        <v>#VALUE!</v>
      </c>
      <c r="BN164" s="18" t="e">
        <f>BM164^3+BK162*BM164+BL162</f>
        <v>#VALUE!</v>
      </c>
      <c r="BO164" s="18" t="e">
        <f>3*BM164^2+BK162</f>
        <v>#VALUE!</v>
      </c>
      <c r="BP164" s="18" t="e">
        <f t="shared" si="61"/>
        <v>#VALUE!</v>
      </c>
      <c r="BQ164" s="14" t="s">
        <v>241</v>
      </c>
      <c r="BR164" s="15" t="s">
        <v>242</v>
      </c>
      <c r="BT164" s="269" t="s">
        <v>240</v>
      </c>
      <c r="BU164" s="270"/>
      <c r="BV164" s="18" t="e">
        <f t="shared" si="67"/>
        <v>#VALUE!</v>
      </c>
      <c r="BW164" s="18" t="e">
        <f>BV164^3+BT162*BV164+BU162</f>
        <v>#VALUE!</v>
      </c>
      <c r="BX164" s="18" t="e">
        <f>3*BV164^2+BT162</f>
        <v>#VALUE!</v>
      </c>
      <c r="BY164" s="18" t="e">
        <f t="shared" si="62"/>
        <v>#VALUE!</v>
      </c>
      <c r="BZ164" s="14" t="s">
        <v>241</v>
      </c>
      <c r="CA164" s="15" t="s">
        <v>242</v>
      </c>
    </row>
    <row r="165" spans="36:79" ht="18" hidden="1" customHeight="1" x14ac:dyDescent="0.15">
      <c r="AJ165" s="269">
        <f>(AL178^2)+3*(AM178^2)*AQ178*(AQ173-15)/(8*10^7)</f>
        <v>0</v>
      </c>
      <c r="AK165" s="270"/>
      <c r="AL165" s="18" t="e">
        <f t="shared" si="63"/>
        <v>#VALUE!</v>
      </c>
      <c r="AM165" s="18" t="e">
        <f>AL165^3+AJ162*AL165+AK162</f>
        <v>#VALUE!</v>
      </c>
      <c r="AN165" s="18" t="e">
        <f>3*AL165^2+AJ162</f>
        <v>#VALUE!</v>
      </c>
      <c r="AO165" s="18" t="e">
        <f t="shared" si="58"/>
        <v>#VALUE!</v>
      </c>
      <c r="AP165" s="18" t="e">
        <f>AP162^3+AJ162*AP162+AK162</f>
        <v>#VALUE!</v>
      </c>
      <c r="AQ165" s="19" t="e">
        <f>AQ162^3+AJ162*AQ162+AK162</f>
        <v>#VALUE!</v>
      </c>
      <c r="AS165" s="269" t="e">
        <f>(AU178^2)+3*(AV178^2)*AZ178*(AZ173-15)/(8*10^7)</f>
        <v>#VALUE!</v>
      </c>
      <c r="AT165" s="270"/>
      <c r="AU165" s="18" t="e">
        <f t="shared" si="64"/>
        <v>#VALUE!</v>
      </c>
      <c r="AV165" s="18" t="e">
        <f>AU165^3+AS162*AU165+AT162</f>
        <v>#VALUE!</v>
      </c>
      <c r="AW165" s="18" t="e">
        <f>3*AU165^2+AS162</f>
        <v>#VALUE!</v>
      </c>
      <c r="AX165" s="18" t="e">
        <f t="shared" si="59"/>
        <v>#VALUE!</v>
      </c>
      <c r="AY165" s="18" t="e">
        <f>AY162^3+AS162*AY162+AT162</f>
        <v>#VALUE!</v>
      </c>
      <c r="AZ165" s="19" t="e">
        <f>AZ162^3+AS162*AZ162+AT162</f>
        <v>#VALUE!</v>
      </c>
      <c r="BB165" s="269" t="e">
        <f>(BD178^2)+3*(BE178^2)*BI178*(BI173-15)/(8*10^7)</f>
        <v>#VALUE!</v>
      </c>
      <c r="BC165" s="270"/>
      <c r="BD165" s="18" t="e">
        <f t="shared" si="65"/>
        <v>#VALUE!</v>
      </c>
      <c r="BE165" s="18" t="e">
        <f>BD165^3+BB162*BD165+BC162</f>
        <v>#VALUE!</v>
      </c>
      <c r="BF165" s="18" t="e">
        <f>3*BD165^2+BB162</f>
        <v>#VALUE!</v>
      </c>
      <c r="BG165" s="18" t="e">
        <f t="shared" si="60"/>
        <v>#VALUE!</v>
      </c>
      <c r="BH165" s="18" t="e">
        <f>BH162^3+BB162*BH162+BC162</f>
        <v>#VALUE!</v>
      </c>
      <c r="BI165" s="19" t="e">
        <f>BI162^3+BB162*BI162+BC162</f>
        <v>#VALUE!</v>
      </c>
      <c r="BK165" s="269" t="e">
        <f>(BM178^2)+3*(BN178^2)*BR178*(BR173-15)/(8*10^7)</f>
        <v>#VALUE!</v>
      </c>
      <c r="BL165" s="270"/>
      <c r="BM165" s="18" t="e">
        <f t="shared" si="66"/>
        <v>#VALUE!</v>
      </c>
      <c r="BN165" s="18" t="e">
        <f>BM165^3+BK162*BM165+BL162</f>
        <v>#VALUE!</v>
      </c>
      <c r="BO165" s="18" t="e">
        <f>3*BM165^2+BK162</f>
        <v>#VALUE!</v>
      </c>
      <c r="BP165" s="18" t="e">
        <f t="shared" si="61"/>
        <v>#VALUE!</v>
      </c>
      <c r="BQ165" s="18" t="e">
        <f>BQ162^3+BK162*BQ162+BL162</f>
        <v>#VALUE!</v>
      </c>
      <c r="BR165" s="19" t="e">
        <f>BR162^3+BK162*BR162+BL162</f>
        <v>#VALUE!</v>
      </c>
      <c r="BT165" s="269" t="e">
        <f>(BV178^2)+3*(BW178^2)*CA178*(CA173-15)/(8*10^7)</f>
        <v>#VALUE!</v>
      </c>
      <c r="BU165" s="270"/>
      <c r="BV165" s="18" t="e">
        <f t="shared" si="67"/>
        <v>#VALUE!</v>
      </c>
      <c r="BW165" s="18" t="e">
        <f>BV165^3+BT162*BV165+BU162</f>
        <v>#VALUE!</v>
      </c>
      <c r="BX165" s="18" t="e">
        <f>3*BV165^2+BT162</f>
        <v>#VALUE!</v>
      </c>
      <c r="BY165" s="18" t="e">
        <f t="shared" si="62"/>
        <v>#VALUE!</v>
      </c>
      <c r="BZ165" s="18" t="e">
        <f>BZ162^3+BT162*BZ162+BU162</f>
        <v>#VALUE!</v>
      </c>
      <c r="CA165" s="19" t="e">
        <f>CA162^3+BT162*CA162+BU162</f>
        <v>#VALUE!</v>
      </c>
    </row>
    <row r="166" spans="36:79" ht="18" hidden="1" customHeight="1" x14ac:dyDescent="0.15">
      <c r="AJ166" s="267"/>
      <c r="AK166" s="268"/>
      <c r="AL166" s="18" t="e">
        <f t="shared" si="63"/>
        <v>#VALUE!</v>
      </c>
      <c r="AM166" s="18" t="e">
        <f>AL166^3+AJ162*AL166+AK162</f>
        <v>#VALUE!</v>
      </c>
      <c r="AN166" s="18" t="e">
        <f>3*AL166^2+AJ162</f>
        <v>#VALUE!</v>
      </c>
      <c r="AO166" s="18" t="e">
        <f t="shared" si="58"/>
        <v>#VALUE!</v>
      </c>
      <c r="AP166" s="31"/>
      <c r="AQ166" s="32"/>
      <c r="AS166" s="267"/>
      <c r="AT166" s="268"/>
      <c r="AU166" s="18" t="e">
        <f t="shared" si="64"/>
        <v>#VALUE!</v>
      </c>
      <c r="AV166" s="18" t="e">
        <f>AU166^3+AS162*AU166+AT162</f>
        <v>#VALUE!</v>
      </c>
      <c r="AW166" s="18" t="e">
        <f>3*AU166^2+AS162</f>
        <v>#VALUE!</v>
      </c>
      <c r="AX166" s="18" t="e">
        <f t="shared" si="59"/>
        <v>#VALUE!</v>
      </c>
      <c r="AY166" s="31"/>
      <c r="AZ166" s="32"/>
      <c r="BB166" s="267"/>
      <c r="BC166" s="268"/>
      <c r="BD166" s="18" t="e">
        <f t="shared" si="65"/>
        <v>#VALUE!</v>
      </c>
      <c r="BE166" s="18" t="e">
        <f>BD166^3+BB162*BD166+BC162</f>
        <v>#VALUE!</v>
      </c>
      <c r="BF166" s="18" t="e">
        <f>3*BD166^2+BB162</f>
        <v>#VALUE!</v>
      </c>
      <c r="BG166" s="18" t="e">
        <f t="shared" si="60"/>
        <v>#VALUE!</v>
      </c>
      <c r="BH166" s="31"/>
      <c r="BI166" s="32"/>
      <c r="BK166" s="267"/>
      <c r="BL166" s="268"/>
      <c r="BM166" s="18" t="e">
        <f t="shared" si="66"/>
        <v>#VALUE!</v>
      </c>
      <c r="BN166" s="18" t="e">
        <f>BM166^3+BK162*BM166+BL162</f>
        <v>#VALUE!</v>
      </c>
      <c r="BO166" s="18" t="e">
        <f>3*BM166^2+BK162</f>
        <v>#VALUE!</v>
      </c>
      <c r="BP166" s="18" t="e">
        <f t="shared" si="61"/>
        <v>#VALUE!</v>
      </c>
      <c r="BQ166" s="31"/>
      <c r="BR166" s="32"/>
      <c r="BT166" s="267"/>
      <c r="BU166" s="268"/>
      <c r="BV166" s="18" t="e">
        <f t="shared" si="67"/>
        <v>#VALUE!</v>
      </c>
      <c r="BW166" s="18" t="e">
        <f>BV166^3+BT162*BV166+BU162</f>
        <v>#VALUE!</v>
      </c>
      <c r="BX166" s="18" t="e">
        <f>3*BV166^2+BT162</f>
        <v>#VALUE!</v>
      </c>
      <c r="BY166" s="18" t="e">
        <f t="shared" si="62"/>
        <v>#VALUE!</v>
      </c>
      <c r="BZ166" s="31"/>
      <c r="CA166" s="32"/>
    </row>
    <row r="167" spans="36:79" ht="18" hidden="1" customHeight="1" x14ac:dyDescent="0.15">
      <c r="AJ167" s="269" t="s">
        <v>243</v>
      </c>
      <c r="AK167" s="270"/>
      <c r="AL167" s="18" t="e">
        <f t="shared" si="63"/>
        <v>#VALUE!</v>
      </c>
      <c r="AM167" s="18" t="e">
        <f>AL167^3+AJ162*AL167+AK162</f>
        <v>#VALUE!</v>
      </c>
      <c r="AN167" s="18" t="e">
        <f>3*AL167^2+AJ162</f>
        <v>#VALUE!</v>
      </c>
      <c r="AO167" s="18" t="e">
        <f t="shared" si="58"/>
        <v>#VALUE!</v>
      </c>
      <c r="AP167" s="31"/>
      <c r="AQ167" s="32"/>
      <c r="AS167" s="269" t="s">
        <v>243</v>
      </c>
      <c r="AT167" s="270"/>
      <c r="AU167" s="18" t="e">
        <f t="shared" si="64"/>
        <v>#VALUE!</v>
      </c>
      <c r="AV167" s="18" t="e">
        <f>AU167^3+AS162*AU167+AT162</f>
        <v>#VALUE!</v>
      </c>
      <c r="AW167" s="18" t="e">
        <f>3*AU167^2+AS162</f>
        <v>#VALUE!</v>
      </c>
      <c r="AX167" s="18" t="e">
        <f t="shared" si="59"/>
        <v>#VALUE!</v>
      </c>
      <c r="AY167" s="31"/>
      <c r="AZ167" s="32"/>
      <c r="BB167" s="269" t="s">
        <v>243</v>
      </c>
      <c r="BC167" s="270"/>
      <c r="BD167" s="18" t="e">
        <f t="shared" si="65"/>
        <v>#VALUE!</v>
      </c>
      <c r="BE167" s="18" t="e">
        <f>BD167^3+BB162*BD167+BC162</f>
        <v>#VALUE!</v>
      </c>
      <c r="BF167" s="18" t="e">
        <f>3*BD167^2+BB162</f>
        <v>#VALUE!</v>
      </c>
      <c r="BG167" s="18" t="e">
        <f t="shared" si="60"/>
        <v>#VALUE!</v>
      </c>
      <c r="BH167" s="31"/>
      <c r="BI167" s="32"/>
      <c r="BK167" s="269" t="s">
        <v>243</v>
      </c>
      <c r="BL167" s="270"/>
      <c r="BM167" s="18" t="e">
        <f t="shared" si="66"/>
        <v>#VALUE!</v>
      </c>
      <c r="BN167" s="18" t="e">
        <f>BM167^3+BK162*BM167+BL162</f>
        <v>#VALUE!</v>
      </c>
      <c r="BO167" s="18" t="e">
        <f>3*BM167^2+BK162</f>
        <v>#VALUE!</v>
      </c>
      <c r="BP167" s="18" t="e">
        <f t="shared" si="61"/>
        <v>#VALUE!</v>
      </c>
      <c r="BQ167" s="31"/>
      <c r="BR167" s="32"/>
      <c r="BT167" s="269" t="s">
        <v>243</v>
      </c>
      <c r="BU167" s="270"/>
      <c r="BV167" s="18" t="e">
        <f t="shared" si="67"/>
        <v>#VALUE!</v>
      </c>
      <c r="BW167" s="18" t="e">
        <f>BV167^3+BT162*BV167+BU162</f>
        <v>#VALUE!</v>
      </c>
      <c r="BX167" s="18" t="e">
        <f>3*BV167^2+BT162</f>
        <v>#VALUE!</v>
      </c>
      <c r="BY167" s="18" t="e">
        <f t="shared" si="62"/>
        <v>#VALUE!</v>
      </c>
      <c r="BZ167" s="31"/>
      <c r="CA167" s="32"/>
    </row>
    <row r="168" spans="36:79" ht="18" hidden="1" customHeight="1" x14ac:dyDescent="0.15">
      <c r="AJ168" s="277" t="e">
        <f>3*(AM178^2)*AN178/(8*AO178*AP178)</f>
        <v>#VALUE!</v>
      </c>
      <c r="AK168" s="278"/>
      <c r="AL168" s="118" t="e">
        <f t="shared" si="63"/>
        <v>#VALUE!</v>
      </c>
      <c r="AM168" s="118" t="e">
        <f>AL168^3+AJ162*AL168+AK162</f>
        <v>#VALUE!</v>
      </c>
      <c r="AN168" s="118" t="e">
        <f>3*AL168^2+AJ162</f>
        <v>#VALUE!</v>
      </c>
      <c r="AO168" s="118" t="e">
        <f t="shared" si="58"/>
        <v>#VALUE!</v>
      </c>
      <c r="AP168" s="116"/>
      <c r="AQ168" s="117"/>
      <c r="AS168" s="277" t="e">
        <f>3*(AV178^2)*AW178/(8*AX178*AY178)</f>
        <v>#VALUE!</v>
      </c>
      <c r="AT168" s="278"/>
      <c r="AU168" s="118" t="e">
        <f t="shared" si="64"/>
        <v>#VALUE!</v>
      </c>
      <c r="AV168" s="118" t="e">
        <f>AU168^3+AS162*AU168+AT162</f>
        <v>#VALUE!</v>
      </c>
      <c r="AW168" s="118" t="e">
        <f>3*AU168^2+AS162</f>
        <v>#VALUE!</v>
      </c>
      <c r="AX168" s="118" t="e">
        <f t="shared" si="59"/>
        <v>#VALUE!</v>
      </c>
      <c r="AY168" s="116"/>
      <c r="AZ168" s="117"/>
      <c r="BB168" s="277" t="e">
        <f>3*(BE178^2)*BF178/(8*BG178*BH178)</f>
        <v>#VALUE!</v>
      </c>
      <c r="BC168" s="278"/>
      <c r="BD168" s="118" t="e">
        <f t="shared" si="65"/>
        <v>#VALUE!</v>
      </c>
      <c r="BE168" s="118" t="e">
        <f>BD168^3+BB162*BD168+BC162</f>
        <v>#VALUE!</v>
      </c>
      <c r="BF168" s="118" t="e">
        <f>3*BD168^2+BB162</f>
        <v>#VALUE!</v>
      </c>
      <c r="BG168" s="118" t="e">
        <f t="shared" si="60"/>
        <v>#VALUE!</v>
      </c>
      <c r="BH168" s="116"/>
      <c r="BI168" s="117"/>
      <c r="BK168" s="277" t="e">
        <f>3*(BN178^2)*BO178/(8*BP178*BQ178)</f>
        <v>#VALUE!</v>
      </c>
      <c r="BL168" s="278"/>
      <c r="BM168" s="118" t="e">
        <f t="shared" si="66"/>
        <v>#VALUE!</v>
      </c>
      <c r="BN168" s="118" t="e">
        <f>BM168^3+BK162*BM168+BL162</f>
        <v>#VALUE!</v>
      </c>
      <c r="BO168" s="118" t="e">
        <f>3*BM168^2+BK162</f>
        <v>#VALUE!</v>
      </c>
      <c r="BP168" s="118" t="e">
        <f t="shared" si="61"/>
        <v>#VALUE!</v>
      </c>
      <c r="BQ168" s="116"/>
      <c r="BR168" s="117"/>
      <c r="BT168" s="277" t="e">
        <f>3*(BW178^2)*BX178/(8*BY178*BZ178)</f>
        <v>#VALUE!</v>
      </c>
      <c r="BU168" s="278"/>
      <c r="BV168" s="118" t="e">
        <f t="shared" si="67"/>
        <v>#VALUE!</v>
      </c>
      <c r="BW168" s="118" t="e">
        <f>BV168^3+BT162*BV168+BU162</f>
        <v>#VALUE!</v>
      </c>
      <c r="BX168" s="118" t="e">
        <f>3*BV168^2+BT162</f>
        <v>#VALUE!</v>
      </c>
      <c r="BY168" s="118" t="e">
        <f t="shared" si="62"/>
        <v>#VALUE!</v>
      </c>
      <c r="BZ168" s="116"/>
      <c r="CA168" s="117"/>
    </row>
    <row r="169" spans="36:79" ht="18" hidden="1" customHeight="1" x14ac:dyDescent="0.15">
      <c r="AJ169" s="121"/>
      <c r="AK169" s="122"/>
      <c r="AL169" s="118" t="e">
        <f t="shared" si="63"/>
        <v>#VALUE!</v>
      </c>
      <c r="AM169" s="118" t="e">
        <f>AL169^3+AJ162*AL169+AK162</f>
        <v>#VALUE!</v>
      </c>
      <c r="AN169" s="118" t="e">
        <f>3*AL169^2+AJ162</f>
        <v>#VALUE!</v>
      </c>
      <c r="AO169" s="118" t="e">
        <f t="shared" si="58"/>
        <v>#VALUE!</v>
      </c>
      <c r="AP169" s="119"/>
      <c r="AQ169" s="120"/>
      <c r="AS169" s="121"/>
      <c r="AT169" s="122"/>
      <c r="AU169" s="118" t="e">
        <f t="shared" si="64"/>
        <v>#VALUE!</v>
      </c>
      <c r="AV169" s="118" t="e">
        <f>AU169^3+AS162*AU169+AT162</f>
        <v>#VALUE!</v>
      </c>
      <c r="AW169" s="118" t="e">
        <f>3*AU169^2+AS162</f>
        <v>#VALUE!</v>
      </c>
      <c r="AX169" s="118" t="e">
        <f t="shared" si="59"/>
        <v>#VALUE!</v>
      </c>
      <c r="AY169" s="119"/>
      <c r="AZ169" s="120"/>
      <c r="BB169" s="121"/>
      <c r="BC169" s="122"/>
      <c r="BD169" s="118" t="e">
        <f t="shared" si="65"/>
        <v>#VALUE!</v>
      </c>
      <c r="BE169" s="118" t="e">
        <f>BD169^3+BB162*BD169+BC162</f>
        <v>#VALUE!</v>
      </c>
      <c r="BF169" s="118" t="e">
        <f>3*BD169^2+BB162</f>
        <v>#VALUE!</v>
      </c>
      <c r="BG169" s="118" t="e">
        <f t="shared" si="60"/>
        <v>#VALUE!</v>
      </c>
      <c r="BH169" s="119"/>
      <c r="BI169" s="120"/>
      <c r="BK169" s="121"/>
      <c r="BL169" s="122"/>
      <c r="BM169" s="118" t="e">
        <f t="shared" si="66"/>
        <v>#VALUE!</v>
      </c>
      <c r="BN169" s="118" t="e">
        <f>BM169^3+BK162*BM169+BL162</f>
        <v>#VALUE!</v>
      </c>
      <c r="BO169" s="118" t="e">
        <f>3*BM169^2+BK162</f>
        <v>#VALUE!</v>
      </c>
      <c r="BP169" s="118" t="e">
        <f t="shared" si="61"/>
        <v>#VALUE!</v>
      </c>
      <c r="BQ169" s="119"/>
      <c r="BR169" s="120"/>
      <c r="BT169" s="121"/>
      <c r="BU169" s="122"/>
      <c r="BV169" s="118" t="e">
        <f t="shared" si="67"/>
        <v>#VALUE!</v>
      </c>
      <c r="BW169" s="118" t="e">
        <f>BV169^3+BT162*BV169+BU162</f>
        <v>#VALUE!</v>
      </c>
      <c r="BX169" s="118" t="e">
        <f>3*BV169^2+BT162</f>
        <v>#VALUE!</v>
      </c>
      <c r="BY169" s="118" t="e">
        <f t="shared" si="62"/>
        <v>#VALUE!</v>
      </c>
      <c r="BZ169" s="119"/>
      <c r="CA169" s="120"/>
    </row>
    <row r="170" spans="36:79" ht="18" hidden="1" customHeight="1" x14ac:dyDescent="0.15">
      <c r="AJ170" s="269" t="s">
        <v>244</v>
      </c>
      <c r="AK170" s="270"/>
      <c r="AL170" s="118" t="e">
        <f t="shared" si="63"/>
        <v>#VALUE!</v>
      </c>
      <c r="AM170" s="118" t="e">
        <f>AL170^3+AJ162*AL170+AK162</f>
        <v>#VALUE!</v>
      </c>
      <c r="AN170" s="118" t="e">
        <f>3*AL170^2+AJ162</f>
        <v>#VALUE!</v>
      </c>
      <c r="AO170" s="118" t="e">
        <f t="shared" si="58"/>
        <v>#VALUE!</v>
      </c>
      <c r="AP170" s="14" t="s">
        <v>245</v>
      </c>
      <c r="AQ170" s="123" t="e">
        <f>AO176</f>
        <v>#VALUE!</v>
      </c>
      <c r="AS170" s="269" t="s">
        <v>244</v>
      </c>
      <c r="AT170" s="270"/>
      <c r="AU170" s="118" t="e">
        <f t="shared" si="64"/>
        <v>#VALUE!</v>
      </c>
      <c r="AV170" s="118" t="e">
        <f>AU170^3+AS162*AU170+AT162</f>
        <v>#VALUE!</v>
      </c>
      <c r="AW170" s="118" t="e">
        <f>3*AU170^2+AS162</f>
        <v>#VALUE!</v>
      </c>
      <c r="AX170" s="118" t="e">
        <f t="shared" si="59"/>
        <v>#VALUE!</v>
      </c>
      <c r="AY170" s="14" t="s">
        <v>245</v>
      </c>
      <c r="AZ170" s="123" t="e">
        <f>AX176</f>
        <v>#VALUE!</v>
      </c>
      <c r="BB170" s="269" t="s">
        <v>244</v>
      </c>
      <c r="BC170" s="270"/>
      <c r="BD170" s="118" t="e">
        <f t="shared" si="65"/>
        <v>#VALUE!</v>
      </c>
      <c r="BE170" s="118" t="e">
        <f>BD170^3+BB162*BD170+BC162</f>
        <v>#VALUE!</v>
      </c>
      <c r="BF170" s="118" t="e">
        <f>3*BD170^2+BB162</f>
        <v>#VALUE!</v>
      </c>
      <c r="BG170" s="118" t="e">
        <f t="shared" si="60"/>
        <v>#VALUE!</v>
      </c>
      <c r="BH170" s="14" t="s">
        <v>245</v>
      </c>
      <c r="BI170" s="123" t="e">
        <f>BG176</f>
        <v>#VALUE!</v>
      </c>
      <c r="BK170" s="269" t="s">
        <v>244</v>
      </c>
      <c r="BL170" s="270"/>
      <c r="BM170" s="118" t="e">
        <f t="shared" si="66"/>
        <v>#VALUE!</v>
      </c>
      <c r="BN170" s="118" t="e">
        <f>BM170^3+BK162*BM170+BL162</f>
        <v>#VALUE!</v>
      </c>
      <c r="BO170" s="118" t="e">
        <f>3*BM170^2+BK162</f>
        <v>#VALUE!</v>
      </c>
      <c r="BP170" s="118" t="e">
        <f t="shared" si="61"/>
        <v>#VALUE!</v>
      </c>
      <c r="BQ170" s="14" t="s">
        <v>245</v>
      </c>
      <c r="BR170" s="123" t="e">
        <f>BP176</f>
        <v>#VALUE!</v>
      </c>
      <c r="BT170" s="269" t="s">
        <v>244</v>
      </c>
      <c r="BU170" s="270"/>
      <c r="BV170" s="118" t="e">
        <f t="shared" si="67"/>
        <v>#VALUE!</v>
      </c>
      <c r="BW170" s="118" t="e">
        <f>BV170^3+BT162*BV170+BU162</f>
        <v>#VALUE!</v>
      </c>
      <c r="BX170" s="118" t="e">
        <f>3*BV170^2+BT162</f>
        <v>#VALUE!</v>
      </c>
      <c r="BY170" s="118" t="e">
        <f t="shared" si="62"/>
        <v>#VALUE!</v>
      </c>
      <c r="BZ170" s="14" t="s">
        <v>245</v>
      </c>
      <c r="CA170" s="123" t="e">
        <f>BY176</f>
        <v>#VALUE!</v>
      </c>
    </row>
    <row r="171" spans="36:79" ht="18" hidden="1" customHeight="1" x14ac:dyDescent="0.15">
      <c r="AJ171" s="271" t="e">
        <f>AJ168*AL178*AK178/AK178</f>
        <v>#VALUE!</v>
      </c>
      <c r="AK171" s="272"/>
      <c r="AL171" s="118" t="e">
        <f t="shared" si="63"/>
        <v>#VALUE!</v>
      </c>
      <c r="AM171" s="118" t="e">
        <f>AL171^3+AJ162*AL171+AK162</f>
        <v>#VALUE!</v>
      </c>
      <c r="AN171" s="118" t="e">
        <f>3*AL171^2+AJ162</f>
        <v>#VALUE!</v>
      </c>
      <c r="AO171" s="118" t="e">
        <f t="shared" si="58"/>
        <v>#VALUE!</v>
      </c>
      <c r="AP171" s="14" t="s">
        <v>246</v>
      </c>
      <c r="AQ171" s="124" t="e">
        <f>AK178*AM178^2/(8*AO176)</f>
        <v>#VALUE!</v>
      </c>
      <c r="AS171" s="271" t="e">
        <f>AS168*AU178*AT178/AT178</f>
        <v>#VALUE!</v>
      </c>
      <c r="AT171" s="272"/>
      <c r="AU171" s="118" t="e">
        <f t="shared" si="64"/>
        <v>#VALUE!</v>
      </c>
      <c r="AV171" s="118" t="e">
        <f>AU171^3+AS162*AU171+AT162</f>
        <v>#VALUE!</v>
      </c>
      <c r="AW171" s="118" t="e">
        <f>3*AU171^2+AS162</f>
        <v>#VALUE!</v>
      </c>
      <c r="AX171" s="118" t="e">
        <f t="shared" si="59"/>
        <v>#VALUE!</v>
      </c>
      <c r="AY171" s="14" t="s">
        <v>246</v>
      </c>
      <c r="AZ171" s="124" t="e">
        <f>AT178*AV178^2/(8*AX176)</f>
        <v>#VALUE!</v>
      </c>
      <c r="BB171" s="271" t="e">
        <f>BB168*BD178*BC178/BC178</f>
        <v>#VALUE!</v>
      </c>
      <c r="BC171" s="272"/>
      <c r="BD171" s="118" t="e">
        <f t="shared" si="65"/>
        <v>#VALUE!</v>
      </c>
      <c r="BE171" s="118" t="e">
        <f>BD171^3+BB162*BD171+BC162</f>
        <v>#VALUE!</v>
      </c>
      <c r="BF171" s="118" t="e">
        <f>3*BD171^2+BB162</f>
        <v>#VALUE!</v>
      </c>
      <c r="BG171" s="118" t="e">
        <f t="shared" si="60"/>
        <v>#VALUE!</v>
      </c>
      <c r="BH171" s="14" t="s">
        <v>246</v>
      </c>
      <c r="BI171" s="124" t="e">
        <f>BC178*BE178^2/(8*BG176)</f>
        <v>#VALUE!</v>
      </c>
      <c r="BK171" s="271" t="e">
        <f>BK168*BM178*BL178/BL178</f>
        <v>#VALUE!</v>
      </c>
      <c r="BL171" s="272"/>
      <c r="BM171" s="118" t="e">
        <f t="shared" si="66"/>
        <v>#VALUE!</v>
      </c>
      <c r="BN171" s="118" t="e">
        <f>BM171^3+BK162*BM171+BL162</f>
        <v>#VALUE!</v>
      </c>
      <c r="BO171" s="118" t="e">
        <f>3*BM171^2+BK162</f>
        <v>#VALUE!</v>
      </c>
      <c r="BP171" s="118" t="e">
        <f t="shared" si="61"/>
        <v>#VALUE!</v>
      </c>
      <c r="BQ171" s="14" t="s">
        <v>246</v>
      </c>
      <c r="BR171" s="124" t="e">
        <f>BL178*BN178^2/(8*BP176)</f>
        <v>#VALUE!</v>
      </c>
      <c r="BT171" s="271" t="e">
        <f>BT168*BV178*BU178/BU178</f>
        <v>#VALUE!</v>
      </c>
      <c r="BU171" s="272"/>
      <c r="BV171" s="118" t="e">
        <f t="shared" si="67"/>
        <v>#VALUE!</v>
      </c>
      <c r="BW171" s="118" t="e">
        <f>BV171^3+BT162*BV171+BU162</f>
        <v>#VALUE!</v>
      </c>
      <c r="BX171" s="118" t="e">
        <f>3*BV171^2+BT162</f>
        <v>#VALUE!</v>
      </c>
      <c r="BY171" s="118" t="e">
        <f t="shared" si="62"/>
        <v>#VALUE!</v>
      </c>
      <c r="BZ171" s="14" t="s">
        <v>246</v>
      </c>
      <c r="CA171" s="124" t="e">
        <f>BU178*BW178^2/(8*BY176)</f>
        <v>#VALUE!</v>
      </c>
    </row>
    <row r="172" spans="36:79" ht="18" hidden="1" customHeight="1" x14ac:dyDescent="0.15">
      <c r="AJ172" s="125"/>
      <c r="AK172" s="126"/>
      <c r="AL172" s="118" t="e">
        <f t="shared" si="63"/>
        <v>#VALUE!</v>
      </c>
      <c r="AM172" s="118" t="e">
        <f>AL172^3+AJ162*AL172+AK162</f>
        <v>#VALUE!</v>
      </c>
      <c r="AN172" s="118" t="e">
        <f>3*AL172^2+AJ162</f>
        <v>#VALUE!</v>
      </c>
      <c r="AO172" s="118" t="e">
        <f t="shared" si="58"/>
        <v>#VALUE!</v>
      </c>
      <c r="AP172" s="116"/>
      <c r="AQ172" s="117"/>
      <c r="AS172" s="125"/>
      <c r="AT172" s="126"/>
      <c r="AU172" s="118" t="e">
        <f t="shared" si="64"/>
        <v>#VALUE!</v>
      </c>
      <c r="AV172" s="118" t="e">
        <f>AU172^3+AS162*AU172+AT162</f>
        <v>#VALUE!</v>
      </c>
      <c r="AW172" s="118" t="e">
        <f>3*AU172^2+AS162</f>
        <v>#VALUE!</v>
      </c>
      <c r="AX172" s="118" t="e">
        <f t="shared" si="59"/>
        <v>#VALUE!</v>
      </c>
      <c r="AY172" s="116"/>
      <c r="AZ172" s="117"/>
      <c r="BB172" s="125"/>
      <c r="BC172" s="126"/>
      <c r="BD172" s="118" t="e">
        <f t="shared" si="65"/>
        <v>#VALUE!</v>
      </c>
      <c r="BE172" s="118" t="e">
        <f>BD172^3+BB162*BD172+BC162</f>
        <v>#VALUE!</v>
      </c>
      <c r="BF172" s="118" t="e">
        <f>3*BD172^2+BB162</f>
        <v>#VALUE!</v>
      </c>
      <c r="BG172" s="118" t="e">
        <f t="shared" si="60"/>
        <v>#VALUE!</v>
      </c>
      <c r="BH172" s="116"/>
      <c r="BI172" s="117"/>
      <c r="BK172" s="125"/>
      <c r="BL172" s="126"/>
      <c r="BM172" s="118" t="e">
        <f t="shared" si="66"/>
        <v>#VALUE!</v>
      </c>
      <c r="BN172" s="118" t="e">
        <f>BM172^3+BK162*BM172+BL162</f>
        <v>#VALUE!</v>
      </c>
      <c r="BO172" s="118" t="e">
        <f>3*BM172^2+BK162</f>
        <v>#VALUE!</v>
      </c>
      <c r="BP172" s="118" t="e">
        <f t="shared" si="61"/>
        <v>#VALUE!</v>
      </c>
      <c r="BQ172" s="116"/>
      <c r="BR172" s="117"/>
      <c r="BT172" s="125"/>
      <c r="BU172" s="126"/>
      <c r="BV172" s="118" t="e">
        <f t="shared" si="67"/>
        <v>#VALUE!</v>
      </c>
      <c r="BW172" s="118" t="e">
        <f>BV172^3+BT162*BV172+BU162</f>
        <v>#VALUE!</v>
      </c>
      <c r="BX172" s="118" t="e">
        <f>3*BV172^2+BT162</f>
        <v>#VALUE!</v>
      </c>
      <c r="BY172" s="118" t="e">
        <f t="shared" si="62"/>
        <v>#VALUE!</v>
      </c>
      <c r="BZ172" s="116"/>
      <c r="CA172" s="117"/>
    </row>
    <row r="173" spans="36:79" ht="18" hidden="1" customHeight="1" x14ac:dyDescent="0.15">
      <c r="AJ173" s="125"/>
      <c r="AK173" s="126"/>
      <c r="AL173" s="118" t="e">
        <f t="shared" si="63"/>
        <v>#VALUE!</v>
      </c>
      <c r="AM173" s="118" t="e">
        <f>AL173^3+AJ162*AL173+AK162</f>
        <v>#VALUE!</v>
      </c>
      <c r="AN173" s="118" t="e">
        <f>3*AL173^2+AJ162</f>
        <v>#VALUE!</v>
      </c>
      <c r="AO173" s="118" t="e">
        <f t="shared" si="58"/>
        <v>#VALUE!</v>
      </c>
      <c r="AP173" s="112" t="s">
        <v>147</v>
      </c>
      <c r="AQ173" s="113">
        <v>30</v>
      </c>
      <c r="AS173" s="125"/>
      <c r="AT173" s="126"/>
      <c r="AU173" s="118" t="e">
        <f t="shared" si="64"/>
        <v>#VALUE!</v>
      </c>
      <c r="AV173" s="118" t="e">
        <f>AU173^3+AS162*AU173+AT162</f>
        <v>#VALUE!</v>
      </c>
      <c r="AW173" s="118" t="e">
        <f>3*AU173^2+AS162</f>
        <v>#VALUE!</v>
      </c>
      <c r="AX173" s="118" t="e">
        <f t="shared" si="59"/>
        <v>#VALUE!</v>
      </c>
      <c r="AY173" s="112" t="s">
        <v>147</v>
      </c>
      <c r="AZ173" s="113">
        <v>30</v>
      </c>
      <c r="BB173" s="125"/>
      <c r="BC173" s="126"/>
      <c r="BD173" s="118" t="e">
        <f t="shared" si="65"/>
        <v>#VALUE!</v>
      </c>
      <c r="BE173" s="118" t="e">
        <f>BD173^3+BB162*BD173+BC162</f>
        <v>#VALUE!</v>
      </c>
      <c r="BF173" s="118" t="e">
        <f>3*BD173^2+BB162</f>
        <v>#VALUE!</v>
      </c>
      <c r="BG173" s="118" t="e">
        <f t="shared" si="60"/>
        <v>#VALUE!</v>
      </c>
      <c r="BH173" s="112" t="s">
        <v>147</v>
      </c>
      <c r="BI173" s="113">
        <v>30</v>
      </c>
      <c r="BK173" s="125"/>
      <c r="BL173" s="126"/>
      <c r="BM173" s="118" t="e">
        <f t="shared" si="66"/>
        <v>#VALUE!</v>
      </c>
      <c r="BN173" s="118" t="e">
        <f>BM173^3+BK162*BM173+BL162</f>
        <v>#VALUE!</v>
      </c>
      <c r="BO173" s="118" t="e">
        <f>3*BM173^2+BK162</f>
        <v>#VALUE!</v>
      </c>
      <c r="BP173" s="118" t="e">
        <f t="shared" si="61"/>
        <v>#VALUE!</v>
      </c>
      <c r="BQ173" s="112" t="s">
        <v>147</v>
      </c>
      <c r="BR173" s="113">
        <v>30</v>
      </c>
      <c r="BT173" s="125"/>
      <c r="BU173" s="126"/>
      <c r="BV173" s="118" t="e">
        <f t="shared" si="67"/>
        <v>#VALUE!</v>
      </c>
      <c r="BW173" s="118" t="e">
        <f>BV173^3+BT162*BV173+BU162</f>
        <v>#VALUE!</v>
      </c>
      <c r="BX173" s="118" t="e">
        <f>3*BV173^2+BT162</f>
        <v>#VALUE!</v>
      </c>
      <c r="BY173" s="118" t="e">
        <f t="shared" si="62"/>
        <v>#VALUE!</v>
      </c>
      <c r="BZ173" s="112" t="s">
        <v>147</v>
      </c>
      <c r="CA173" s="113">
        <v>30</v>
      </c>
    </row>
    <row r="174" spans="36:79" ht="18" hidden="1" customHeight="1" x14ac:dyDescent="0.15">
      <c r="AJ174" s="125"/>
      <c r="AK174" s="126"/>
      <c r="AL174" s="118" t="e">
        <f t="shared" si="63"/>
        <v>#VALUE!</v>
      </c>
      <c r="AM174" s="118" t="e">
        <f>AL174^3+AJ162*AL174+AK162</f>
        <v>#VALUE!</v>
      </c>
      <c r="AN174" s="118" t="e">
        <f>3*AL174^2+AJ162</f>
        <v>#VALUE!</v>
      </c>
      <c r="AO174" s="118" t="e">
        <f t="shared" si="58"/>
        <v>#VALUE!</v>
      </c>
      <c r="AP174" s="128" t="s">
        <v>218</v>
      </c>
      <c r="AQ174" s="32"/>
      <c r="AS174" s="125"/>
      <c r="AT174" s="126"/>
      <c r="AU174" s="118" t="e">
        <f t="shared" si="64"/>
        <v>#VALUE!</v>
      </c>
      <c r="AV174" s="118" t="e">
        <f>AU174^3+AS162*AU174+AT162</f>
        <v>#VALUE!</v>
      </c>
      <c r="AW174" s="118" t="e">
        <f>3*AU174^2+AS162</f>
        <v>#VALUE!</v>
      </c>
      <c r="AX174" s="118" t="e">
        <f t="shared" si="59"/>
        <v>#VALUE!</v>
      </c>
      <c r="AY174" s="128" t="s">
        <v>219</v>
      </c>
      <c r="AZ174" s="32"/>
      <c r="BB174" s="125"/>
      <c r="BC174" s="126"/>
      <c r="BD174" s="118" t="e">
        <f t="shared" si="65"/>
        <v>#VALUE!</v>
      </c>
      <c r="BE174" s="118" t="e">
        <f>BD174^3+BB162*BD174+BC162</f>
        <v>#VALUE!</v>
      </c>
      <c r="BF174" s="118" t="e">
        <f>3*BD174^2+BB162</f>
        <v>#VALUE!</v>
      </c>
      <c r="BG174" s="118" t="e">
        <f t="shared" si="60"/>
        <v>#VALUE!</v>
      </c>
      <c r="BH174" s="128" t="s">
        <v>220</v>
      </c>
      <c r="BI174" s="32"/>
      <c r="BK174" s="125"/>
      <c r="BL174" s="126"/>
      <c r="BM174" s="118" t="e">
        <f t="shared" si="66"/>
        <v>#VALUE!</v>
      </c>
      <c r="BN174" s="118" t="e">
        <f>BM174^3+BK162*BM174+BL162</f>
        <v>#VALUE!</v>
      </c>
      <c r="BO174" s="118" t="e">
        <f>3*BM174^2+BK162</f>
        <v>#VALUE!</v>
      </c>
      <c r="BP174" s="118" t="e">
        <f t="shared" si="61"/>
        <v>#VALUE!</v>
      </c>
      <c r="BQ174" s="128" t="s">
        <v>221</v>
      </c>
      <c r="BR174" s="32"/>
      <c r="BT174" s="125"/>
      <c r="BU174" s="126"/>
      <c r="BV174" s="118" t="e">
        <f t="shared" si="67"/>
        <v>#VALUE!</v>
      </c>
      <c r="BW174" s="118" t="e">
        <f>BV174^3+BT162*BV174+BU162</f>
        <v>#VALUE!</v>
      </c>
      <c r="BX174" s="118" t="e">
        <f>3*BV174^2+BT162</f>
        <v>#VALUE!</v>
      </c>
      <c r="BY174" s="118" t="e">
        <f t="shared" si="62"/>
        <v>#VALUE!</v>
      </c>
      <c r="BZ174" s="128" t="s">
        <v>222</v>
      </c>
      <c r="CA174" s="32"/>
    </row>
    <row r="175" spans="36:79" ht="18" hidden="1" customHeight="1" x14ac:dyDescent="0.15">
      <c r="AJ175" s="125"/>
      <c r="AK175" s="126"/>
      <c r="AL175" s="18" t="e">
        <f t="shared" si="63"/>
        <v>#VALUE!</v>
      </c>
      <c r="AM175" s="18" t="e">
        <f>AL175^3+AJ162*AL175+AK162</f>
        <v>#VALUE!</v>
      </c>
      <c r="AN175" s="18" t="e">
        <f>3*AL175^2+AJ162</f>
        <v>#VALUE!</v>
      </c>
      <c r="AO175" s="18" t="e">
        <f t="shared" si="58"/>
        <v>#VALUE!</v>
      </c>
      <c r="AP175" s="273" t="str">
        <f>M56</f>
        <v>無 風 時　30[℃]</v>
      </c>
      <c r="AQ175" s="274"/>
      <c r="AS175" s="125"/>
      <c r="AT175" s="126"/>
      <c r="AU175" s="18" t="e">
        <f t="shared" si="64"/>
        <v>#VALUE!</v>
      </c>
      <c r="AV175" s="18" t="e">
        <f>AU175^3+AS162*AU175+AT162</f>
        <v>#VALUE!</v>
      </c>
      <c r="AW175" s="18" t="e">
        <f>3*AU175^2+AS162</f>
        <v>#VALUE!</v>
      </c>
      <c r="AX175" s="18" t="e">
        <f t="shared" si="59"/>
        <v>#VALUE!</v>
      </c>
      <c r="AY175" s="273" t="str">
        <f>M56</f>
        <v>無 風 時　30[℃]</v>
      </c>
      <c r="AZ175" s="274"/>
      <c r="BB175" s="125"/>
      <c r="BC175" s="126"/>
      <c r="BD175" s="18" t="e">
        <f t="shared" si="65"/>
        <v>#VALUE!</v>
      </c>
      <c r="BE175" s="18" t="e">
        <f>BD175^3+BB162*BD175+BC162</f>
        <v>#VALUE!</v>
      </c>
      <c r="BF175" s="18" t="e">
        <f>3*BD175^2+BB162</f>
        <v>#VALUE!</v>
      </c>
      <c r="BG175" s="18" t="e">
        <f t="shared" si="60"/>
        <v>#VALUE!</v>
      </c>
      <c r="BH175" s="273" t="str">
        <f>M56</f>
        <v>無 風 時　30[℃]</v>
      </c>
      <c r="BI175" s="274"/>
      <c r="BK175" s="125"/>
      <c r="BL175" s="126"/>
      <c r="BM175" s="18" t="e">
        <f t="shared" si="66"/>
        <v>#VALUE!</v>
      </c>
      <c r="BN175" s="18" t="e">
        <f>BM175^3+BK162*BM175+BL162</f>
        <v>#VALUE!</v>
      </c>
      <c r="BO175" s="18" t="e">
        <f>3*BM175^2+BK162</f>
        <v>#VALUE!</v>
      </c>
      <c r="BP175" s="18" t="e">
        <f t="shared" si="61"/>
        <v>#VALUE!</v>
      </c>
      <c r="BQ175" s="273" t="str">
        <f>M56</f>
        <v>無 風 時　30[℃]</v>
      </c>
      <c r="BR175" s="274"/>
      <c r="BT175" s="125"/>
      <c r="BU175" s="126"/>
      <c r="BV175" s="18" t="e">
        <f t="shared" si="67"/>
        <v>#VALUE!</v>
      </c>
      <c r="BW175" s="18" t="e">
        <f>BV175^3+BT162*BV175+BU162</f>
        <v>#VALUE!</v>
      </c>
      <c r="BX175" s="18" t="e">
        <f>3*BV175^2+BT162</f>
        <v>#VALUE!</v>
      </c>
      <c r="BY175" s="18" t="e">
        <f t="shared" si="62"/>
        <v>#VALUE!</v>
      </c>
      <c r="BZ175" s="273" t="str">
        <f>M56</f>
        <v>無 風 時　30[℃]</v>
      </c>
      <c r="CA175" s="274"/>
    </row>
    <row r="176" spans="36:79" ht="18" hidden="1" customHeight="1" thickBot="1" x14ac:dyDescent="0.2">
      <c r="AJ176" s="125"/>
      <c r="AK176" s="126"/>
      <c r="AL176" s="114" t="e">
        <f t="shared" si="63"/>
        <v>#VALUE!</v>
      </c>
      <c r="AM176" s="115" t="e">
        <f>AL176^3+AJ162*AL176+AK162</f>
        <v>#VALUE!</v>
      </c>
      <c r="AN176" s="115" t="e">
        <f>3*AL176^2+AJ162</f>
        <v>#VALUE!</v>
      </c>
      <c r="AO176" s="115" t="e">
        <f t="shared" si="58"/>
        <v>#VALUE!</v>
      </c>
      <c r="AP176" s="275"/>
      <c r="AQ176" s="276"/>
      <c r="AS176" s="125"/>
      <c r="AT176" s="126"/>
      <c r="AU176" s="114" t="e">
        <f t="shared" si="64"/>
        <v>#VALUE!</v>
      </c>
      <c r="AV176" s="115" t="e">
        <f>AU176^3+AS162*AU176+AT162</f>
        <v>#VALUE!</v>
      </c>
      <c r="AW176" s="115" t="e">
        <f>3*AU176^2+AS162</f>
        <v>#VALUE!</v>
      </c>
      <c r="AX176" s="115" t="e">
        <f t="shared" si="59"/>
        <v>#VALUE!</v>
      </c>
      <c r="AY176" s="275"/>
      <c r="AZ176" s="276"/>
      <c r="BB176" s="125"/>
      <c r="BC176" s="126"/>
      <c r="BD176" s="114" t="e">
        <f t="shared" si="65"/>
        <v>#VALUE!</v>
      </c>
      <c r="BE176" s="115" t="e">
        <f>BD176^3+BB162*BD176+BC162</f>
        <v>#VALUE!</v>
      </c>
      <c r="BF176" s="115" t="e">
        <f>3*BD176^2+BB162</f>
        <v>#VALUE!</v>
      </c>
      <c r="BG176" s="115" t="e">
        <f t="shared" si="60"/>
        <v>#VALUE!</v>
      </c>
      <c r="BH176" s="275"/>
      <c r="BI176" s="276"/>
      <c r="BK176" s="125"/>
      <c r="BL176" s="126"/>
      <c r="BM176" s="114" t="e">
        <f t="shared" si="66"/>
        <v>#VALUE!</v>
      </c>
      <c r="BN176" s="115" t="e">
        <f>BM176^3+BK162*BM176+BL162</f>
        <v>#VALUE!</v>
      </c>
      <c r="BO176" s="115" t="e">
        <f>3*BM176^2+BK162</f>
        <v>#VALUE!</v>
      </c>
      <c r="BP176" s="115" t="e">
        <f t="shared" si="61"/>
        <v>#VALUE!</v>
      </c>
      <c r="BQ176" s="275"/>
      <c r="BR176" s="276"/>
      <c r="BT176" s="125"/>
      <c r="BU176" s="126"/>
      <c r="BV176" s="114" t="e">
        <f t="shared" si="67"/>
        <v>#VALUE!</v>
      </c>
      <c r="BW176" s="115" t="e">
        <f>BV176^3+BT162*BV176+BU162</f>
        <v>#VALUE!</v>
      </c>
      <c r="BX176" s="115" t="e">
        <f>3*BV176^2+BT162</f>
        <v>#VALUE!</v>
      </c>
      <c r="BY176" s="115" t="e">
        <f t="shared" si="62"/>
        <v>#VALUE!</v>
      </c>
      <c r="BZ176" s="275"/>
      <c r="CA176" s="276"/>
    </row>
    <row r="177" spans="36:79" ht="18" hidden="1" customHeight="1" x14ac:dyDescent="0.15">
      <c r="AJ177" s="62"/>
      <c r="AK177" s="12" t="s">
        <v>224</v>
      </c>
      <c r="AL177" s="12" t="s">
        <v>225</v>
      </c>
      <c r="AM177" s="12" t="s">
        <v>226</v>
      </c>
      <c r="AN177" s="12" t="s">
        <v>227</v>
      </c>
      <c r="AO177" s="63" t="s">
        <v>228</v>
      </c>
      <c r="AP177" s="12" t="s">
        <v>229</v>
      </c>
      <c r="AQ177" s="13" t="s">
        <v>230</v>
      </c>
      <c r="AS177" s="62"/>
      <c r="AT177" s="12" t="s">
        <v>224</v>
      </c>
      <c r="AU177" s="12" t="s">
        <v>225</v>
      </c>
      <c r="AV177" s="12" t="s">
        <v>226</v>
      </c>
      <c r="AW177" s="12" t="s">
        <v>227</v>
      </c>
      <c r="AX177" s="63" t="s">
        <v>228</v>
      </c>
      <c r="AY177" s="12" t="s">
        <v>229</v>
      </c>
      <c r="AZ177" s="13" t="s">
        <v>230</v>
      </c>
      <c r="BB177" s="62"/>
      <c r="BC177" s="12" t="s">
        <v>224</v>
      </c>
      <c r="BD177" s="12" t="s">
        <v>225</v>
      </c>
      <c r="BE177" s="12" t="s">
        <v>226</v>
      </c>
      <c r="BF177" s="12" t="s">
        <v>227</v>
      </c>
      <c r="BG177" s="63" t="s">
        <v>228</v>
      </c>
      <c r="BH177" s="12" t="s">
        <v>229</v>
      </c>
      <c r="BI177" s="13" t="s">
        <v>230</v>
      </c>
      <c r="BK177" s="62"/>
      <c r="BL177" s="12" t="s">
        <v>224</v>
      </c>
      <c r="BM177" s="12" t="s">
        <v>225</v>
      </c>
      <c r="BN177" s="12" t="s">
        <v>226</v>
      </c>
      <c r="BO177" s="12" t="s">
        <v>227</v>
      </c>
      <c r="BP177" s="63" t="s">
        <v>228</v>
      </c>
      <c r="BQ177" s="12" t="s">
        <v>229</v>
      </c>
      <c r="BR177" s="13" t="s">
        <v>230</v>
      </c>
      <c r="BT177" s="62"/>
      <c r="BU177" s="12" t="s">
        <v>224</v>
      </c>
      <c r="BV177" s="12" t="s">
        <v>225</v>
      </c>
      <c r="BW177" s="12" t="s">
        <v>226</v>
      </c>
      <c r="BX177" s="12" t="s">
        <v>227</v>
      </c>
      <c r="BY177" s="63" t="s">
        <v>228</v>
      </c>
      <c r="BZ177" s="12" t="s">
        <v>229</v>
      </c>
      <c r="CA177" s="13" t="s">
        <v>230</v>
      </c>
    </row>
    <row r="178" spans="36:79" ht="18" hidden="1" customHeight="1" thickBot="1" x14ac:dyDescent="0.2">
      <c r="AJ178" s="107"/>
      <c r="AK178" s="108" t="e">
        <f>M23+U23</f>
        <v>#VALUE!</v>
      </c>
      <c r="AL178" s="108">
        <f>IF(C33="",L19*(F19/40)^2,C33)</f>
        <v>0</v>
      </c>
      <c r="AM178" s="108">
        <f>F19</f>
        <v>0</v>
      </c>
      <c r="AN178" s="108" t="e">
        <f>AK78*1600/(8*L19)</f>
        <v>#VALUE!</v>
      </c>
      <c r="AO178" s="109">
        <f>V23</f>
        <v>0</v>
      </c>
      <c r="AP178" s="108" t="str">
        <f>L23</f>
        <v/>
      </c>
      <c r="AQ178" s="110">
        <f>W23</f>
        <v>0</v>
      </c>
      <c r="AS178" s="107"/>
      <c r="AT178" s="108" t="str">
        <f>IF(B24="使用電線-2",M24+U24,IF(B25="使用電線-2",M25+U25,IF(B26="使用電線-2",M26+U26,IF(B27="使用電線-2",M27+U27,IF(B28="使用電線-2",M28+U28,IF(B29="使用電線-2",M29+U29,""))))))</f>
        <v/>
      </c>
      <c r="AU178" s="108">
        <f>IF(I33="",L19*(F19/40)^2,I33)</f>
        <v>0</v>
      </c>
      <c r="AV178" s="108">
        <f>F19</f>
        <v>0</v>
      </c>
      <c r="AW178" s="108" t="e">
        <f>AT178*1600/(8*L19)</f>
        <v>#VALUE!</v>
      </c>
      <c r="AX178" s="109" t="str">
        <f>IF(B24="使用電線-2",V24,IF(B25="使用電線-2",V25,IF(B26="使用電線-2",V26,IF(B27="使用電線-2",V27,IF(B28="使用電線-2",V28,IF(B29="使用電線-2",V29,""))))))</f>
        <v/>
      </c>
      <c r="AY178" s="108" t="str">
        <f>IF(B24="使用電線-2",L24,IF(B25="使用電線-2",L25,IF(B26="使用電線-2",L26,IF(B27="使用電線-2",L27,IF(B28="使用電線-2",L28,IF(B29="使用電線-2",L29,""))))))</f>
        <v/>
      </c>
      <c r="AZ178" s="110" t="str">
        <f>IF(B24="使用電線-2",W24,IF(B25="使用電線-2",W25,IF(B26="使用電線-2",W26,IF(B27="使用電線-2",W27,IF(B28="使用電線-2",W28,IF(B29="使用電線-2",W29,""))))))</f>
        <v/>
      </c>
      <c r="BB178" s="107"/>
      <c r="BC178" s="108" t="str">
        <f>IF(B25="使用電線-3",M25+U25,IF(B26="使用電線-3",M26+U26,IF(B27="使用電線-3",M27+U27,IF(B28="使用電線-3",M28+U28,IF(B29="使用電線-3",M29+U29,"")))))</f>
        <v/>
      </c>
      <c r="BD178" s="108">
        <f>IF(N33="",L19*(F19/40)^2,N33)</f>
        <v>0</v>
      </c>
      <c r="BE178" s="108">
        <f>F19</f>
        <v>0</v>
      </c>
      <c r="BF178" s="108" t="e">
        <f>BC178*1600/(8*L19)</f>
        <v>#VALUE!</v>
      </c>
      <c r="BG178" s="109" t="str">
        <f>IF(B25="使用電線-3",V25,IF(B26="使用電線-3",V26,IF(B27="使用電線-3",V27,IF(B28="使用電線-3",V28,IF(B29="使用電線-3",V29,"")))))</f>
        <v/>
      </c>
      <c r="BH178" s="108" t="str">
        <f>IF(B25="使用電線-3",L25,IF(B26="使用電線-3",L26,IF(B27="使用電線-3",L27,IF(B28="使用電線-3",L28,IF(B29="使用電線-3",L29,"")))))</f>
        <v/>
      </c>
      <c r="BI178" s="110" t="str">
        <f>IF(B25="使用電線-3",W25,IF(B26="使用電線-3",W26,IF(B27="使用電線-3",W27,IF(B28="使用電線-3",W28,IF(B29="使用電線-3",W29,"")))))</f>
        <v/>
      </c>
      <c r="BK178" s="107"/>
      <c r="BL178" s="108" t="str">
        <f>IF(B26="使用電線-4",M26+U26,IF(B27="使用電線-4",M27+U27,IF(B28="使用電線-4",M28+U28,IF(B29="使用電線-4",M29+U29,""))))</f>
        <v/>
      </c>
      <c r="BM178" s="108">
        <f>IF(C47="",L19*(F19/40)^2,C47)</f>
        <v>0</v>
      </c>
      <c r="BN178" s="108">
        <f>F19</f>
        <v>0</v>
      </c>
      <c r="BO178" s="127" t="e">
        <f>BL178*1600/(8*L19)</f>
        <v>#VALUE!</v>
      </c>
      <c r="BP178" s="109" t="str">
        <f>IF(B26="使用電線-4",V26,IF(B27="使用電線-4",V27,IF(B28="使用電線-4",V28,IF(B29="使用電線-4",V29,""))))</f>
        <v/>
      </c>
      <c r="BQ178" s="108" t="str">
        <f>IF(B26="使用電線-4",L26,IF(B27="使用電線-4",L27,IF(B28="使用電線-4",L28,IF(B29="使用電線-4",L29,""))))</f>
        <v/>
      </c>
      <c r="BR178" s="110" t="str">
        <f>IF(B26="使用電線-4",W26,IF(B27="使用電線-4",W27,IF(B28="使用電線-4",W28,IF(B29="使用電線-4",W29,""))))</f>
        <v/>
      </c>
      <c r="BT178" s="107"/>
      <c r="BU178" s="108" t="str">
        <f>IF(B27="使用電線-5",M27+U27,IF(B28="使用電線-5",M28+U28,IF(B29="使用電線-5",M29+U29,"")))</f>
        <v/>
      </c>
      <c r="BV178" s="108">
        <f>IF(I47="",L19*(F19/40)^2,I47)</f>
        <v>0</v>
      </c>
      <c r="BW178" s="108">
        <f>F19</f>
        <v>0</v>
      </c>
      <c r="BX178" s="127" t="e">
        <f>BU178*1600/(8*L19)</f>
        <v>#VALUE!</v>
      </c>
      <c r="BY178" s="109" t="str">
        <f>IF(B27="使用電線-5",V27,IF(B28="使用電線-5",V28,IF(B29="使用電線-5",V29,"")))</f>
        <v/>
      </c>
      <c r="BZ178" s="108" t="str">
        <f>IF(B27="使用電線-5",L27,IF(B28="使用電線-5",L28,IF(B29="使用電線-5",L29,"")))</f>
        <v/>
      </c>
      <c r="CA178" s="110" t="str">
        <f>IF(B27="使用電線-5",W27,IF(B28="使用電線-5",W28,IF(B29="使用電線-5",W29,"")))</f>
        <v/>
      </c>
    </row>
    <row r="179" spans="36:79" ht="18" hidden="1" customHeight="1" x14ac:dyDescent="0.15"/>
    <row r="180" spans="36:79" ht="18" hidden="1" customHeight="1" thickBot="1" x14ac:dyDescent="0.2"/>
    <row r="181" spans="36:79" ht="18" hidden="1" customHeight="1" x14ac:dyDescent="0.15">
      <c r="AJ181" s="2" t="s">
        <v>232</v>
      </c>
      <c r="AK181" s="111" t="s">
        <v>233</v>
      </c>
      <c r="AL181" s="12" t="s">
        <v>234</v>
      </c>
      <c r="AM181" s="12" t="s">
        <v>235</v>
      </c>
      <c r="AN181" s="12" t="s">
        <v>236</v>
      </c>
      <c r="AO181" s="12" t="s">
        <v>237</v>
      </c>
      <c r="AP181" s="12" t="s">
        <v>238</v>
      </c>
      <c r="AQ181" s="13" t="s">
        <v>239</v>
      </c>
      <c r="AS181" s="2" t="s">
        <v>232</v>
      </c>
      <c r="AT181" s="111" t="s">
        <v>233</v>
      </c>
      <c r="AU181" s="12" t="s">
        <v>234</v>
      </c>
      <c r="AV181" s="12" t="s">
        <v>235</v>
      </c>
      <c r="AW181" s="12" t="s">
        <v>236</v>
      </c>
      <c r="AX181" s="12" t="s">
        <v>237</v>
      </c>
      <c r="AY181" s="12" t="s">
        <v>238</v>
      </c>
      <c r="AZ181" s="13" t="s">
        <v>239</v>
      </c>
      <c r="BB181" s="2" t="s">
        <v>232</v>
      </c>
      <c r="BC181" s="111" t="s">
        <v>233</v>
      </c>
      <c r="BD181" s="12" t="s">
        <v>234</v>
      </c>
      <c r="BE181" s="12" t="s">
        <v>235</v>
      </c>
      <c r="BF181" s="12" t="s">
        <v>236</v>
      </c>
      <c r="BG181" s="12" t="s">
        <v>237</v>
      </c>
      <c r="BH181" s="12" t="s">
        <v>238</v>
      </c>
      <c r="BI181" s="13" t="s">
        <v>239</v>
      </c>
      <c r="BK181" s="2" t="s">
        <v>232</v>
      </c>
      <c r="BL181" s="111" t="s">
        <v>233</v>
      </c>
      <c r="BM181" s="12" t="s">
        <v>234</v>
      </c>
      <c r="BN181" s="12" t="s">
        <v>235</v>
      </c>
      <c r="BO181" s="12" t="s">
        <v>236</v>
      </c>
      <c r="BP181" s="12" t="s">
        <v>237</v>
      </c>
      <c r="BQ181" s="12" t="s">
        <v>238</v>
      </c>
      <c r="BR181" s="13" t="s">
        <v>239</v>
      </c>
      <c r="BT181" s="2" t="s">
        <v>232</v>
      </c>
      <c r="BU181" s="111" t="s">
        <v>233</v>
      </c>
      <c r="BV181" s="12" t="s">
        <v>234</v>
      </c>
      <c r="BW181" s="12" t="s">
        <v>235</v>
      </c>
      <c r="BX181" s="12" t="s">
        <v>236</v>
      </c>
      <c r="BY181" s="12" t="s">
        <v>237</v>
      </c>
      <c r="BZ181" s="12" t="s">
        <v>238</v>
      </c>
      <c r="CA181" s="13" t="s">
        <v>239</v>
      </c>
    </row>
    <row r="182" spans="36:79" ht="18" hidden="1" customHeight="1" x14ac:dyDescent="0.15">
      <c r="AJ182" s="16" t="e">
        <f>-AJ185+AJ188</f>
        <v>#VALUE!</v>
      </c>
      <c r="AK182" s="17" t="e">
        <f>-AJ191</f>
        <v>#VALUE!</v>
      </c>
      <c r="AL182" s="18" t="e">
        <f>IF(AND(AP185&lt;0,AQ185&lt;0),AQ182*1.2,IF(AND(AP185&gt;0,AQ185&gt;0),AP182*0.8,10))</f>
        <v>#VALUE!</v>
      </c>
      <c r="AM182" s="18" t="e">
        <f>AL182^3+AJ182*AL182+AK182</f>
        <v>#VALUE!</v>
      </c>
      <c r="AN182" s="18" t="e">
        <f>3*AL182^2+AJ182</f>
        <v>#VALUE!</v>
      </c>
      <c r="AO182" s="18" t="e">
        <f t="shared" ref="AO182:AO196" si="68">AL182-AM182/AN182</f>
        <v>#VALUE!</v>
      </c>
      <c r="AP182" s="18" t="e">
        <f>-SQRT(ABS(-4*3*AJ182))/6</f>
        <v>#VALUE!</v>
      </c>
      <c r="AQ182" s="19" t="e">
        <f>SQRT(ABS(-4*3*AJ182))/6</f>
        <v>#VALUE!</v>
      </c>
      <c r="AS182" s="16" t="e">
        <f>-AS185+AS188</f>
        <v>#VALUE!</v>
      </c>
      <c r="AT182" s="17" t="e">
        <f>-AS191</f>
        <v>#VALUE!</v>
      </c>
      <c r="AU182" s="18" t="e">
        <f>IF(AND(AY185&lt;0,AZ185&lt;0),AZ182*1.2,IF(AND(AY185&gt;0,AZ185&gt;0),AY182*0.8,10))</f>
        <v>#VALUE!</v>
      </c>
      <c r="AV182" s="18" t="e">
        <f>AU182^3+AS182*AU182+AT182</f>
        <v>#VALUE!</v>
      </c>
      <c r="AW182" s="18" t="e">
        <f>3*AU182^2+AS182</f>
        <v>#VALUE!</v>
      </c>
      <c r="AX182" s="18" t="e">
        <f t="shared" ref="AX182:AX196" si="69">AU182-AV182/AW182</f>
        <v>#VALUE!</v>
      </c>
      <c r="AY182" s="18" t="e">
        <f>-SQRT(ABS(-4*3*AS182))/6</f>
        <v>#VALUE!</v>
      </c>
      <c r="AZ182" s="19" t="e">
        <f>SQRT(ABS(-4*3*AS182))/6</f>
        <v>#VALUE!</v>
      </c>
      <c r="BB182" s="16" t="e">
        <f>-BB185+BB188</f>
        <v>#VALUE!</v>
      </c>
      <c r="BC182" s="17" t="e">
        <f>-BB191</f>
        <v>#VALUE!</v>
      </c>
      <c r="BD182" s="18" t="e">
        <f>IF(AND(BH185&lt;0,BI185&lt;0),BI182*1.2,IF(AND(BH185&gt;0,BI185&gt;0),BH182*0.8,10))</f>
        <v>#VALUE!</v>
      </c>
      <c r="BE182" s="18" t="e">
        <f>BD182^3+BB182*BD182+BC182</f>
        <v>#VALUE!</v>
      </c>
      <c r="BF182" s="18" t="e">
        <f>3*BD182^2+BB182</f>
        <v>#VALUE!</v>
      </c>
      <c r="BG182" s="18" t="e">
        <f t="shared" ref="BG182:BG196" si="70">BD182-BE182/BF182</f>
        <v>#VALUE!</v>
      </c>
      <c r="BH182" s="18" t="e">
        <f>-SQRT(ABS(-4*3*BB182))/6</f>
        <v>#VALUE!</v>
      </c>
      <c r="BI182" s="19" t="e">
        <f>SQRT(ABS(-4*3*BB182))/6</f>
        <v>#VALUE!</v>
      </c>
      <c r="BK182" s="16" t="e">
        <f>-BK185+BK188</f>
        <v>#VALUE!</v>
      </c>
      <c r="BL182" s="17" t="e">
        <f>-BK191</f>
        <v>#VALUE!</v>
      </c>
      <c r="BM182" s="18" t="e">
        <f>IF(AND(BQ185&lt;0,BR185&lt;0),BR182*1.2,IF(AND(BQ185&gt;0,BR185&gt;0),BQ182*0.8,10))</f>
        <v>#VALUE!</v>
      </c>
      <c r="BN182" s="18" t="e">
        <f>BM182^3+BK182*BM182+BL182</f>
        <v>#VALUE!</v>
      </c>
      <c r="BO182" s="18" t="e">
        <f>3*BM182^2+BK182</f>
        <v>#VALUE!</v>
      </c>
      <c r="BP182" s="18" t="e">
        <f t="shared" ref="BP182:BP196" si="71">BM182-BN182/BO182</f>
        <v>#VALUE!</v>
      </c>
      <c r="BQ182" s="18" t="e">
        <f>-SQRT(ABS(-4*3*BK182))/6</f>
        <v>#VALUE!</v>
      </c>
      <c r="BR182" s="19" t="e">
        <f>SQRT(ABS(-4*3*BK182))/6</f>
        <v>#VALUE!</v>
      </c>
      <c r="BT182" s="16" t="e">
        <f>-BT185+BT188</f>
        <v>#VALUE!</v>
      </c>
      <c r="BU182" s="17" t="e">
        <f>-BT191</f>
        <v>#VALUE!</v>
      </c>
      <c r="BV182" s="18" t="e">
        <f>IF(AND(BZ185&lt;0,CA185&lt;0),CA182*1.2,IF(AND(BZ185&gt;0,CA185&gt;0),BZ182*0.8,10))</f>
        <v>#VALUE!</v>
      </c>
      <c r="BW182" s="18" t="e">
        <f>BV182^3+BT182*BV182+BU182</f>
        <v>#VALUE!</v>
      </c>
      <c r="BX182" s="18" t="e">
        <f>3*BV182^2+BT182</f>
        <v>#VALUE!</v>
      </c>
      <c r="BY182" s="18" t="e">
        <f t="shared" ref="BY182:BY196" si="72">BV182-BW182/BX182</f>
        <v>#VALUE!</v>
      </c>
      <c r="BZ182" s="18" t="e">
        <f>-SQRT(ABS(-4*3*BT182))/6</f>
        <v>#VALUE!</v>
      </c>
      <c r="CA182" s="19" t="e">
        <f>SQRT(ABS(-4*3*BT182))/6</f>
        <v>#VALUE!</v>
      </c>
    </row>
    <row r="183" spans="36:79" ht="18" hidden="1" customHeight="1" x14ac:dyDescent="0.15">
      <c r="AJ183" s="267"/>
      <c r="AK183" s="268"/>
      <c r="AL183" s="18" t="e">
        <f t="shared" ref="AL183:AL196" si="73">AO182</f>
        <v>#VALUE!</v>
      </c>
      <c r="AM183" s="18" t="e">
        <f>AL183^3+AJ182*AL183+AK182</f>
        <v>#VALUE!</v>
      </c>
      <c r="AN183" s="18" t="e">
        <f>3*AL183^2+AJ182</f>
        <v>#VALUE!</v>
      </c>
      <c r="AO183" s="18" t="e">
        <f t="shared" si="68"/>
        <v>#VALUE!</v>
      </c>
      <c r="AP183" s="6"/>
      <c r="AQ183" s="7"/>
      <c r="AS183" s="267"/>
      <c r="AT183" s="268"/>
      <c r="AU183" s="18" t="e">
        <f t="shared" ref="AU183:AU196" si="74">AX182</f>
        <v>#VALUE!</v>
      </c>
      <c r="AV183" s="18" t="e">
        <f>AU183^3+AS182*AU183+AT182</f>
        <v>#VALUE!</v>
      </c>
      <c r="AW183" s="18" t="e">
        <f>3*AU183^2+AS182</f>
        <v>#VALUE!</v>
      </c>
      <c r="AX183" s="18" t="e">
        <f t="shared" si="69"/>
        <v>#VALUE!</v>
      </c>
      <c r="AY183" s="6"/>
      <c r="AZ183" s="7"/>
      <c r="BB183" s="267"/>
      <c r="BC183" s="268"/>
      <c r="BD183" s="18" t="e">
        <f t="shared" ref="BD183:BD196" si="75">BG182</f>
        <v>#VALUE!</v>
      </c>
      <c r="BE183" s="18" t="e">
        <f>BD183^3+BB182*BD183+BC182</f>
        <v>#VALUE!</v>
      </c>
      <c r="BF183" s="18" t="e">
        <f>3*BD183^2+BB182</f>
        <v>#VALUE!</v>
      </c>
      <c r="BG183" s="18" t="e">
        <f t="shared" si="70"/>
        <v>#VALUE!</v>
      </c>
      <c r="BH183" s="6"/>
      <c r="BI183" s="7"/>
      <c r="BK183" s="267"/>
      <c r="BL183" s="268"/>
      <c r="BM183" s="18" t="e">
        <f t="shared" ref="BM183:BM196" si="76">BP182</f>
        <v>#VALUE!</v>
      </c>
      <c r="BN183" s="18" t="e">
        <f>BM183^3+BK182*BM183+BL182</f>
        <v>#VALUE!</v>
      </c>
      <c r="BO183" s="18" t="e">
        <f>3*BM183^2+BK182</f>
        <v>#VALUE!</v>
      </c>
      <c r="BP183" s="18" t="e">
        <f t="shared" si="71"/>
        <v>#VALUE!</v>
      </c>
      <c r="BQ183" s="6"/>
      <c r="BR183" s="7"/>
      <c r="BT183" s="267"/>
      <c r="BU183" s="268"/>
      <c r="BV183" s="18" t="e">
        <f t="shared" ref="BV183:BV196" si="77">BY182</f>
        <v>#VALUE!</v>
      </c>
      <c r="BW183" s="18" t="e">
        <f>BV183^3+BT182*BV183+BU182</f>
        <v>#VALUE!</v>
      </c>
      <c r="BX183" s="18" t="e">
        <f>3*BV183^2+BT182</f>
        <v>#VALUE!</v>
      </c>
      <c r="BY183" s="18" t="e">
        <f t="shared" si="72"/>
        <v>#VALUE!</v>
      </c>
      <c r="BZ183" s="6"/>
      <c r="CA183" s="7"/>
    </row>
    <row r="184" spans="36:79" ht="18" hidden="1" customHeight="1" x14ac:dyDescent="0.15">
      <c r="AJ184" s="269" t="s">
        <v>240</v>
      </c>
      <c r="AK184" s="270"/>
      <c r="AL184" s="18" t="e">
        <f t="shared" si="73"/>
        <v>#VALUE!</v>
      </c>
      <c r="AM184" s="18" t="e">
        <f>AL184^3+AJ182*AL184+AK182</f>
        <v>#VALUE!</v>
      </c>
      <c r="AN184" s="18" t="e">
        <f>3*AL184^2+AJ182</f>
        <v>#VALUE!</v>
      </c>
      <c r="AO184" s="18" t="e">
        <f t="shared" si="68"/>
        <v>#VALUE!</v>
      </c>
      <c r="AP184" s="14" t="s">
        <v>241</v>
      </c>
      <c r="AQ184" s="15" t="s">
        <v>242</v>
      </c>
      <c r="AS184" s="269" t="s">
        <v>240</v>
      </c>
      <c r="AT184" s="270"/>
      <c r="AU184" s="18" t="e">
        <f t="shared" si="74"/>
        <v>#VALUE!</v>
      </c>
      <c r="AV184" s="18" t="e">
        <f>AU184^3+AS182*AU184+AT182</f>
        <v>#VALUE!</v>
      </c>
      <c r="AW184" s="18" t="e">
        <f>3*AU184^2+AS182</f>
        <v>#VALUE!</v>
      </c>
      <c r="AX184" s="18" t="e">
        <f t="shared" si="69"/>
        <v>#VALUE!</v>
      </c>
      <c r="AY184" s="14" t="s">
        <v>241</v>
      </c>
      <c r="AZ184" s="15" t="s">
        <v>242</v>
      </c>
      <c r="BB184" s="269" t="s">
        <v>240</v>
      </c>
      <c r="BC184" s="270"/>
      <c r="BD184" s="18" t="e">
        <f t="shared" si="75"/>
        <v>#VALUE!</v>
      </c>
      <c r="BE184" s="18" t="e">
        <f>BD184^3+BB182*BD184+BC182</f>
        <v>#VALUE!</v>
      </c>
      <c r="BF184" s="18" t="e">
        <f>3*BD184^2+BB182</f>
        <v>#VALUE!</v>
      </c>
      <c r="BG184" s="18" t="e">
        <f t="shared" si="70"/>
        <v>#VALUE!</v>
      </c>
      <c r="BH184" s="14" t="s">
        <v>241</v>
      </c>
      <c r="BI184" s="15" t="s">
        <v>242</v>
      </c>
      <c r="BK184" s="269" t="s">
        <v>240</v>
      </c>
      <c r="BL184" s="270"/>
      <c r="BM184" s="18" t="e">
        <f t="shared" si="76"/>
        <v>#VALUE!</v>
      </c>
      <c r="BN184" s="18" t="e">
        <f>BM184^3+BK182*BM184+BL182</f>
        <v>#VALUE!</v>
      </c>
      <c r="BO184" s="18" t="e">
        <f>3*BM184^2+BK182</f>
        <v>#VALUE!</v>
      </c>
      <c r="BP184" s="18" t="e">
        <f t="shared" si="71"/>
        <v>#VALUE!</v>
      </c>
      <c r="BQ184" s="14" t="s">
        <v>241</v>
      </c>
      <c r="BR184" s="15" t="s">
        <v>242</v>
      </c>
      <c r="BT184" s="269" t="s">
        <v>240</v>
      </c>
      <c r="BU184" s="270"/>
      <c r="BV184" s="18" t="e">
        <f t="shared" si="77"/>
        <v>#VALUE!</v>
      </c>
      <c r="BW184" s="18" t="e">
        <f>BV184^3+BT182*BV184+BU182</f>
        <v>#VALUE!</v>
      </c>
      <c r="BX184" s="18" t="e">
        <f>3*BV184^2+BT182</f>
        <v>#VALUE!</v>
      </c>
      <c r="BY184" s="18" t="e">
        <f t="shared" si="72"/>
        <v>#VALUE!</v>
      </c>
      <c r="BZ184" s="14" t="s">
        <v>241</v>
      </c>
      <c r="CA184" s="15" t="s">
        <v>242</v>
      </c>
    </row>
    <row r="185" spans="36:79" ht="18" hidden="1" customHeight="1" x14ac:dyDescent="0.15">
      <c r="AJ185" s="269">
        <f>(AL198^2)+3*(AM198^2)*AQ198*(AQ193-15)/(8*10^7)</f>
        <v>0</v>
      </c>
      <c r="AK185" s="270"/>
      <c r="AL185" s="18" t="e">
        <f t="shared" si="73"/>
        <v>#VALUE!</v>
      </c>
      <c r="AM185" s="18" t="e">
        <f>AL185^3+AJ182*AL185+AK182</f>
        <v>#VALUE!</v>
      </c>
      <c r="AN185" s="18" t="e">
        <f>3*AL185^2+AJ182</f>
        <v>#VALUE!</v>
      </c>
      <c r="AO185" s="18" t="e">
        <f t="shared" si="68"/>
        <v>#VALUE!</v>
      </c>
      <c r="AP185" s="18" t="e">
        <f>AP182^3+AJ182*AP182+AK182</f>
        <v>#VALUE!</v>
      </c>
      <c r="AQ185" s="19" t="e">
        <f>AQ182^3+AJ182*AQ182+AK182</f>
        <v>#VALUE!</v>
      </c>
      <c r="AS185" s="269" t="e">
        <f>(AU198^2)+3*(AV198^2)*AZ198*(AZ193-15)/(8*10^7)</f>
        <v>#VALUE!</v>
      </c>
      <c r="AT185" s="270"/>
      <c r="AU185" s="18" t="e">
        <f t="shared" si="74"/>
        <v>#VALUE!</v>
      </c>
      <c r="AV185" s="18" t="e">
        <f>AU185^3+AS182*AU185+AT182</f>
        <v>#VALUE!</v>
      </c>
      <c r="AW185" s="18" t="e">
        <f>3*AU185^2+AS182</f>
        <v>#VALUE!</v>
      </c>
      <c r="AX185" s="18" t="e">
        <f t="shared" si="69"/>
        <v>#VALUE!</v>
      </c>
      <c r="AY185" s="18" t="e">
        <f>AY182^3+AS182*AY182+AT182</f>
        <v>#VALUE!</v>
      </c>
      <c r="AZ185" s="19" t="e">
        <f>AZ182^3+AS182*AZ182+AT182</f>
        <v>#VALUE!</v>
      </c>
      <c r="BB185" s="269" t="e">
        <f>(BD198^2)+3*(BE198^2)*BI198*(BI193-15)/(8*10^7)</f>
        <v>#VALUE!</v>
      </c>
      <c r="BC185" s="270"/>
      <c r="BD185" s="18" t="e">
        <f t="shared" si="75"/>
        <v>#VALUE!</v>
      </c>
      <c r="BE185" s="18" t="e">
        <f>BD185^3+BB182*BD185+BC182</f>
        <v>#VALUE!</v>
      </c>
      <c r="BF185" s="18" t="e">
        <f>3*BD185^2+BB182</f>
        <v>#VALUE!</v>
      </c>
      <c r="BG185" s="18" t="e">
        <f t="shared" si="70"/>
        <v>#VALUE!</v>
      </c>
      <c r="BH185" s="18" t="e">
        <f>BH182^3+BB182*BH182+BC182</f>
        <v>#VALUE!</v>
      </c>
      <c r="BI185" s="19" t="e">
        <f>BI182^3+BB182*BI182+BC182</f>
        <v>#VALUE!</v>
      </c>
      <c r="BK185" s="269" t="e">
        <f>(BM198^2)+3*(BN198^2)*BR198*(BR193-15)/(8*10^7)</f>
        <v>#VALUE!</v>
      </c>
      <c r="BL185" s="270"/>
      <c r="BM185" s="18" t="e">
        <f t="shared" si="76"/>
        <v>#VALUE!</v>
      </c>
      <c r="BN185" s="18" t="e">
        <f>BM185^3+BK182*BM185+BL182</f>
        <v>#VALUE!</v>
      </c>
      <c r="BO185" s="18" t="e">
        <f>3*BM185^2+BK182</f>
        <v>#VALUE!</v>
      </c>
      <c r="BP185" s="18" t="e">
        <f t="shared" si="71"/>
        <v>#VALUE!</v>
      </c>
      <c r="BQ185" s="18" t="e">
        <f>BQ182^3+BK182*BQ182+BL182</f>
        <v>#VALUE!</v>
      </c>
      <c r="BR185" s="19" t="e">
        <f>BR182^3+BK182*BR182+BL182</f>
        <v>#VALUE!</v>
      </c>
      <c r="BT185" s="269" t="e">
        <f>(BV198^2)+3*(BW198^2)*CA198*(CA193-15)/(8*10^7)</f>
        <v>#VALUE!</v>
      </c>
      <c r="BU185" s="270"/>
      <c r="BV185" s="18" t="e">
        <f t="shared" si="77"/>
        <v>#VALUE!</v>
      </c>
      <c r="BW185" s="18" t="e">
        <f>BV185^3+BT182*BV185+BU182</f>
        <v>#VALUE!</v>
      </c>
      <c r="BX185" s="18" t="e">
        <f>3*BV185^2+BT182</f>
        <v>#VALUE!</v>
      </c>
      <c r="BY185" s="18" t="e">
        <f t="shared" si="72"/>
        <v>#VALUE!</v>
      </c>
      <c r="BZ185" s="18" t="e">
        <f>BZ182^3+BT182*BZ182+BU182</f>
        <v>#VALUE!</v>
      </c>
      <c r="CA185" s="19" t="e">
        <f>CA182^3+BT182*CA182+BU182</f>
        <v>#VALUE!</v>
      </c>
    </row>
    <row r="186" spans="36:79" ht="18" hidden="1" customHeight="1" x14ac:dyDescent="0.15">
      <c r="AJ186" s="267"/>
      <c r="AK186" s="268"/>
      <c r="AL186" s="18" t="e">
        <f t="shared" si="73"/>
        <v>#VALUE!</v>
      </c>
      <c r="AM186" s="18" t="e">
        <f>AL186^3+AJ182*AL186+AK182</f>
        <v>#VALUE!</v>
      </c>
      <c r="AN186" s="18" t="e">
        <f>3*AL186^2+AJ182</f>
        <v>#VALUE!</v>
      </c>
      <c r="AO186" s="18" t="e">
        <f t="shared" si="68"/>
        <v>#VALUE!</v>
      </c>
      <c r="AP186" s="31"/>
      <c r="AQ186" s="32"/>
      <c r="AS186" s="267"/>
      <c r="AT186" s="268"/>
      <c r="AU186" s="18" t="e">
        <f t="shared" si="74"/>
        <v>#VALUE!</v>
      </c>
      <c r="AV186" s="18" t="e">
        <f>AU186^3+AS182*AU186+AT182</f>
        <v>#VALUE!</v>
      </c>
      <c r="AW186" s="18" t="e">
        <f>3*AU186^2+AS182</f>
        <v>#VALUE!</v>
      </c>
      <c r="AX186" s="18" t="e">
        <f t="shared" si="69"/>
        <v>#VALUE!</v>
      </c>
      <c r="AY186" s="31"/>
      <c r="AZ186" s="32"/>
      <c r="BB186" s="267"/>
      <c r="BC186" s="268"/>
      <c r="BD186" s="18" t="e">
        <f t="shared" si="75"/>
        <v>#VALUE!</v>
      </c>
      <c r="BE186" s="18" t="e">
        <f>BD186^3+BB182*BD186+BC182</f>
        <v>#VALUE!</v>
      </c>
      <c r="BF186" s="18" t="e">
        <f>3*BD186^2+BB182</f>
        <v>#VALUE!</v>
      </c>
      <c r="BG186" s="18" t="e">
        <f t="shared" si="70"/>
        <v>#VALUE!</v>
      </c>
      <c r="BH186" s="31"/>
      <c r="BI186" s="32"/>
      <c r="BK186" s="267"/>
      <c r="BL186" s="268"/>
      <c r="BM186" s="18" t="e">
        <f t="shared" si="76"/>
        <v>#VALUE!</v>
      </c>
      <c r="BN186" s="18" t="e">
        <f>BM186^3+BK182*BM186+BL182</f>
        <v>#VALUE!</v>
      </c>
      <c r="BO186" s="18" t="e">
        <f>3*BM186^2+BK182</f>
        <v>#VALUE!</v>
      </c>
      <c r="BP186" s="18" t="e">
        <f t="shared" si="71"/>
        <v>#VALUE!</v>
      </c>
      <c r="BQ186" s="31"/>
      <c r="BR186" s="32"/>
      <c r="BT186" s="267"/>
      <c r="BU186" s="268"/>
      <c r="BV186" s="18" t="e">
        <f t="shared" si="77"/>
        <v>#VALUE!</v>
      </c>
      <c r="BW186" s="18" t="e">
        <f>BV186^3+BT182*BV186+BU182</f>
        <v>#VALUE!</v>
      </c>
      <c r="BX186" s="18" t="e">
        <f>3*BV186^2+BT182</f>
        <v>#VALUE!</v>
      </c>
      <c r="BY186" s="18" t="e">
        <f t="shared" si="72"/>
        <v>#VALUE!</v>
      </c>
      <c r="BZ186" s="31"/>
      <c r="CA186" s="32"/>
    </row>
    <row r="187" spans="36:79" ht="18" hidden="1" customHeight="1" x14ac:dyDescent="0.15">
      <c r="AJ187" s="269" t="s">
        <v>243</v>
      </c>
      <c r="AK187" s="270"/>
      <c r="AL187" s="18" t="e">
        <f t="shared" si="73"/>
        <v>#VALUE!</v>
      </c>
      <c r="AM187" s="18" t="e">
        <f>AL187^3+AJ182*AL187+AK182</f>
        <v>#VALUE!</v>
      </c>
      <c r="AN187" s="18" t="e">
        <f>3*AL187^2+AJ182</f>
        <v>#VALUE!</v>
      </c>
      <c r="AO187" s="18" t="e">
        <f t="shared" si="68"/>
        <v>#VALUE!</v>
      </c>
      <c r="AP187" s="31"/>
      <c r="AQ187" s="32"/>
      <c r="AS187" s="269" t="s">
        <v>243</v>
      </c>
      <c r="AT187" s="270"/>
      <c r="AU187" s="18" t="e">
        <f t="shared" si="74"/>
        <v>#VALUE!</v>
      </c>
      <c r="AV187" s="18" t="e">
        <f>AU187^3+AS182*AU187+AT182</f>
        <v>#VALUE!</v>
      </c>
      <c r="AW187" s="18" t="e">
        <f>3*AU187^2+AS182</f>
        <v>#VALUE!</v>
      </c>
      <c r="AX187" s="18" t="e">
        <f t="shared" si="69"/>
        <v>#VALUE!</v>
      </c>
      <c r="AY187" s="31"/>
      <c r="AZ187" s="32"/>
      <c r="BB187" s="269" t="s">
        <v>243</v>
      </c>
      <c r="BC187" s="270"/>
      <c r="BD187" s="18" t="e">
        <f t="shared" si="75"/>
        <v>#VALUE!</v>
      </c>
      <c r="BE187" s="18" t="e">
        <f>BD187^3+BB182*BD187+BC182</f>
        <v>#VALUE!</v>
      </c>
      <c r="BF187" s="18" t="e">
        <f>3*BD187^2+BB182</f>
        <v>#VALUE!</v>
      </c>
      <c r="BG187" s="18" t="e">
        <f t="shared" si="70"/>
        <v>#VALUE!</v>
      </c>
      <c r="BH187" s="31"/>
      <c r="BI187" s="32"/>
      <c r="BK187" s="269" t="s">
        <v>243</v>
      </c>
      <c r="BL187" s="270"/>
      <c r="BM187" s="18" t="e">
        <f t="shared" si="76"/>
        <v>#VALUE!</v>
      </c>
      <c r="BN187" s="18" t="e">
        <f>BM187^3+BK182*BM187+BL182</f>
        <v>#VALUE!</v>
      </c>
      <c r="BO187" s="18" t="e">
        <f>3*BM187^2+BK182</f>
        <v>#VALUE!</v>
      </c>
      <c r="BP187" s="18" t="e">
        <f t="shared" si="71"/>
        <v>#VALUE!</v>
      </c>
      <c r="BQ187" s="31"/>
      <c r="BR187" s="32"/>
      <c r="BT187" s="269" t="s">
        <v>243</v>
      </c>
      <c r="BU187" s="270"/>
      <c r="BV187" s="18" t="e">
        <f t="shared" si="77"/>
        <v>#VALUE!</v>
      </c>
      <c r="BW187" s="18" t="e">
        <f>BV187^3+BT182*BV187+BU182</f>
        <v>#VALUE!</v>
      </c>
      <c r="BX187" s="18" t="e">
        <f>3*BV187^2+BT182</f>
        <v>#VALUE!</v>
      </c>
      <c r="BY187" s="18" t="e">
        <f t="shared" si="72"/>
        <v>#VALUE!</v>
      </c>
      <c r="BZ187" s="31"/>
      <c r="CA187" s="32"/>
    </row>
    <row r="188" spans="36:79" ht="18" hidden="1" customHeight="1" x14ac:dyDescent="0.15">
      <c r="AJ188" s="277" t="e">
        <f>3*(AM198^2)*AN198/(8*AO198*AP198)</f>
        <v>#VALUE!</v>
      </c>
      <c r="AK188" s="278"/>
      <c r="AL188" s="118" t="e">
        <f t="shared" si="73"/>
        <v>#VALUE!</v>
      </c>
      <c r="AM188" s="118" t="e">
        <f>AL188^3+AJ182*AL188+AK182</f>
        <v>#VALUE!</v>
      </c>
      <c r="AN188" s="118" t="e">
        <f>3*AL188^2+AJ182</f>
        <v>#VALUE!</v>
      </c>
      <c r="AO188" s="118" t="e">
        <f t="shared" si="68"/>
        <v>#VALUE!</v>
      </c>
      <c r="AP188" s="116"/>
      <c r="AQ188" s="117"/>
      <c r="AS188" s="277" t="e">
        <f>3*(AV198^2)*AW198/(8*AX198*AY198)</f>
        <v>#VALUE!</v>
      </c>
      <c r="AT188" s="278"/>
      <c r="AU188" s="118" t="e">
        <f t="shared" si="74"/>
        <v>#VALUE!</v>
      </c>
      <c r="AV188" s="118" t="e">
        <f>AU188^3+AS182*AU188+AT182</f>
        <v>#VALUE!</v>
      </c>
      <c r="AW188" s="118" t="e">
        <f>3*AU188^2+AS182</f>
        <v>#VALUE!</v>
      </c>
      <c r="AX188" s="118" t="e">
        <f t="shared" si="69"/>
        <v>#VALUE!</v>
      </c>
      <c r="AY188" s="116"/>
      <c r="AZ188" s="117"/>
      <c r="BB188" s="277" t="e">
        <f>3*(BE198^2)*BF198/(8*BG198*BH198)</f>
        <v>#VALUE!</v>
      </c>
      <c r="BC188" s="278"/>
      <c r="BD188" s="118" t="e">
        <f t="shared" si="75"/>
        <v>#VALUE!</v>
      </c>
      <c r="BE188" s="118" t="e">
        <f>BD188^3+BB182*BD188+BC182</f>
        <v>#VALUE!</v>
      </c>
      <c r="BF188" s="118" t="e">
        <f>3*BD188^2+BB182</f>
        <v>#VALUE!</v>
      </c>
      <c r="BG188" s="118" t="e">
        <f t="shared" si="70"/>
        <v>#VALUE!</v>
      </c>
      <c r="BH188" s="116"/>
      <c r="BI188" s="117"/>
      <c r="BK188" s="277" t="e">
        <f>3*(BN198^2)*BO198/(8*BP198*BQ198)</f>
        <v>#VALUE!</v>
      </c>
      <c r="BL188" s="278"/>
      <c r="BM188" s="118" t="e">
        <f t="shared" si="76"/>
        <v>#VALUE!</v>
      </c>
      <c r="BN188" s="118" t="e">
        <f>BM188^3+BK182*BM188+BL182</f>
        <v>#VALUE!</v>
      </c>
      <c r="BO188" s="118" t="e">
        <f>3*BM188^2+BK182</f>
        <v>#VALUE!</v>
      </c>
      <c r="BP188" s="118" t="e">
        <f t="shared" si="71"/>
        <v>#VALUE!</v>
      </c>
      <c r="BQ188" s="116"/>
      <c r="BR188" s="117"/>
      <c r="BT188" s="277" t="e">
        <f>3*(BW198^2)*BX198/(8*BY198*BZ198)</f>
        <v>#VALUE!</v>
      </c>
      <c r="BU188" s="278"/>
      <c r="BV188" s="118" t="e">
        <f t="shared" si="77"/>
        <v>#VALUE!</v>
      </c>
      <c r="BW188" s="118" t="e">
        <f>BV188^3+BT182*BV188+BU182</f>
        <v>#VALUE!</v>
      </c>
      <c r="BX188" s="118" t="e">
        <f>3*BV188^2+BT182</f>
        <v>#VALUE!</v>
      </c>
      <c r="BY188" s="118" t="e">
        <f t="shared" si="72"/>
        <v>#VALUE!</v>
      </c>
      <c r="BZ188" s="116"/>
      <c r="CA188" s="117"/>
    </row>
    <row r="189" spans="36:79" ht="18" hidden="1" customHeight="1" x14ac:dyDescent="0.15">
      <c r="AJ189" s="121"/>
      <c r="AK189" s="122"/>
      <c r="AL189" s="118" t="e">
        <f t="shared" si="73"/>
        <v>#VALUE!</v>
      </c>
      <c r="AM189" s="118" t="e">
        <f>AL189^3+AJ182*AL189+AK182</f>
        <v>#VALUE!</v>
      </c>
      <c r="AN189" s="118" t="e">
        <f>3*AL189^2+AJ182</f>
        <v>#VALUE!</v>
      </c>
      <c r="AO189" s="118" t="e">
        <f t="shared" si="68"/>
        <v>#VALUE!</v>
      </c>
      <c r="AP189" s="119"/>
      <c r="AQ189" s="120"/>
      <c r="AS189" s="121"/>
      <c r="AT189" s="122"/>
      <c r="AU189" s="118" t="e">
        <f t="shared" si="74"/>
        <v>#VALUE!</v>
      </c>
      <c r="AV189" s="118" t="e">
        <f>AU189^3+AS182*AU189+AT182</f>
        <v>#VALUE!</v>
      </c>
      <c r="AW189" s="118" t="e">
        <f>3*AU189^2+AS182</f>
        <v>#VALUE!</v>
      </c>
      <c r="AX189" s="118" t="e">
        <f t="shared" si="69"/>
        <v>#VALUE!</v>
      </c>
      <c r="AY189" s="119"/>
      <c r="AZ189" s="120"/>
      <c r="BB189" s="121"/>
      <c r="BC189" s="122"/>
      <c r="BD189" s="118" t="e">
        <f t="shared" si="75"/>
        <v>#VALUE!</v>
      </c>
      <c r="BE189" s="118" t="e">
        <f>BD189^3+BB182*BD189+BC182</f>
        <v>#VALUE!</v>
      </c>
      <c r="BF189" s="118" t="e">
        <f>3*BD189^2+BB182</f>
        <v>#VALUE!</v>
      </c>
      <c r="BG189" s="118" t="e">
        <f t="shared" si="70"/>
        <v>#VALUE!</v>
      </c>
      <c r="BH189" s="119"/>
      <c r="BI189" s="120"/>
      <c r="BK189" s="121"/>
      <c r="BL189" s="122"/>
      <c r="BM189" s="118" t="e">
        <f t="shared" si="76"/>
        <v>#VALUE!</v>
      </c>
      <c r="BN189" s="118" t="e">
        <f>BM189^3+BK182*BM189+BL182</f>
        <v>#VALUE!</v>
      </c>
      <c r="BO189" s="118" t="e">
        <f>3*BM189^2+BK182</f>
        <v>#VALUE!</v>
      </c>
      <c r="BP189" s="118" t="e">
        <f t="shared" si="71"/>
        <v>#VALUE!</v>
      </c>
      <c r="BQ189" s="119"/>
      <c r="BR189" s="120"/>
      <c r="BT189" s="121"/>
      <c r="BU189" s="122"/>
      <c r="BV189" s="118" t="e">
        <f t="shared" si="77"/>
        <v>#VALUE!</v>
      </c>
      <c r="BW189" s="118" t="e">
        <f>BV189^3+BT182*BV189+BU182</f>
        <v>#VALUE!</v>
      </c>
      <c r="BX189" s="118" t="e">
        <f>3*BV189^2+BT182</f>
        <v>#VALUE!</v>
      </c>
      <c r="BY189" s="118" t="e">
        <f t="shared" si="72"/>
        <v>#VALUE!</v>
      </c>
      <c r="BZ189" s="119"/>
      <c r="CA189" s="120"/>
    </row>
    <row r="190" spans="36:79" ht="18" hidden="1" customHeight="1" x14ac:dyDescent="0.15">
      <c r="AJ190" s="269" t="s">
        <v>244</v>
      </c>
      <c r="AK190" s="270"/>
      <c r="AL190" s="118" t="e">
        <f t="shared" si="73"/>
        <v>#VALUE!</v>
      </c>
      <c r="AM190" s="118" t="e">
        <f>AL190^3+AJ182*AL190+AK182</f>
        <v>#VALUE!</v>
      </c>
      <c r="AN190" s="118" t="e">
        <f>3*AL190^2+AJ182</f>
        <v>#VALUE!</v>
      </c>
      <c r="AO190" s="118" t="e">
        <f t="shared" si="68"/>
        <v>#VALUE!</v>
      </c>
      <c r="AP190" s="14" t="s">
        <v>245</v>
      </c>
      <c r="AQ190" s="123" t="e">
        <f>AO196</f>
        <v>#VALUE!</v>
      </c>
      <c r="AS190" s="269" t="s">
        <v>244</v>
      </c>
      <c r="AT190" s="270"/>
      <c r="AU190" s="118" t="e">
        <f t="shared" si="74"/>
        <v>#VALUE!</v>
      </c>
      <c r="AV190" s="118" t="e">
        <f>AU190^3+AS182*AU190+AT182</f>
        <v>#VALUE!</v>
      </c>
      <c r="AW190" s="118" t="e">
        <f>3*AU190^2+AS182</f>
        <v>#VALUE!</v>
      </c>
      <c r="AX190" s="118" t="e">
        <f t="shared" si="69"/>
        <v>#VALUE!</v>
      </c>
      <c r="AY190" s="14" t="s">
        <v>245</v>
      </c>
      <c r="AZ190" s="123" t="e">
        <f>AX196</f>
        <v>#VALUE!</v>
      </c>
      <c r="BB190" s="269" t="s">
        <v>244</v>
      </c>
      <c r="BC190" s="270"/>
      <c r="BD190" s="118" t="e">
        <f t="shared" si="75"/>
        <v>#VALUE!</v>
      </c>
      <c r="BE190" s="118" t="e">
        <f>BD190^3+BB182*BD190+BC182</f>
        <v>#VALUE!</v>
      </c>
      <c r="BF190" s="118" t="e">
        <f>3*BD190^2+BB182</f>
        <v>#VALUE!</v>
      </c>
      <c r="BG190" s="118" t="e">
        <f t="shared" si="70"/>
        <v>#VALUE!</v>
      </c>
      <c r="BH190" s="14" t="s">
        <v>245</v>
      </c>
      <c r="BI190" s="123" t="e">
        <f>BG196</f>
        <v>#VALUE!</v>
      </c>
      <c r="BK190" s="269" t="s">
        <v>244</v>
      </c>
      <c r="BL190" s="270"/>
      <c r="BM190" s="118" t="e">
        <f t="shared" si="76"/>
        <v>#VALUE!</v>
      </c>
      <c r="BN190" s="118" t="e">
        <f>BM190^3+BK182*BM190+BL182</f>
        <v>#VALUE!</v>
      </c>
      <c r="BO190" s="118" t="e">
        <f>3*BM190^2+BK182</f>
        <v>#VALUE!</v>
      </c>
      <c r="BP190" s="118" t="e">
        <f t="shared" si="71"/>
        <v>#VALUE!</v>
      </c>
      <c r="BQ190" s="14" t="s">
        <v>245</v>
      </c>
      <c r="BR190" s="123" t="e">
        <f>BP196</f>
        <v>#VALUE!</v>
      </c>
      <c r="BT190" s="269" t="s">
        <v>244</v>
      </c>
      <c r="BU190" s="270"/>
      <c r="BV190" s="118" t="e">
        <f t="shared" si="77"/>
        <v>#VALUE!</v>
      </c>
      <c r="BW190" s="118" t="e">
        <f>BV190^3+BT182*BV190+BU182</f>
        <v>#VALUE!</v>
      </c>
      <c r="BX190" s="118" t="e">
        <f>3*BV190^2+BT182</f>
        <v>#VALUE!</v>
      </c>
      <c r="BY190" s="118" t="e">
        <f t="shared" si="72"/>
        <v>#VALUE!</v>
      </c>
      <c r="BZ190" s="14" t="s">
        <v>245</v>
      </c>
      <c r="CA190" s="123" t="e">
        <f>BY196</f>
        <v>#VALUE!</v>
      </c>
    </row>
    <row r="191" spans="36:79" ht="18" hidden="1" customHeight="1" x14ac:dyDescent="0.15">
      <c r="AJ191" s="271" t="e">
        <f>AJ188*AL198*AK198/AK198</f>
        <v>#VALUE!</v>
      </c>
      <c r="AK191" s="272"/>
      <c r="AL191" s="118" t="e">
        <f t="shared" si="73"/>
        <v>#VALUE!</v>
      </c>
      <c r="AM191" s="118" t="e">
        <f>AL191^3+AJ182*AL191+AK182</f>
        <v>#VALUE!</v>
      </c>
      <c r="AN191" s="118" t="e">
        <f>3*AL191^2+AJ182</f>
        <v>#VALUE!</v>
      </c>
      <c r="AO191" s="118" t="e">
        <f t="shared" si="68"/>
        <v>#VALUE!</v>
      </c>
      <c r="AP191" s="14" t="s">
        <v>246</v>
      </c>
      <c r="AQ191" s="124" t="e">
        <f>AK198*AM198^2/(8*AO196)</f>
        <v>#VALUE!</v>
      </c>
      <c r="AS191" s="271" t="e">
        <f>AS188*AU198*AT198/AT198</f>
        <v>#VALUE!</v>
      </c>
      <c r="AT191" s="272"/>
      <c r="AU191" s="118" t="e">
        <f t="shared" si="74"/>
        <v>#VALUE!</v>
      </c>
      <c r="AV191" s="118" t="e">
        <f>AU191^3+AS182*AU191+AT182</f>
        <v>#VALUE!</v>
      </c>
      <c r="AW191" s="118" t="e">
        <f>3*AU191^2+AS182</f>
        <v>#VALUE!</v>
      </c>
      <c r="AX191" s="118" t="e">
        <f t="shared" si="69"/>
        <v>#VALUE!</v>
      </c>
      <c r="AY191" s="14" t="s">
        <v>246</v>
      </c>
      <c r="AZ191" s="124" t="e">
        <f>AT198*AV198^2/(8*AX196)</f>
        <v>#VALUE!</v>
      </c>
      <c r="BB191" s="271" t="e">
        <f>BB188*BD198*BC198/BC198</f>
        <v>#VALUE!</v>
      </c>
      <c r="BC191" s="272"/>
      <c r="BD191" s="118" t="e">
        <f t="shared" si="75"/>
        <v>#VALUE!</v>
      </c>
      <c r="BE191" s="118" t="e">
        <f>BD191^3+BB182*BD191+BC182</f>
        <v>#VALUE!</v>
      </c>
      <c r="BF191" s="118" t="e">
        <f>3*BD191^2+BB182</f>
        <v>#VALUE!</v>
      </c>
      <c r="BG191" s="118" t="e">
        <f t="shared" si="70"/>
        <v>#VALUE!</v>
      </c>
      <c r="BH191" s="14" t="s">
        <v>246</v>
      </c>
      <c r="BI191" s="124" t="e">
        <f>BC198*BE198^2/(8*BG196)</f>
        <v>#VALUE!</v>
      </c>
      <c r="BK191" s="271" t="e">
        <f>BK188*BM198*BL198/BL198</f>
        <v>#VALUE!</v>
      </c>
      <c r="BL191" s="272"/>
      <c r="BM191" s="118" t="e">
        <f t="shared" si="76"/>
        <v>#VALUE!</v>
      </c>
      <c r="BN191" s="118" t="e">
        <f>BM191^3+BK182*BM191+BL182</f>
        <v>#VALUE!</v>
      </c>
      <c r="BO191" s="118" t="e">
        <f>3*BM191^2+BK182</f>
        <v>#VALUE!</v>
      </c>
      <c r="BP191" s="118" t="e">
        <f t="shared" si="71"/>
        <v>#VALUE!</v>
      </c>
      <c r="BQ191" s="14" t="s">
        <v>246</v>
      </c>
      <c r="BR191" s="124" t="e">
        <f>BL198*BN198^2/(8*BP196)</f>
        <v>#VALUE!</v>
      </c>
      <c r="BT191" s="271" t="e">
        <f>BT188*BV198*BU198/BU198</f>
        <v>#VALUE!</v>
      </c>
      <c r="BU191" s="272"/>
      <c r="BV191" s="118" t="e">
        <f t="shared" si="77"/>
        <v>#VALUE!</v>
      </c>
      <c r="BW191" s="118" t="e">
        <f>BV191^3+BT182*BV191+BU182</f>
        <v>#VALUE!</v>
      </c>
      <c r="BX191" s="118" t="e">
        <f>3*BV191^2+BT182</f>
        <v>#VALUE!</v>
      </c>
      <c r="BY191" s="118" t="e">
        <f t="shared" si="72"/>
        <v>#VALUE!</v>
      </c>
      <c r="BZ191" s="14" t="s">
        <v>246</v>
      </c>
      <c r="CA191" s="124" t="e">
        <f>BU198*BW198^2/(8*BY196)</f>
        <v>#VALUE!</v>
      </c>
    </row>
    <row r="192" spans="36:79" ht="18" hidden="1" customHeight="1" x14ac:dyDescent="0.15">
      <c r="AJ192" s="125"/>
      <c r="AK192" s="126"/>
      <c r="AL192" s="118" t="e">
        <f t="shared" si="73"/>
        <v>#VALUE!</v>
      </c>
      <c r="AM192" s="118" t="e">
        <f>AL192^3+AJ182*AL192+AK182</f>
        <v>#VALUE!</v>
      </c>
      <c r="AN192" s="118" t="e">
        <f>3*AL192^2+AJ182</f>
        <v>#VALUE!</v>
      </c>
      <c r="AO192" s="118" t="e">
        <f t="shared" si="68"/>
        <v>#VALUE!</v>
      </c>
      <c r="AP192" s="116"/>
      <c r="AQ192" s="117"/>
      <c r="AS192" s="125"/>
      <c r="AT192" s="126"/>
      <c r="AU192" s="118" t="e">
        <f t="shared" si="74"/>
        <v>#VALUE!</v>
      </c>
      <c r="AV192" s="118" t="e">
        <f>AU192^3+AS182*AU192+AT182</f>
        <v>#VALUE!</v>
      </c>
      <c r="AW192" s="118" t="e">
        <f>3*AU192^2+AS182</f>
        <v>#VALUE!</v>
      </c>
      <c r="AX192" s="118" t="e">
        <f t="shared" si="69"/>
        <v>#VALUE!</v>
      </c>
      <c r="AY192" s="116"/>
      <c r="AZ192" s="117"/>
      <c r="BB192" s="125"/>
      <c r="BC192" s="126"/>
      <c r="BD192" s="118" t="e">
        <f t="shared" si="75"/>
        <v>#VALUE!</v>
      </c>
      <c r="BE192" s="118" t="e">
        <f>BD192^3+BB182*BD192+BC182</f>
        <v>#VALUE!</v>
      </c>
      <c r="BF192" s="118" t="e">
        <f>3*BD192^2+BB182</f>
        <v>#VALUE!</v>
      </c>
      <c r="BG192" s="118" t="e">
        <f t="shared" si="70"/>
        <v>#VALUE!</v>
      </c>
      <c r="BH192" s="116"/>
      <c r="BI192" s="117"/>
      <c r="BK192" s="125"/>
      <c r="BL192" s="126"/>
      <c r="BM192" s="118" t="e">
        <f t="shared" si="76"/>
        <v>#VALUE!</v>
      </c>
      <c r="BN192" s="118" t="e">
        <f>BM192^3+BK182*BM192+BL182</f>
        <v>#VALUE!</v>
      </c>
      <c r="BO192" s="118" t="e">
        <f>3*BM192^2+BK182</f>
        <v>#VALUE!</v>
      </c>
      <c r="BP192" s="118" t="e">
        <f t="shared" si="71"/>
        <v>#VALUE!</v>
      </c>
      <c r="BQ192" s="116"/>
      <c r="BR192" s="117"/>
      <c r="BT192" s="125"/>
      <c r="BU192" s="126"/>
      <c r="BV192" s="118" t="e">
        <f t="shared" si="77"/>
        <v>#VALUE!</v>
      </c>
      <c r="BW192" s="118" t="e">
        <f>BV192^3+BT182*BV192+BU182</f>
        <v>#VALUE!</v>
      </c>
      <c r="BX192" s="118" t="e">
        <f>3*BV192^2+BT182</f>
        <v>#VALUE!</v>
      </c>
      <c r="BY192" s="118" t="e">
        <f t="shared" si="72"/>
        <v>#VALUE!</v>
      </c>
      <c r="BZ192" s="116"/>
      <c r="CA192" s="117"/>
    </row>
    <row r="193" spans="36:79" ht="18" hidden="1" customHeight="1" x14ac:dyDescent="0.15">
      <c r="AJ193" s="125"/>
      <c r="AK193" s="126"/>
      <c r="AL193" s="118" t="e">
        <f t="shared" si="73"/>
        <v>#VALUE!</v>
      </c>
      <c r="AM193" s="118" t="e">
        <f>AL193^3+AJ182*AL193+AK182</f>
        <v>#VALUE!</v>
      </c>
      <c r="AN193" s="118" t="e">
        <f>3*AL193^2+AJ182</f>
        <v>#VALUE!</v>
      </c>
      <c r="AO193" s="118" t="e">
        <f t="shared" si="68"/>
        <v>#VALUE!</v>
      </c>
      <c r="AP193" s="112" t="s">
        <v>147</v>
      </c>
      <c r="AQ193" s="113">
        <v>60</v>
      </c>
      <c r="AS193" s="125"/>
      <c r="AT193" s="126"/>
      <c r="AU193" s="118" t="e">
        <f t="shared" si="74"/>
        <v>#VALUE!</v>
      </c>
      <c r="AV193" s="118" t="e">
        <f>AU193^3+AS182*AU193+AT182</f>
        <v>#VALUE!</v>
      </c>
      <c r="AW193" s="118" t="e">
        <f>3*AU193^2+AS182</f>
        <v>#VALUE!</v>
      </c>
      <c r="AX193" s="118" t="e">
        <f t="shared" si="69"/>
        <v>#VALUE!</v>
      </c>
      <c r="AY193" s="112" t="s">
        <v>147</v>
      </c>
      <c r="AZ193" s="113">
        <v>60</v>
      </c>
      <c r="BB193" s="125"/>
      <c r="BC193" s="126"/>
      <c r="BD193" s="118" t="e">
        <f t="shared" si="75"/>
        <v>#VALUE!</v>
      </c>
      <c r="BE193" s="118" t="e">
        <f>BD193^3+BB182*BD193+BC182</f>
        <v>#VALUE!</v>
      </c>
      <c r="BF193" s="118" t="e">
        <f>3*BD193^2+BB182</f>
        <v>#VALUE!</v>
      </c>
      <c r="BG193" s="118" t="e">
        <f t="shared" si="70"/>
        <v>#VALUE!</v>
      </c>
      <c r="BH193" s="112" t="s">
        <v>147</v>
      </c>
      <c r="BI193" s="113">
        <v>60</v>
      </c>
      <c r="BK193" s="125"/>
      <c r="BL193" s="126"/>
      <c r="BM193" s="118" t="e">
        <f t="shared" si="76"/>
        <v>#VALUE!</v>
      </c>
      <c r="BN193" s="118" t="e">
        <f>BM193^3+BK182*BM193+BL182</f>
        <v>#VALUE!</v>
      </c>
      <c r="BO193" s="118" t="e">
        <f>3*BM193^2+BK182</f>
        <v>#VALUE!</v>
      </c>
      <c r="BP193" s="118" t="e">
        <f t="shared" si="71"/>
        <v>#VALUE!</v>
      </c>
      <c r="BQ193" s="112" t="s">
        <v>147</v>
      </c>
      <c r="BR193" s="113">
        <v>60</v>
      </c>
      <c r="BT193" s="125"/>
      <c r="BU193" s="126"/>
      <c r="BV193" s="118" t="e">
        <f t="shared" si="77"/>
        <v>#VALUE!</v>
      </c>
      <c r="BW193" s="118" t="e">
        <f>BV193^3+BT182*BV193+BU182</f>
        <v>#VALUE!</v>
      </c>
      <c r="BX193" s="118" t="e">
        <f>3*BV193^2+BT182</f>
        <v>#VALUE!</v>
      </c>
      <c r="BY193" s="118" t="e">
        <f t="shared" si="72"/>
        <v>#VALUE!</v>
      </c>
      <c r="BZ193" s="112" t="s">
        <v>147</v>
      </c>
      <c r="CA193" s="113">
        <v>60</v>
      </c>
    </row>
    <row r="194" spans="36:79" ht="18" hidden="1" customHeight="1" x14ac:dyDescent="0.15">
      <c r="AJ194" s="125"/>
      <c r="AK194" s="126"/>
      <c r="AL194" s="118" t="e">
        <f t="shared" si="73"/>
        <v>#VALUE!</v>
      </c>
      <c r="AM194" s="118" t="e">
        <f>AL194^3+AJ182*AL194+AK182</f>
        <v>#VALUE!</v>
      </c>
      <c r="AN194" s="118" t="e">
        <f>3*AL194^2+AJ182</f>
        <v>#VALUE!</v>
      </c>
      <c r="AO194" s="118" t="e">
        <f t="shared" si="68"/>
        <v>#VALUE!</v>
      </c>
      <c r="AP194" s="128" t="s">
        <v>218</v>
      </c>
      <c r="AQ194" s="32"/>
      <c r="AS194" s="125"/>
      <c r="AT194" s="126"/>
      <c r="AU194" s="118" t="e">
        <f t="shared" si="74"/>
        <v>#VALUE!</v>
      </c>
      <c r="AV194" s="118" t="e">
        <f>AU194^3+AS182*AU194+AT182</f>
        <v>#VALUE!</v>
      </c>
      <c r="AW194" s="118" t="e">
        <f>3*AU194^2+AS182</f>
        <v>#VALUE!</v>
      </c>
      <c r="AX194" s="118" t="e">
        <f t="shared" si="69"/>
        <v>#VALUE!</v>
      </c>
      <c r="AY194" s="128" t="s">
        <v>219</v>
      </c>
      <c r="AZ194" s="32"/>
      <c r="BB194" s="125"/>
      <c r="BC194" s="126"/>
      <c r="BD194" s="118" t="e">
        <f t="shared" si="75"/>
        <v>#VALUE!</v>
      </c>
      <c r="BE194" s="118" t="e">
        <f>BD194^3+BB182*BD194+BC182</f>
        <v>#VALUE!</v>
      </c>
      <c r="BF194" s="118" t="e">
        <f>3*BD194^2+BB182</f>
        <v>#VALUE!</v>
      </c>
      <c r="BG194" s="118" t="e">
        <f t="shared" si="70"/>
        <v>#VALUE!</v>
      </c>
      <c r="BH194" s="128" t="s">
        <v>220</v>
      </c>
      <c r="BI194" s="32"/>
      <c r="BK194" s="125"/>
      <c r="BL194" s="126"/>
      <c r="BM194" s="118" t="e">
        <f t="shared" si="76"/>
        <v>#VALUE!</v>
      </c>
      <c r="BN194" s="118" t="e">
        <f>BM194^3+BK182*BM194+BL182</f>
        <v>#VALUE!</v>
      </c>
      <c r="BO194" s="118" t="e">
        <f>3*BM194^2+BK182</f>
        <v>#VALUE!</v>
      </c>
      <c r="BP194" s="118" t="e">
        <f t="shared" si="71"/>
        <v>#VALUE!</v>
      </c>
      <c r="BQ194" s="128" t="s">
        <v>221</v>
      </c>
      <c r="BR194" s="32"/>
      <c r="BT194" s="125"/>
      <c r="BU194" s="126"/>
      <c r="BV194" s="118" t="e">
        <f t="shared" si="77"/>
        <v>#VALUE!</v>
      </c>
      <c r="BW194" s="118" t="e">
        <f>BV194^3+BT182*BV194+BU182</f>
        <v>#VALUE!</v>
      </c>
      <c r="BX194" s="118" t="e">
        <f>3*BV194^2+BT182</f>
        <v>#VALUE!</v>
      </c>
      <c r="BY194" s="118" t="e">
        <f t="shared" si="72"/>
        <v>#VALUE!</v>
      </c>
      <c r="BZ194" s="128" t="s">
        <v>222</v>
      </c>
      <c r="CA194" s="32"/>
    </row>
    <row r="195" spans="36:79" ht="18" hidden="1" customHeight="1" x14ac:dyDescent="0.15">
      <c r="AJ195" s="125"/>
      <c r="AK195" s="126"/>
      <c r="AL195" s="18" t="e">
        <f t="shared" si="73"/>
        <v>#VALUE!</v>
      </c>
      <c r="AM195" s="18" t="e">
        <f>AL195^3+AJ182*AL195+AK182</f>
        <v>#VALUE!</v>
      </c>
      <c r="AN195" s="18" t="e">
        <f>3*AL195^2+AJ182</f>
        <v>#VALUE!</v>
      </c>
      <c r="AO195" s="18" t="e">
        <f t="shared" si="68"/>
        <v>#VALUE!</v>
      </c>
      <c r="AP195" s="273" t="str">
        <f>M57</f>
        <v>無 風 時　60[℃]</v>
      </c>
      <c r="AQ195" s="274"/>
      <c r="AS195" s="125"/>
      <c r="AT195" s="126"/>
      <c r="AU195" s="18" t="e">
        <f t="shared" si="74"/>
        <v>#VALUE!</v>
      </c>
      <c r="AV195" s="18" t="e">
        <f>AU195^3+AS182*AU195+AT182</f>
        <v>#VALUE!</v>
      </c>
      <c r="AW195" s="18" t="e">
        <f>3*AU195^2+AS182</f>
        <v>#VALUE!</v>
      </c>
      <c r="AX195" s="18" t="e">
        <f t="shared" si="69"/>
        <v>#VALUE!</v>
      </c>
      <c r="AY195" s="273" t="str">
        <f>M57</f>
        <v>無 風 時　60[℃]</v>
      </c>
      <c r="AZ195" s="274"/>
      <c r="BB195" s="125"/>
      <c r="BC195" s="126"/>
      <c r="BD195" s="18" t="e">
        <f t="shared" si="75"/>
        <v>#VALUE!</v>
      </c>
      <c r="BE195" s="18" t="e">
        <f>BD195^3+BB182*BD195+BC182</f>
        <v>#VALUE!</v>
      </c>
      <c r="BF195" s="18" t="e">
        <f>3*BD195^2+BB182</f>
        <v>#VALUE!</v>
      </c>
      <c r="BG195" s="18" t="e">
        <f t="shared" si="70"/>
        <v>#VALUE!</v>
      </c>
      <c r="BH195" s="273" t="str">
        <f>M57</f>
        <v>無 風 時　60[℃]</v>
      </c>
      <c r="BI195" s="274"/>
      <c r="BK195" s="125"/>
      <c r="BL195" s="126"/>
      <c r="BM195" s="18" t="e">
        <f t="shared" si="76"/>
        <v>#VALUE!</v>
      </c>
      <c r="BN195" s="18" t="e">
        <f>BM195^3+BK182*BM195+BL182</f>
        <v>#VALUE!</v>
      </c>
      <c r="BO195" s="18" t="e">
        <f>3*BM195^2+BK182</f>
        <v>#VALUE!</v>
      </c>
      <c r="BP195" s="18" t="e">
        <f t="shared" si="71"/>
        <v>#VALUE!</v>
      </c>
      <c r="BQ195" s="273" t="str">
        <f>M57</f>
        <v>無 風 時　60[℃]</v>
      </c>
      <c r="BR195" s="274"/>
      <c r="BT195" s="125"/>
      <c r="BU195" s="126"/>
      <c r="BV195" s="18" t="e">
        <f t="shared" si="77"/>
        <v>#VALUE!</v>
      </c>
      <c r="BW195" s="18" t="e">
        <f>BV195^3+BT182*BV195+BU182</f>
        <v>#VALUE!</v>
      </c>
      <c r="BX195" s="18" t="e">
        <f>3*BV195^2+BT182</f>
        <v>#VALUE!</v>
      </c>
      <c r="BY195" s="18" t="e">
        <f t="shared" si="72"/>
        <v>#VALUE!</v>
      </c>
      <c r="BZ195" s="273" t="str">
        <f>M57</f>
        <v>無 風 時　60[℃]</v>
      </c>
      <c r="CA195" s="274"/>
    </row>
    <row r="196" spans="36:79" ht="18" hidden="1" customHeight="1" thickBot="1" x14ac:dyDescent="0.2">
      <c r="AJ196" s="125"/>
      <c r="AK196" s="126"/>
      <c r="AL196" s="114" t="e">
        <f t="shared" si="73"/>
        <v>#VALUE!</v>
      </c>
      <c r="AM196" s="115" t="e">
        <f>AL196^3+AJ182*AL196+AK182</f>
        <v>#VALUE!</v>
      </c>
      <c r="AN196" s="115" t="e">
        <f>3*AL196^2+AJ182</f>
        <v>#VALUE!</v>
      </c>
      <c r="AO196" s="115" t="e">
        <f t="shared" si="68"/>
        <v>#VALUE!</v>
      </c>
      <c r="AP196" s="275"/>
      <c r="AQ196" s="276"/>
      <c r="AS196" s="125"/>
      <c r="AT196" s="126"/>
      <c r="AU196" s="114" t="e">
        <f t="shared" si="74"/>
        <v>#VALUE!</v>
      </c>
      <c r="AV196" s="115" t="e">
        <f>AU196^3+AS182*AU196+AT182</f>
        <v>#VALUE!</v>
      </c>
      <c r="AW196" s="115" t="e">
        <f>3*AU196^2+AS182</f>
        <v>#VALUE!</v>
      </c>
      <c r="AX196" s="115" t="e">
        <f t="shared" si="69"/>
        <v>#VALUE!</v>
      </c>
      <c r="AY196" s="275"/>
      <c r="AZ196" s="276"/>
      <c r="BB196" s="125"/>
      <c r="BC196" s="126"/>
      <c r="BD196" s="114" t="e">
        <f t="shared" si="75"/>
        <v>#VALUE!</v>
      </c>
      <c r="BE196" s="115" t="e">
        <f>BD196^3+BB182*BD196+BC182</f>
        <v>#VALUE!</v>
      </c>
      <c r="BF196" s="115" t="e">
        <f>3*BD196^2+BB182</f>
        <v>#VALUE!</v>
      </c>
      <c r="BG196" s="115" t="e">
        <f t="shared" si="70"/>
        <v>#VALUE!</v>
      </c>
      <c r="BH196" s="275"/>
      <c r="BI196" s="276"/>
      <c r="BK196" s="125"/>
      <c r="BL196" s="126"/>
      <c r="BM196" s="114" t="e">
        <f t="shared" si="76"/>
        <v>#VALUE!</v>
      </c>
      <c r="BN196" s="115" t="e">
        <f>BM196^3+BK182*BM196+BL182</f>
        <v>#VALUE!</v>
      </c>
      <c r="BO196" s="115" t="e">
        <f>3*BM196^2+BK182</f>
        <v>#VALUE!</v>
      </c>
      <c r="BP196" s="115" t="e">
        <f t="shared" si="71"/>
        <v>#VALUE!</v>
      </c>
      <c r="BQ196" s="275"/>
      <c r="BR196" s="276"/>
      <c r="BT196" s="125"/>
      <c r="BU196" s="126"/>
      <c r="BV196" s="114" t="e">
        <f t="shared" si="77"/>
        <v>#VALUE!</v>
      </c>
      <c r="BW196" s="115" t="e">
        <f>BV196^3+BT182*BV196+BU182</f>
        <v>#VALUE!</v>
      </c>
      <c r="BX196" s="115" t="e">
        <f>3*BV196^2+BT182</f>
        <v>#VALUE!</v>
      </c>
      <c r="BY196" s="115" t="e">
        <f t="shared" si="72"/>
        <v>#VALUE!</v>
      </c>
      <c r="BZ196" s="275"/>
      <c r="CA196" s="276"/>
    </row>
    <row r="197" spans="36:79" ht="18" hidden="1" customHeight="1" x14ac:dyDescent="0.15">
      <c r="AJ197" s="62"/>
      <c r="AK197" s="12" t="s">
        <v>224</v>
      </c>
      <c r="AL197" s="12" t="s">
        <v>225</v>
      </c>
      <c r="AM197" s="12" t="s">
        <v>226</v>
      </c>
      <c r="AN197" s="12" t="s">
        <v>227</v>
      </c>
      <c r="AO197" s="63" t="s">
        <v>228</v>
      </c>
      <c r="AP197" s="12" t="s">
        <v>229</v>
      </c>
      <c r="AQ197" s="13" t="s">
        <v>230</v>
      </c>
      <c r="AS197" s="62"/>
      <c r="AT197" s="12" t="s">
        <v>224</v>
      </c>
      <c r="AU197" s="12" t="s">
        <v>225</v>
      </c>
      <c r="AV197" s="12" t="s">
        <v>226</v>
      </c>
      <c r="AW197" s="12" t="s">
        <v>227</v>
      </c>
      <c r="AX197" s="63" t="s">
        <v>228</v>
      </c>
      <c r="AY197" s="12" t="s">
        <v>229</v>
      </c>
      <c r="AZ197" s="13" t="s">
        <v>230</v>
      </c>
      <c r="BB197" s="62"/>
      <c r="BC197" s="12" t="s">
        <v>224</v>
      </c>
      <c r="BD197" s="12" t="s">
        <v>225</v>
      </c>
      <c r="BE197" s="12" t="s">
        <v>226</v>
      </c>
      <c r="BF197" s="12" t="s">
        <v>227</v>
      </c>
      <c r="BG197" s="63" t="s">
        <v>228</v>
      </c>
      <c r="BH197" s="12" t="s">
        <v>229</v>
      </c>
      <c r="BI197" s="13" t="s">
        <v>230</v>
      </c>
      <c r="BK197" s="62"/>
      <c r="BL197" s="12" t="s">
        <v>224</v>
      </c>
      <c r="BM197" s="12" t="s">
        <v>225</v>
      </c>
      <c r="BN197" s="12" t="s">
        <v>226</v>
      </c>
      <c r="BO197" s="12" t="s">
        <v>227</v>
      </c>
      <c r="BP197" s="63" t="s">
        <v>228</v>
      </c>
      <c r="BQ197" s="12" t="s">
        <v>229</v>
      </c>
      <c r="BR197" s="13" t="s">
        <v>230</v>
      </c>
      <c r="BT197" s="62"/>
      <c r="BU197" s="12" t="s">
        <v>224</v>
      </c>
      <c r="BV197" s="12" t="s">
        <v>225</v>
      </c>
      <c r="BW197" s="12" t="s">
        <v>226</v>
      </c>
      <c r="BX197" s="12" t="s">
        <v>227</v>
      </c>
      <c r="BY197" s="63" t="s">
        <v>228</v>
      </c>
      <c r="BZ197" s="12" t="s">
        <v>229</v>
      </c>
      <c r="CA197" s="13" t="s">
        <v>230</v>
      </c>
    </row>
    <row r="198" spans="36:79" ht="18" hidden="1" customHeight="1" thickBot="1" x14ac:dyDescent="0.2">
      <c r="AJ198" s="107"/>
      <c r="AK198" s="108" t="e">
        <f>M23+U23</f>
        <v>#VALUE!</v>
      </c>
      <c r="AL198" s="108">
        <f>IF(C33="",L19*(F19/40)^2,C33)</f>
        <v>0</v>
      </c>
      <c r="AM198" s="108">
        <f>F19</f>
        <v>0</v>
      </c>
      <c r="AN198" s="108" t="e">
        <f>AK78*1600/(8*L19)</f>
        <v>#VALUE!</v>
      </c>
      <c r="AO198" s="109">
        <f>V23</f>
        <v>0</v>
      </c>
      <c r="AP198" s="108" t="str">
        <f>L23</f>
        <v/>
      </c>
      <c r="AQ198" s="110">
        <f>W23</f>
        <v>0</v>
      </c>
      <c r="AS198" s="107"/>
      <c r="AT198" s="108" t="str">
        <f>IF(B24="使用電線-2",M24+U24,IF(B25="使用電線-2",M25+U25,IF(B26="使用電線-2",M26+U26,IF(B27="使用電線-2",M27+U27,IF(B28="使用電線-2",M28+U28,IF(B29="使用電線-2",M29+U29,""))))))</f>
        <v/>
      </c>
      <c r="AU198" s="108">
        <f>IF(I33="",L19*(F19/40)^2,I33)</f>
        <v>0</v>
      </c>
      <c r="AV198" s="108">
        <f>F19</f>
        <v>0</v>
      </c>
      <c r="AW198" s="108" t="e">
        <f>AT198*1600/(8*L19)</f>
        <v>#VALUE!</v>
      </c>
      <c r="AX198" s="109" t="str">
        <f>IF(B24="使用電線-2",V24,IF(B25="使用電線-2",V25,IF(B26="使用電線-2",V26,IF(B27="使用電線-2",V27,IF(B28="使用電線-2",V28,IF(B29="使用電線-2",V29,""))))))</f>
        <v/>
      </c>
      <c r="AY198" s="108" t="str">
        <f>IF(B24="使用電線-2",L24,IF(B25="使用電線-2",L25,IF(B26="使用電線-2",L26,IF(B27="使用電線-2",L27,IF(B28="使用電線-2",L28,IF(B29="使用電線-2",L29,""))))))</f>
        <v/>
      </c>
      <c r="AZ198" s="110" t="str">
        <f>IF(B24="使用電線-2",W24,IF(B25="使用電線-2",W25,IF(B26="使用電線-2",W26,IF(B27="使用電線-2",W27,IF(B28="使用電線-2",W28,IF(B29="使用電線-2",W29,""))))))</f>
        <v/>
      </c>
      <c r="BB198" s="107"/>
      <c r="BC198" s="108" t="str">
        <f>IF(B25="使用電線-3",M25+U25,IF(B26="使用電線-3",M26+U26,IF(B27="使用電線-3",M27+U27,IF(B28="使用電線-3",M28+U28,IF(B29="使用電線-3",M29+U29,"")))))</f>
        <v/>
      </c>
      <c r="BD198" s="108">
        <f>IF(N33="",L19*(F19/40)^2,N33)</f>
        <v>0</v>
      </c>
      <c r="BE198" s="108">
        <f>F19</f>
        <v>0</v>
      </c>
      <c r="BF198" s="108" t="e">
        <f>BC198*1600/(8*L19)</f>
        <v>#VALUE!</v>
      </c>
      <c r="BG198" s="109" t="str">
        <f>IF(B25="使用電線-3",V25,IF(B26="使用電線-3",V26,IF(B27="使用電線-3",V27,IF(B28="使用電線-3",V28,IF(B29="使用電線-3",V29,"")))))</f>
        <v/>
      </c>
      <c r="BH198" s="108" t="str">
        <f>IF(B25="使用電線-3",L25,IF(B26="使用電線-3",L26,IF(B27="使用電線-3",L27,IF(B28="使用電線-3",L28,IF(B29="使用電線-3",L29,"")))))</f>
        <v/>
      </c>
      <c r="BI198" s="110" t="str">
        <f>IF(B25="使用電線-3",W25,IF(B26="使用電線-3",W26,IF(B27="使用電線-3",W27,IF(B28="使用電線-3",W28,IF(B29="使用電線-3",W29,"")))))</f>
        <v/>
      </c>
      <c r="BK198" s="107"/>
      <c r="BL198" s="108" t="str">
        <f>IF(B26="使用電線-4",M26+U26,IF(B27="使用電線-4",M27+U27,IF(B28="使用電線-4",M28+U28,IF(B29="使用電線-4",M29+U29,""))))</f>
        <v/>
      </c>
      <c r="BM198" s="108">
        <f>IF(C47="",L19*(F19/40)^2,C47)</f>
        <v>0</v>
      </c>
      <c r="BN198" s="108">
        <f>F19</f>
        <v>0</v>
      </c>
      <c r="BO198" s="127" t="e">
        <f>BL198*1600/(8*L19)</f>
        <v>#VALUE!</v>
      </c>
      <c r="BP198" s="109" t="str">
        <f>IF(B26="使用電線-4",V26,IF(B27="使用電線-4",V27,IF(B28="使用電線-4",V28,IF(B29="使用電線-4",V29,""))))</f>
        <v/>
      </c>
      <c r="BQ198" s="108" t="str">
        <f>IF(B26="使用電線-4",L26,IF(B27="使用電線-4",L27,IF(B28="使用電線-4",L28,IF(B29="使用電線-4",L29,""))))</f>
        <v/>
      </c>
      <c r="BR198" s="110" t="str">
        <f>IF(B26="使用電線-4",W26,IF(B27="使用電線-4",W27,IF(B28="使用電線-4",W28,IF(B29="使用電線-4",W29,""))))</f>
        <v/>
      </c>
      <c r="BT198" s="107"/>
      <c r="BU198" s="108" t="str">
        <f>IF(B27="使用電線-5",M27+U27,IF(B28="使用電線-5",M28+U28,IF(B29="使用電線-5",M29+U29,"")))</f>
        <v/>
      </c>
      <c r="BV198" s="108">
        <f>IF(I47="",L19*(F19/40)^2,I47)</f>
        <v>0</v>
      </c>
      <c r="BW198" s="108">
        <f>F19</f>
        <v>0</v>
      </c>
      <c r="BX198" s="127" t="e">
        <f>BU198*1600/(8*L19)</f>
        <v>#VALUE!</v>
      </c>
      <c r="BY198" s="109" t="str">
        <f>IF(B27="使用電線-5",V27,IF(B28="使用電線-5",V28,IF(B29="使用電線-5",V29,"")))</f>
        <v/>
      </c>
      <c r="BZ198" s="108" t="str">
        <f>IF(B27="使用電線-5",L27,IF(B28="使用電線-5",L28,IF(B29="使用電線-5",L29,"")))</f>
        <v/>
      </c>
      <c r="CA198" s="110" t="str">
        <f>IF(B27="使用電線-5",W27,IF(B28="使用電線-5",W28,IF(B29="使用電線-5",W29,"")))</f>
        <v/>
      </c>
    </row>
    <row r="199" spans="36:79" ht="18" hidden="1" customHeight="1" x14ac:dyDescent="0.15"/>
    <row r="200" spans="36:79" ht="18" hidden="1" customHeight="1" thickBot="1" x14ac:dyDescent="0.2"/>
    <row r="201" spans="36:79" ht="18" hidden="1" customHeight="1" x14ac:dyDescent="0.15">
      <c r="AJ201" s="2" t="s">
        <v>232</v>
      </c>
      <c r="AK201" s="111" t="s">
        <v>233</v>
      </c>
      <c r="AL201" s="12" t="s">
        <v>234</v>
      </c>
      <c r="AM201" s="12" t="s">
        <v>235</v>
      </c>
      <c r="AN201" s="12" t="s">
        <v>236</v>
      </c>
      <c r="AO201" s="12" t="s">
        <v>237</v>
      </c>
      <c r="AP201" s="12" t="s">
        <v>238</v>
      </c>
      <c r="AQ201" s="13" t="s">
        <v>239</v>
      </c>
      <c r="AS201" s="2" t="s">
        <v>232</v>
      </c>
      <c r="AT201" s="111" t="s">
        <v>233</v>
      </c>
      <c r="AU201" s="12" t="s">
        <v>234</v>
      </c>
      <c r="AV201" s="12" t="s">
        <v>235</v>
      </c>
      <c r="AW201" s="12" t="s">
        <v>236</v>
      </c>
      <c r="AX201" s="12" t="s">
        <v>237</v>
      </c>
      <c r="AY201" s="12" t="s">
        <v>238</v>
      </c>
      <c r="AZ201" s="13" t="s">
        <v>239</v>
      </c>
      <c r="BB201" s="2" t="s">
        <v>232</v>
      </c>
      <c r="BC201" s="111" t="s">
        <v>233</v>
      </c>
      <c r="BD201" s="12" t="s">
        <v>234</v>
      </c>
      <c r="BE201" s="12" t="s">
        <v>235</v>
      </c>
      <c r="BF201" s="12" t="s">
        <v>236</v>
      </c>
      <c r="BG201" s="12" t="s">
        <v>237</v>
      </c>
      <c r="BH201" s="12" t="s">
        <v>238</v>
      </c>
      <c r="BI201" s="13" t="s">
        <v>239</v>
      </c>
      <c r="BK201" s="2" t="s">
        <v>232</v>
      </c>
      <c r="BL201" s="111" t="s">
        <v>233</v>
      </c>
      <c r="BM201" s="12" t="s">
        <v>234</v>
      </c>
      <c r="BN201" s="12" t="s">
        <v>235</v>
      </c>
      <c r="BO201" s="12" t="s">
        <v>236</v>
      </c>
      <c r="BP201" s="12" t="s">
        <v>237</v>
      </c>
      <c r="BQ201" s="12" t="s">
        <v>238</v>
      </c>
      <c r="BR201" s="13" t="s">
        <v>239</v>
      </c>
      <c r="BT201" s="2" t="s">
        <v>232</v>
      </c>
      <c r="BU201" s="111" t="s">
        <v>233</v>
      </c>
      <c r="BV201" s="12" t="s">
        <v>234</v>
      </c>
      <c r="BW201" s="12" t="s">
        <v>235</v>
      </c>
      <c r="BX201" s="12" t="s">
        <v>236</v>
      </c>
      <c r="BY201" s="12" t="s">
        <v>237</v>
      </c>
      <c r="BZ201" s="12" t="s">
        <v>238</v>
      </c>
      <c r="CA201" s="13" t="s">
        <v>239</v>
      </c>
    </row>
    <row r="202" spans="36:79" ht="18" hidden="1" customHeight="1" x14ac:dyDescent="0.15">
      <c r="AJ202" s="16" t="e">
        <f>-AJ205+AJ208</f>
        <v>#VALUE!</v>
      </c>
      <c r="AK202" s="17" t="e">
        <f>-AJ211</f>
        <v>#VALUE!</v>
      </c>
      <c r="AL202" s="18" t="e">
        <f>IF(AND(AP205&lt;0,AQ205&lt;0),AQ202*1.2,IF(AND(AP205&gt;0,AQ205&gt;0),AP202*0.8,10))</f>
        <v>#VALUE!</v>
      </c>
      <c r="AM202" s="18" t="e">
        <f>AL202^3+AJ202*AL202+AK202</f>
        <v>#VALUE!</v>
      </c>
      <c r="AN202" s="18" t="e">
        <f>3*AL202^2+AJ202</f>
        <v>#VALUE!</v>
      </c>
      <c r="AO202" s="18" t="e">
        <f t="shared" ref="AO202:AO216" si="78">AL202-AM202/AN202</f>
        <v>#VALUE!</v>
      </c>
      <c r="AP202" s="18" t="e">
        <f>-SQRT(ABS(-4*3*AJ202))/6</f>
        <v>#VALUE!</v>
      </c>
      <c r="AQ202" s="19" t="e">
        <f>SQRT(ABS(-4*3*AJ202))/6</f>
        <v>#VALUE!</v>
      </c>
      <c r="AS202" s="16" t="e">
        <f>-AS205+AS208</f>
        <v>#VALUE!</v>
      </c>
      <c r="AT202" s="17" t="e">
        <f>-AS211</f>
        <v>#VALUE!</v>
      </c>
      <c r="AU202" s="18" t="e">
        <f>IF(AND(AY205&lt;0,AZ205&lt;0),AZ202*1.2,IF(AND(AY205&gt;0,AZ205&gt;0),AY202*0.8,10))</f>
        <v>#VALUE!</v>
      </c>
      <c r="AV202" s="18" t="e">
        <f>AU202^3+AS202*AU202+AT202</f>
        <v>#VALUE!</v>
      </c>
      <c r="AW202" s="18" t="e">
        <f>3*AU202^2+AS202</f>
        <v>#VALUE!</v>
      </c>
      <c r="AX202" s="18" t="e">
        <f t="shared" ref="AX202:AX216" si="79">AU202-AV202/AW202</f>
        <v>#VALUE!</v>
      </c>
      <c r="AY202" s="18" t="e">
        <f>-SQRT(ABS(-4*3*AS202))/6</f>
        <v>#VALUE!</v>
      </c>
      <c r="AZ202" s="19" t="e">
        <f>SQRT(ABS(-4*3*AS202))/6</f>
        <v>#VALUE!</v>
      </c>
      <c r="BB202" s="16" t="e">
        <f>-BB205+BB208</f>
        <v>#VALUE!</v>
      </c>
      <c r="BC202" s="17" t="e">
        <f>-BB211</f>
        <v>#VALUE!</v>
      </c>
      <c r="BD202" s="18" t="e">
        <f>IF(AND(BH205&lt;0,BI205&lt;0),BI202*1.2,IF(AND(BH205&gt;0,BI205&gt;0),BH202*0.8,10))</f>
        <v>#VALUE!</v>
      </c>
      <c r="BE202" s="18" t="e">
        <f>BD202^3+BB202*BD202+BC202</f>
        <v>#VALUE!</v>
      </c>
      <c r="BF202" s="18" t="e">
        <f>3*BD202^2+BB202</f>
        <v>#VALUE!</v>
      </c>
      <c r="BG202" s="18" t="e">
        <f t="shared" ref="BG202:BG216" si="80">BD202-BE202/BF202</f>
        <v>#VALUE!</v>
      </c>
      <c r="BH202" s="18" t="e">
        <f>-SQRT(ABS(-4*3*BB202))/6</f>
        <v>#VALUE!</v>
      </c>
      <c r="BI202" s="19" t="e">
        <f>SQRT(ABS(-4*3*BB202))/6</f>
        <v>#VALUE!</v>
      </c>
      <c r="BK202" s="16" t="e">
        <f>-BK205+BK208</f>
        <v>#VALUE!</v>
      </c>
      <c r="BL202" s="17" t="e">
        <f>-BK211</f>
        <v>#VALUE!</v>
      </c>
      <c r="BM202" s="18" t="e">
        <f>IF(AND(BQ205&lt;0,BR205&lt;0),BR202*1.2,IF(AND(BQ205&gt;0,BR205&gt;0),BQ202*0.8,10))</f>
        <v>#VALUE!</v>
      </c>
      <c r="BN202" s="18" t="e">
        <f>BM202^3+BK202*BM202+BL202</f>
        <v>#VALUE!</v>
      </c>
      <c r="BO202" s="18" t="e">
        <f>3*BM202^2+BK202</f>
        <v>#VALUE!</v>
      </c>
      <c r="BP202" s="18" t="e">
        <f t="shared" ref="BP202:BP216" si="81">BM202-BN202/BO202</f>
        <v>#VALUE!</v>
      </c>
      <c r="BQ202" s="18" t="e">
        <f>-SQRT(ABS(-4*3*BK202))/6</f>
        <v>#VALUE!</v>
      </c>
      <c r="BR202" s="19" t="e">
        <f>SQRT(ABS(-4*3*BK202))/6</f>
        <v>#VALUE!</v>
      </c>
      <c r="BT202" s="16" t="e">
        <f>-BT205+BT208</f>
        <v>#VALUE!</v>
      </c>
      <c r="BU202" s="17" t="e">
        <f>-BT211</f>
        <v>#VALUE!</v>
      </c>
      <c r="BV202" s="18" t="e">
        <f>IF(AND(BZ205&lt;0,CA205&lt;0),CA202*1.2,IF(AND(BZ205&gt;0,CA205&gt;0),BZ202*0.8,10))</f>
        <v>#VALUE!</v>
      </c>
      <c r="BW202" s="18" t="e">
        <f>BV202^3+BT202*BV202+BU202</f>
        <v>#VALUE!</v>
      </c>
      <c r="BX202" s="18" t="e">
        <f>3*BV202^2+BT202</f>
        <v>#VALUE!</v>
      </c>
      <c r="BY202" s="18" t="e">
        <f t="shared" ref="BY202:BY216" si="82">BV202-BW202/BX202</f>
        <v>#VALUE!</v>
      </c>
      <c r="BZ202" s="18" t="e">
        <f>-SQRT(ABS(-4*3*BT202))/6</f>
        <v>#VALUE!</v>
      </c>
      <c r="CA202" s="19" t="e">
        <f>SQRT(ABS(-4*3*BT202))/6</f>
        <v>#VALUE!</v>
      </c>
    </row>
    <row r="203" spans="36:79" ht="18" hidden="1" customHeight="1" x14ac:dyDescent="0.15">
      <c r="AJ203" s="267"/>
      <c r="AK203" s="268"/>
      <c r="AL203" s="18" t="e">
        <f t="shared" ref="AL203:AL216" si="83">AO202</f>
        <v>#VALUE!</v>
      </c>
      <c r="AM203" s="18" t="e">
        <f>AL203^3+AJ202*AL203+AK202</f>
        <v>#VALUE!</v>
      </c>
      <c r="AN203" s="18" t="e">
        <f>3*AL203^2+AJ202</f>
        <v>#VALUE!</v>
      </c>
      <c r="AO203" s="18" t="e">
        <f t="shared" si="78"/>
        <v>#VALUE!</v>
      </c>
      <c r="AP203" s="6"/>
      <c r="AQ203" s="7"/>
      <c r="AS203" s="267"/>
      <c r="AT203" s="268"/>
      <c r="AU203" s="18" t="e">
        <f t="shared" ref="AU203:AU216" si="84">AX202</f>
        <v>#VALUE!</v>
      </c>
      <c r="AV203" s="18" t="e">
        <f>AU203^3+AS202*AU203+AT202</f>
        <v>#VALUE!</v>
      </c>
      <c r="AW203" s="18" t="e">
        <f>3*AU203^2+AS202</f>
        <v>#VALUE!</v>
      </c>
      <c r="AX203" s="18" t="e">
        <f t="shared" si="79"/>
        <v>#VALUE!</v>
      </c>
      <c r="AY203" s="6"/>
      <c r="AZ203" s="7"/>
      <c r="BB203" s="267"/>
      <c r="BC203" s="268"/>
      <c r="BD203" s="18" t="e">
        <f t="shared" ref="BD203:BD216" si="85">BG202</f>
        <v>#VALUE!</v>
      </c>
      <c r="BE203" s="18" t="e">
        <f>BD203^3+BB202*BD203+BC202</f>
        <v>#VALUE!</v>
      </c>
      <c r="BF203" s="18" t="e">
        <f>3*BD203^2+BB202</f>
        <v>#VALUE!</v>
      </c>
      <c r="BG203" s="18" t="e">
        <f t="shared" si="80"/>
        <v>#VALUE!</v>
      </c>
      <c r="BH203" s="6"/>
      <c r="BI203" s="7"/>
      <c r="BK203" s="267"/>
      <c r="BL203" s="268"/>
      <c r="BM203" s="18" t="e">
        <f t="shared" ref="BM203:BM216" si="86">BP202</f>
        <v>#VALUE!</v>
      </c>
      <c r="BN203" s="18" t="e">
        <f>BM203^3+BK202*BM203+BL202</f>
        <v>#VALUE!</v>
      </c>
      <c r="BO203" s="18" t="e">
        <f>3*BM203^2+BK202</f>
        <v>#VALUE!</v>
      </c>
      <c r="BP203" s="18" t="e">
        <f t="shared" si="81"/>
        <v>#VALUE!</v>
      </c>
      <c r="BQ203" s="6"/>
      <c r="BR203" s="7"/>
      <c r="BT203" s="267"/>
      <c r="BU203" s="268"/>
      <c r="BV203" s="18" t="e">
        <f t="shared" ref="BV203:BV216" si="87">BY202</f>
        <v>#VALUE!</v>
      </c>
      <c r="BW203" s="18" t="e">
        <f>BV203^3+BT202*BV203+BU202</f>
        <v>#VALUE!</v>
      </c>
      <c r="BX203" s="18" t="e">
        <f>3*BV203^2+BT202</f>
        <v>#VALUE!</v>
      </c>
      <c r="BY203" s="18" t="e">
        <f t="shared" si="82"/>
        <v>#VALUE!</v>
      </c>
      <c r="BZ203" s="6"/>
      <c r="CA203" s="7"/>
    </row>
    <row r="204" spans="36:79" ht="18" hidden="1" customHeight="1" x14ac:dyDescent="0.15">
      <c r="AJ204" s="269" t="s">
        <v>240</v>
      </c>
      <c r="AK204" s="270"/>
      <c r="AL204" s="18" t="e">
        <f t="shared" si="83"/>
        <v>#VALUE!</v>
      </c>
      <c r="AM204" s="18" t="e">
        <f>AL204^3+AJ202*AL204+AK202</f>
        <v>#VALUE!</v>
      </c>
      <c r="AN204" s="18" t="e">
        <f>3*AL204^2+AJ202</f>
        <v>#VALUE!</v>
      </c>
      <c r="AO204" s="18" t="e">
        <f t="shared" si="78"/>
        <v>#VALUE!</v>
      </c>
      <c r="AP204" s="14" t="s">
        <v>241</v>
      </c>
      <c r="AQ204" s="15" t="s">
        <v>242</v>
      </c>
      <c r="AS204" s="269" t="s">
        <v>240</v>
      </c>
      <c r="AT204" s="270"/>
      <c r="AU204" s="18" t="e">
        <f t="shared" si="84"/>
        <v>#VALUE!</v>
      </c>
      <c r="AV204" s="18" t="e">
        <f>AU204^3+AS202*AU204+AT202</f>
        <v>#VALUE!</v>
      </c>
      <c r="AW204" s="18" t="e">
        <f>3*AU204^2+AS202</f>
        <v>#VALUE!</v>
      </c>
      <c r="AX204" s="18" t="e">
        <f t="shared" si="79"/>
        <v>#VALUE!</v>
      </c>
      <c r="AY204" s="14" t="s">
        <v>241</v>
      </c>
      <c r="AZ204" s="15" t="s">
        <v>242</v>
      </c>
      <c r="BB204" s="269" t="s">
        <v>240</v>
      </c>
      <c r="BC204" s="270"/>
      <c r="BD204" s="18" t="e">
        <f t="shared" si="85"/>
        <v>#VALUE!</v>
      </c>
      <c r="BE204" s="18" t="e">
        <f>BD204^3+BB202*BD204+BC202</f>
        <v>#VALUE!</v>
      </c>
      <c r="BF204" s="18" t="e">
        <f>3*BD204^2+BB202</f>
        <v>#VALUE!</v>
      </c>
      <c r="BG204" s="18" t="e">
        <f t="shared" si="80"/>
        <v>#VALUE!</v>
      </c>
      <c r="BH204" s="14" t="s">
        <v>241</v>
      </c>
      <c r="BI204" s="15" t="s">
        <v>242</v>
      </c>
      <c r="BK204" s="269" t="s">
        <v>240</v>
      </c>
      <c r="BL204" s="270"/>
      <c r="BM204" s="18" t="e">
        <f t="shared" si="86"/>
        <v>#VALUE!</v>
      </c>
      <c r="BN204" s="18" t="e">
        <f>BM204^3+BK202*BM204+BL202</f>
        <v>#VALUE!</v>
      </c>
      <c r="BO204" s="18" t="e">
        <f>3*BM204^2+BK202</f>
        <v>#VALUE!</v>
      </c>
      <c r="BP204" s="18" t="e">
        <f t="shared" si="81"/>
        <v>#VALUE!</v>
      </c>
      <c r="BQ204" s="14" t="s">
        <v>241</v>
      </c>
      <c r="BR204" s="15" t="s">
        <v>242</v>
      </c>
      <c r="BT204" s="269" t="s">
        <v>240</v>
      </c>
      <c r="BU204" s="270"/>
      <c r="BV204" s="18" t="e">
        <f t="shared" si="87"/>
        <v>#VALUE!</v>
      </c>
      <c r="BW204" s="18" t="e">
        <f>BV204^3+BT202*BV204+BU202</f>
        <v>#VALUE!</v>
      </c>
      <c r="BX204" s="18" t="e">
        <f>3*BV204^2+BT202</f>
        <v>#VALUE!</v>
      </c>
      <c r="BY204" s="18" t="e">
        <f t="shared" si="82"/>
        <v>#VALUE!</v>
      </c>
      <c r="BZ204" s="14" t="s">
        <v>241</v>
      </c>
      <c r="CA204" s="15" t="s">
        <v>242</v>
      </c>
    </row>
    <row r="205" spans="36:79" ht="18" hidden="1" customHeight="1" x14ac:dyDescent="0.15">
      <c r="AJ205" s="269">
        <f>(AL218^2)+3*(AM218^2)*AQ218*(AQ213-15)/(8*10^7)</f>
        <v>0</v>
      </c>
      <c r="AK205" s="270"/>
      <c r="AL205" s="18" t="e">
        <f t="shared" si="83"/>
        <v>#VALUE!</v>
      </c>
      <c r="AM205" s="18" t="e">
        <f>AL205^3+AJ202*AL205+AK202</f>
        <v>#VALUE!</v>
      </c>
      <c r="AN205" s="18" t="e">
        <f>3*AL205^2+AJ202</f>
        <v>#VALUE!</v>
      </c>
      <c r="AO205" s="18" t="e">
        <f t="shared" si="78"/>
        <v>#VALUE!</v>
      </c>
      <c r="AP205" s="18" t="e">
        <f>AP202^3+AJ202*AP202+AK202</f>
        <v>#VALUE!</v>
      </c>
      <c r="AQ205" s="19" t="e">
        <f>AQ202^3+AJ202*AQ202+AK202</f>
        <v>#VALUE!</v>
      </c>
      <c r="AS205" s="269" t="e">
        <f>(AU218^2)+3*(AV218^2)*AZ218*(AZ213-15)/(8*10^7)</f>
        <v>#VALUE!</v>
      </c>
      <c r="AT205" s="270"/>
      <c r="AU205" s="18" t="e">
        <f t="shared" si="84"/>
        <v>#VALUE!</v>
      </c>
      <c r="AV205" s="18" t="e">
        <f>AU205^3+AS202*AU205+AT202</f>
        <v>#VALUE!</v>
      </c>
      <c r="AW205" s="18" t="e">
        <f>3*AU205^2+AS202</f>
        <v>#VALUE!</v>
      </c>
      <c r="AX205" s="18" t="e">
        <f t="shared" si="79"/>
        <v>#VALUE!</v>
      </c>
      <c r="AY205" s="18" t="e">
        <f>AY202^3+AS202*AY202+AT202</f>
        <v>#VALUE!</v>
      </c>
      <c r="AZ205" s="19" t="e">
        <f>AZ202^3+AS202*AZ202+AT202</f>
        <v>#VALUE!</v>
      </c>
      <c r="BB205" s="269" t="e">
        <f>(BD218^2)+3*(BE218^2)*BI218*(BI213-15)/(8*10^7)</f>
        <v>#VALUE!</v>
      </c>
      <c r="BC205" s="270"/>
      <c r="BD205" s="18" t="e">
        <f t="shared" si="85"/>
        <v>#VALUE!</v>
      </c>
      <c r="BE205" s="18" t="e">
        <f>BD205^3+BB202*BD205+BC202</f>
        <v>#VALUE!</v>
      </c>
      <c r="BF205" s="18" t="e">
        <f>3*BD205^2+BB202</f>
        <v>#VALUE!</v>
      </c>
      <c r="BG205" s="18" t="e">
        <f t="shared" si="80"/>
        <v>#VALUE!</v>
      </c>
      <c r="BH205" s="18" t="e">
        <f>BH202^3+BB202*BH202+BC202</f>
        <v>#VALUE!</v>
      </c>
      <c r="BI205" s="19" t="e">
        <f>BI202^3+BB202*BI202+BC202</f>
        <v>#VALUE!</v>
      </c>
      <c r="BK205" s="269" t="e">
        <f>(BM218^2)+3*(BN218^2)*BR218*(BR213-15)/(8*10^7)</f>
        <v>#VALUE!</v>
      </c>
      <c r="BL205" s="270"/>
      <c r="BM205" s="18" t="e">
        <f t="shared" si="86"/>
        <v>#VALUE!</v>
      </c>
      <c r="BN205" s="18" t="e">
        <f>BM205^3+BK202*BM205+BL202</f>
        <v>#VALUE!</v>
      </c>
      <c r="BO205" s="18" t="e">
        <f>3*BM205^2+BK202</f>
        <v>#VALUE!</v>
      </c>
      <c r="BP205" s="18" t="e">
        <f t="shared" si="81"/>
        <v>#VALUE!</v>
      </c>
      <c r="BQ205" s="18" t="e">
        <f>BQ202^3+BK202*BQ202+BL202</f>
        <v>#VALUE!</v>
      </c>
      <c r="BR205" s="19" t="e">
        <f>BR202^3+BK202*BR202+BL202</f>
        <v>#VALUE!</v>
      </c>
      <c r="BT205" s="269" t="e">
        <f>(BV218^2)+3*(BW218^2)*CA218*(CA213-15)/(8*10^7)</f>
        <v>#VALUE!</v>
      </c>
      <c r="BU205" s="270"/>
      <c r="BV205" s="18" t="e">
        <f t="shared" si="87"/>
        <v>#VALUE!</v>
      </c>
      <c r="BW205" s="18" t="e">
        <f>BV205^3+BT202*BV205+BU202</f>
        <v>#VALUE!</v>
      </c>
      <c r="BX205" s="18" t="e">
        <f>3*BV205^2+BT202</f>
        <v>#VALUE!</v>
      </c>
      <c r="BY205" s="18" t="e">
        <f t="shared" si="82"/>
        <v>#VALUE!</v>
      </c>
      <c r="BZ205" s="18" t="e">
        <f>BZ202^3+BT202*BZ202+BU202</f>
        <v>#VALUE!</v>
      </c>
      <c r="CA205" s="19" t="e">
        <f>CA202^3+BT202*CA202+BU202</f>
        <v>#VALUE!</v>
      </c>
    </row>
    <row r="206" spans="36:79" ht="18" hidden="1" customHeight="1" x14ac:dyDescent="0.15">
      <c r="AJ206" s="267"/>
      <c r="AK206" s="268"/>
      <c r="AL206" s="18" t="e">
        <f t="shared" si="83"/>
        <v>#VALUE!</v>
      </c>
      <c r="AM206" s="18" t="e">
        <f>AL206^3+AJ202*AL206+AK202</f>
        <v>#VALUE!</v>
      </c>
      <c r="AN206" s="18" t="e">
        <f>3*AL206^2+AJ202</f>
        <v>#VALUE!</v>
      </c>
      <c r="AO206" s="18" t="e">
        <f t="shared" si="78"/>
        <v>#VALUE!</v>
      </c>
      <c r="AP206" s="31"/>
      <c r="AQ206" s="32"/>
      <c r="AS206" s="267"/>
      <c r="AT206" s="268"/>
      <c r="AU206" s="18" t="e">
        <f t="shared" si="84"/>
        <v>#VALUE!</v>
      </c>
      <c r="AV206" s="18" t="e">
        <f>AU206^3+AS202*AU206+AT202</f>
        <v>#VALUE!</v>
      </c>
      <c r="AW206" s="18" t="e">
        <f>3*AU206^2+AS202</f>
        <v>#VALUE!</v>
      </c>
      <c r="AX206" s="18" t="e">
        <f t="shared" si="79"/>
        <v>#VALUE!</v>
      </c>
      <c r="AY206" s="31"/>
      <c r="AZ206" s="32"/>
      <c r="BB206" s="267"/>
      <c r="BC206" s="268"/>
      <c r="BD206" s="18" t="e">
        <f t="shared" si="85"/>
        <v>#VALUE!</v>
      </c>
      <c r="BE206" s="18" t="e">
        <f>BD206^3+BB202*BD206+BC202</f>
        <v>#VALUE!</v>
      </c>
      <c r="BF206" s="18" t="e">
        <f>3*BD206^2+BB202</f>
        <v>#VALUE!</v>
      </c>
      <c r="BG206" s="18" t="e">
        <f t="shared" si="80"/>
        <v>#VALUE!</v>
      </c>
      <c r="BH206" s="31"/>
      <c r="BI206" s="32"/>
      <c r="BK206" s="267"/>
      <c r="BL206" s="268"/>
      <c r="BM206" s="18" t="e">
        <f t="shared" si="86"/>
        <v>#VALUE!</v>
      </c>
      <c r="BN206" s="18" t="e">
        <f>BM206^3+BK202*BM206+BL202</f>
        <v>#VALUE!</v>
      </c>
      <c r="BO206" s="18" t="e">
        <f>3*BM206^2+BK202</f>
        <v>#VALUE!</v>
      </c>
      <c r="BP206" s="18" t="e">
        <f t="shared" si="81"/>
        <v>#VALUE!</v>
      </c>
      <c r="BQ206" s="31"/>
      <c r="BR206" s="32"/>
      <c r="BT206" s="267"/>
      <c r="BU206" s="268"/>
      <c r="BV206" s="18" t="e">
        <f t="shared" si="87"/>
        <v>#VALUE!</v>
      </c>
      <c r="BW206" s="18" t="e">
        <f>BV206^3+BT202*BV206+BU202</f>
        <v>#VALUE!</v>
      </c>
      <c r="BX206" s="18" t="e">
        <f>3*BV206^2+BT202</f>
        <v>#VALUE!</v>
      </c>
      <c r="BY206" s="18" t="e">
        <f t="shared" si="82"/>
        <v>#VALUE!</v>
      </c>
      <c r="BZ206" s="31"/>
      <c r="CA206" s="32"/>
    </row>
    <row r="207" spans="36:79" ht="18" hidden="1" customHeight="1" x14ac:dyDescent="0.15">
      <c r="AJ207" s="269" t="s">
        <v>243</v>
      </c>
      <c r="AK207" s="270"/>
      <c r="AL207" s="18" t="e">
        <f t="shared" si="83"/>
        <v>#VALUE!</v>
      </c>
      <c r="AM207" s="18" t="e">
        <f>AL207^3+AJ202*AL207+AK202</f>
        <v>#VALUE!</v>
      </c>
      <c r="AN207" s="18" t="e">
        <f>3*AL207^2+AJ202</f>
        <v>#VALUE!</v>
      </c>
      <c r="AO207" s="18" t="e">
        <f t="shared" si="78"/>
        <v>#VALUE!</v>
      </c>
      <c r="AP207" s="31"/>
      <c r="AQ207" s="32"/>
      <c r="AS207" s="269" t="s">
        <v>243</v>
      </c>
      <c r="AT207" s="270"/>
      <c r="AU207" s="18" t="e">
        <f t="shared" si="84"/>
        <v>#VALUE!</v>
      </c>
      <c r="AV207" s="18" t="e">
        <f>AU207^3+AS202*AU207+AT202</f>
        <v>#VALUE!</v>
      </c>
      <c r="AW207" s="18" t="e">
        <f>3*AU207^2+AS202</f>
        <v>#VALUE!</v>
      </c>
      <c r="AX207" s="18" t="e">
        <f t="shared" si="79"/>
        <v>#VALUE!</v>
      </c>
      <c r="AY207" s="31"/>
      <c r="AZ207" s="32"/>
      <c r="BB207" s="269" t="s">
        <v>243</v>
      </c>
      <c r="BC207" s="270"/>
      <c r="BD207" s="18" t="e">
        <f t="shared" si="85"/>
        <v>#VALUE!</v>
      </c>
      <c r="BE207" s="18" t="e">
        <f>BD207^3+BB202*BD207+BC202</f>
        <v>#VALUE!</v>
      </c>
      <c r="BF207" s="18" t="e">
        <f>3*BD207^2+BB202</f>
        <v>#VALUE!</v>
      </c>
      <c r="BG207" s="18" t="e">
        <f t="shared" si="80"/>
        <v>#VALUE!</v>
      </c>
      <c r="BH207" s="31"/>
      <c r="BI207" s="32"/>
      <c r="BK207" s="269" t="s">
        <v>243</v>
      </c>
      <c r="BL207" s="270"/>
      <c r="BM207" s="18" t="e">
        <f t="shared" si="86"/>
        <v>#VALUE!</v>
      </c>
      <c r="BN207" s="18" t="e">
        <f>BM207^3+BK202*BM207+BL202</f>
        <v>#VALUE!</v>
      </c>
      <c r="BO207" s="18" t="e">
        <f>3*BM207^2+BK202</f>
        <v>#VALUE!</v>
      </c>
      <c r="BP207" s="18" t="e">
        <f t="shared" si="81"/>
        <v>#VALUE!</v>
      </c>
      <c r="BQ207" s="31"/>
      <c r="BR207" s="32"/>
      <c r="BT207" s="269" t="s">
        <v>243</v>
      </c>
      <c r="BU207" s="270"/>
      <c r="BV207" s="18" t="e">
        <f t="shared" si="87"/>
        <v>#VALUE!</v>
      </c>
      <c r="BW207" s="18" t="e">
        <f>BV207^3+BT202*BV207+BU202</f>
        <v>#VALUE!</v>
      </c>
      <c r="BX207" s="18" t="e">
        <f>3*BV207^2+BT202</f>
        <v>#VALUE!</v>
      </c>
      <c r="BY207" s="18" t="e">
        <f t="shared" si="82"/>
        <v>#VALUE!</v>
      </c>
      <c r="BZ207" s="31"/>
      <c r="CA207" s="32"/>
    </row>
    <row r="208" spans="36:79" ht="18" hidden="1" customHeight="1" x14ac:dyDescent="0.15">
      <c r="AJ208" s="277" t="e">
        <f>3*(AM218^2)*AN218/(8*AO218*AP218)</f>
        <v>#VALUE!</v>
      </c>
      <c r="AK208" s="278"/>
      <c r="AL208" s="118" t="e">
        <f t="shared" si="83"/>
        <v>#VALUE!</v>
      </c>
      <c r="AM208" s="118" t="e">
        <f>AL208^3+AJ202*AL208+AK202</f>
        <v>#VALUE!</v>
      </c>
      <c r="AN208" s="118" t="e">
        <f>3*AL208^2+AJ202</f>
        <v>#VALUE!</v>
      </c>
      <c r="AO208" s="118" t="e">
        <f t="shared" si="78"/>
        <v>#VALUE!</v>
      </c>
      <c r="AP208" s="116"/>
      <c r="AQ208" s="117"/>
      <c r="AS208" s="277" t="e">
        <f>3*(AV218^2)*AW218/(8*AX218*AY218)</f>
        <v>#VALUE!</v>
      </c>
      <c r="AT208" s="278"/>
      <c r="AU208" s="118" t="e">
        <f t="shared" si="84"/>
        <v>#VALUE!</v>
      </c>
      <c r="AV208" s="118" t="e">
        <f>AU208^3+AS202*AU208+AT202</f>
        <v>#VALUE!</v>
      </c>
      <c r="AW208" s="118" t="e">
        <f>3*AU208^2+AS202</f>
        <v>#VALUE!</v>
      </c>
      <c r="AX208" s="118" t="e">
        <f t="shared" si="79"/>
        <v>#VALUE!</v>
      </c>
      <c r="AY208" s="116"/>
      <c r="AZ208" s="117"/>
      <c r="BB208" s="277" t="e">
        <f>3*(BE218^2)*BF218/(8*BG218*BH218)</f>
        <v>#VALUE!</v>
      </c>
      <c r="BC208" s="278"/>
      <c r="BD208" s="118" t="e">
        <f t="shared" si="85"/>
        <v>#VALUE!</v>
      </c>
      <c r="BE208" s="118" t="e">
        <f>BD208^3+BB202*BD208+BC202</f>
        <v>#VALUE!</v>
      </c>
      <c r="BF208" s="118" t="e">
        <f>3*BD208^2+BB202</f>
        <v>#VALUE!</v>
      </c>
      <c r="BG208" s="118" t="e">
        <f t="shared" si="80"/>
        <v>#VALUE!</v>
      </c>
      <c r="BH208" s="116"/>
      <c r="BI208" s="117"/>
      <c r="BK208" s="277" t="e">
        <f>3*(BN218^2)*BO218/(8*BP218*BQ218)</f>
        <v>#VALUE!</v>
      </c>
      <c r="BL208" s="278"/>
      <c r="BM208" s="118" t="e">
        <f t="shared" si="86"/>
        <v>#VALUE!</v>
      </c>
      <c r="BN208" s="118" t="e">
        <f>BM208^3+BK202*BM208+BL202</f>
        <v>#VALUE!</v>
      </c>
      <c r="BO208" s="118" t="e">
        <f>3*BM208^2+BK202</f>
        <v>#VALUE!</v>
      </c>
      <c r="BP208" s="118" t="e">
        <f t="shared" si="81"/>
        <v>#VALUE!</v>
      </c>
      <c r="BQ208" s="116"/>
      <c r="BR208" s="117"/>
      <c r="BT208" s="277" t="e">
        <f>3*(BW218^2)*BX218/(8*BY218*BZ218)</f>
        <v>#VALUE!</v>
      </c>
      <c r="BU208" s="278"/>
      <c r="BV208" s="118" t="e">
        <f t="shared" si="87"/>
        <v>#VALUE!</v>
      </c>
      <c r="BW208" s="118" t="e">
        <f>BV208^3+BT202*BV208+BU202</f>
        <v>#VALUE!</v>
      </c>
      <c r="BX208" s="118" t="e">
        <f>3*BV208^2+BT202</f>
        <v>#VALUE!</v>
      </c>
      <c r="BY208" s="118" t="e">
        <f t="shared" si="82"/>
        <v>#VALUE!</v>
      </c>
      <c r="BZ208" s="116"/>
      <c r="CA208" s="117"/>
    </row>
    <row r="209" spans="36:79" ht="18" hidden="1" customHeight="1" x14ac:dyDescent="0.15">
      <c r="AJ209" s="121"/>
      <c r="AK209" s="122"/>
      <c r="AL209" s="118" t="e">
        <f t="shared" si="83"/>
        <v>#VALUE!</v>
      </c>
      <c r="AM209" s="118" t="e">
        <f>AL209^3+AJ202*AL209+AK202</f>
        <v>#VALUE!</v>
      </c>
      <c r="AN209" s="118" t="e">
        <f>3*AL209^2+AJ202</f>
        <v>#VALUE!</v>
      </c>
      <c r="AO209" s="118" t="e">
        <f t="shared" si="78"/>
        <v>#VALUE!</v>
      </c>
      <c r="AP209" s="119"/>
      <c r="AQ209" s="120"/>
      <c r="AS209" s="121"/>
      <c r="AT209" s="122"/>
      <c r="AU209" s="118" t="e">
        <f t="shared" si="84"/>
        <v>#VALUE!</v>
      </c>
      <c r="AV209" s="118" t="e">
        <f>AU209^3+AS202*AU209+AT202</f>
        <v>#VALUE!</v>
      </c>
      <c r="AW209" s="118" t="e">
        <f>3*AU209^2+AS202</f>
        <v>#VALUE!</v>
      </c>
      <c r="AX209" s="118" t="e">
        <f t="shared" si="79"/>
        <v>#VALUE!</v>
      </c>
      <c r="AY209" s="119"/>
      <c r="AZ209" s="120"/>
      <c r="BB209" s="121"/>
      <c r="BC209" s="122"/>
      <c r="BD209" s="118" t="e">
        <f t="shared" si="85"/>
        <v>#VALUE!</v>
      </c>
      <c r="BE209" s="118" t="e">
        <f>BD209^3+BB202*BD209+BC202</f>
        <v>#VALUE!</v>
      </c>
      <c r="BF209" s="118" t="e">
        <f>3*BD209^2+BB202</f>
        <v>#VALUE!</v>
      </c>
      <c r="BG209" s="118" t="e">
        <f t="shared" si="80"/>
        <v>#VALUE!</v>
      </c>
      <c r="BH209" s="119"/>
      <c r="BI209" s="120"/>
      <c r="BK209" s="121"/>
      <c r="BL209" s="122"/>
      <c r="BM209" s="118" t="e">
        <f t="shared" si="86"/>
        <v>#VALUE!</v>
      </c>
      <c r="BN209" s="118" t="e">
        <f>BM209^3+BK202*BM209+BL202</f>
        <v>#VALUE!</v>
      </c>
      <c r="BO209" s="118" t="e">
        <f>3*BM209^2+BK202</f>
        <v>#VALUE!</v>
      </c>
      <c r="BP209" s="118" t="e">
        <f t="shared" si="81"/>
        <v>#VALUE!</v>
      </c>
      <c r="BQ209" s="119"/>
      <c r="BR209" s="120"/>
      <c r="BT209" s="121"/>
      <c r="BU209" s="122"/>
      <c r="BV209" s="118" t="e">
        <f t="shared" si="87"/>
        <v>#VALUE!</v>
      </c>
      <c r="BW209" s="118" t="e">
        <f>BV209^3+BT202*BV209+BU202</f>
        <v>#VALUE!</v>
      </c>
      <c r="BX209" s="118" t="e">
        <f>3*BV209^2+BT202</f>
        <v>#VALUE!</v>
      </c>
      <c r="BY209" s="118" t="e">
        <f t="shared" si="82"/>
        <v>#VALUE!</v>
      </c>
      <c r="BZ209" s="119"/>
      <c r="CA209" s="120"/>
    </row>
    <row r="210" spans="36:79" ht="18" hidden="1" customHeight="1" x14ac:dyDescent="0.15">
      <c r="AJ210" s="269" t="s">
        <v>244</v>
      </c>
      <c r="AK210" s="270"/>
      <c r="AL210" s="118" t="e">
        <f t="shared" si="83"/>
        <v>#VALUE!</v>
      </c>
      <c r="AM210" s="118" t="e">
        <f>AL210^3+AJ202*AL210+AK202</f>
        <v>#VALUE!</v>
      </c>
      <c r="AN210" s="118" t="e">
        <f>3*AL210^2+AJ202</f>
        <v>#VALUE!</v>
      </c>
      <c r="AO210" s="118" t="e">
        <f t="shared" si="78"/>
        <v>#VALUE!</v>
      </c>
      <c r="AP210" s="14" t="s">
        <v>245</v>
      </c>
      <c r="AQ210" s="123" t="e">
        <f>AO216</f>
        <v>#VALUE!</v>
      </c>
      <c r="AS210" s="269" t="s">
        <v>244</v>
      </c>
      <c r="AT210" s="270"/>
      <c r="AU210" s="118" t="e">
        <f t="shared" si="84"/>
        <v>#VALUE!</v>
      </c>
      <c r="AV210" s="118" t="e">
        <f>AU210^3+AS202*AU210+AT202</f>
        <v>#VALUE!</v>
      </c>
      <c r="AW210" s="118" t="e">
        <f>3*AU210^2+AS202</f>
        <v>#VALUE!</v>
      </c>
      <c r="AX210" s="118" t="e">
        <f t="shared" si="79"/>
        <v>#VALUE!</v>
      </c>
      <c r="AY210" s="14" t="s">
        <v>245</v>
      </c>
      <c r="AZ210" s="123" t="e">
        <f>AX216</f>
        <v>#VALUE!</v>
      </c>
      <c r="BB210" s="269" t="s">
        <v>244</v>
      </c>
      <c r="BC210" s="270"/>
      <c r="BD210" s="118" t="e">
        <f t="shared" si="85"/>
        <v>#VALUE!</v>
      </c>
      <c r="BE210" s="118" t="e">
        <f>BD210^3+BB202*BD210+BC202</f>
        <v>#VALUE!</v>
      </c>
      <c r="BF210" s="118" t="e">
        <f>3*BD210^2+BB202</f>
        <v>#VALUE!</v>
      </c>
      <c r="BG210" s="118" t="e">
        <f t="shared" si="80"/>
        <v>#VALUE!</v>
      </c>
      <c r="BH210" s="14" t="s">
        <v>245</v>
      </c>
      <c r="BI210" s="123" t="e">
        <f>BG216</f>
        <v>#VALUE!</v>
      </c>
      <c r="BK210" s="269" t="s">
        <v>244</v>
      </c>
      <c r="BL210" s="270"/>
      <c r="BM210" s="118" t="e">
        <f t="shared" si="86"/>
        <v>#VALUE!</v>
      </c>
      <c r="BN210" s="118" t="e">
        <f>BM210^3+BK202*BM210+BL202</f>
        <v>#VALUE!</v>
      </c>
      <c r="BO210" s="118" t="e">
        <f>3*BM210^2+BK202</f>
        <v>#VALUE!</v>
      </c>
      <c r="BP210" s="118" t="e">
        <f t="shared" si="81"/>
        <v>#VALUE!</v>
      </c>
      <c r="BQ210" s="14" t="s">
        <v>245</v>
      </c>
      <c r="BR210" s="123" t="e">
        <f>BP216</f>
        <v>#VALUE!</v>
      </c>
      <c r="BT210" s="269" t="s">
        <v>244</v>
      </c>
      <c r="BU210" s="270"/>
      <c r="BV210" s="118" t="e">
        <f t="shared" si="87"/>
        <v>#VALUE!</v>
      </c>
      <c r="BW210" s="118" t="e">
        <f>BV210^3+BT202*BV210+BU202</f>
        <v>#VALUE!</v>
      </c>
      <c r="BX210" s="118" t="e">
        <f>3*BV210^2+BT202</f>
        <v>#VALUE!</v>
      </c>
      <c r="BY210" s="118" t="e">
        <f t="shared" si="82"/>
        <v>#VALUE!</v>
      </c>
      <c r="BZ210" s="14" t="s">
        <v>245</v>
      </c>
      <c r="CA210" s="123" t="e">
        <f>BY216</f>
        <v>#VALUE!</v>
      </c>
    </row>
    <row r="211" spans="36:79" ht="18" hidden="1" customHeight="1" x14ac:dyDescent="0.15">
      <c r="AJ211" s="271" t="e">
        <f>AJ208*AL218*AK218/AK218</f>
        <v>#VALUE!</v>
      </c>
      <c r="AK211" s="272"/>
      <c r="AL211" s="118" t="e">
        <f t="shared" si="83"/>
        <v>#VALUE!</v>
      </c>
      <c r="AM211" s="118" t="e">
        <f>AL211^3+AJ202*AL211+AK202</f>
        <v>#VALUE!</v>
      </c>
      <c r="AN211" s="118" t="e">
        <f>3*AL211^2+AJ202</f>
        <v>#VALUE!</v>
      </c>
      <c r="AO211" s="118" t="e">
        <f t="shared" si="78"/>
        <v>#VALUE!</v>
      </c>
      <c r="AP211" s="14" t="s">
        <v>246</v>
      </c>
      <c r="AQ211" s="124" t="e">
        <f>IF(AQ220=1,0,AK218*AM218^2/(8*AO216))</f>
        <v>#VALUE!</v>
      </c>
      <c r="AS211" s="271" t="e">
        <f>AS208*AU218*AT218/AT218</f>
        <v>#VALUE!</v>
      </c>
      <c r="AT211" s="272"/>
      <c r="AU211" s="118" t="e">
        <f t="shared" si="84"/>
        <v>#VALUE!</v>
      </c>
      <c r="AV211" s="118" t="e">
        <f>AU211^3+AS202*AU211+AT202</f>
        <v>#VALUE!</v>
      </c>
      <c r="AW211" s="118" t="e">
        <f>3*AU211^2+AS202</f>
        <v>#VALUE!</v>
      </c>
      <c r="AX211" s="118" t="e">
        <f t="shared" si="79"/>
        <v>#VALUE!</v>
      </c>
      <c r="AY211" s="14" t="s">
        <v>246</v>
      </c>
      <c r="AZ211" s="124">
        <f>IF(OR(B24="",B24="---〃---"),0,IF(OR(AZ220=1,AZ221=1,AZ222=1,AZ223=1,AZ224=1,AZ225=1),0,AT218*AV218^2/(8*AX216)))</f>
        <v>0</v>
      </c>
      <c r="BB211" s="271" t="e">
        <f>BB208*BD218*BC218/BC218</f>
        <v>#VALUE!</v>
      </c>
      <c r="BC211" s="272"/>
      <c r="BD211" s="118" t="e">
        <f t="shared" si="85"/>
        <v>#VALUE!</v>
      </c>
      <c r="BE211" s="118" t="e">
        <f>BD211^3+BB202*BD211+BC202</f>
        <v>#VALUE!</v>
      </c>
      <c r="BF211" s="118" t="e">
        <f>3*BD211^2+BB202</f>
        <v>#VALUE!</v>
      </c>
      <c r="BG211" s="118" t="e">
        <f t="shared" si="80"/>
        <v>#VALUE!</v>
      </c>
      <c r="BH211" s="14" t="s">
        <v>246</v>
      </c>
      <c r="BI211" s="124">
        <f>IF(OR(B25="",B25="---〃---"),0,IF(OR(BI220=1,BI221=1,BI222=1,BI223=1,BI224=1),0,BC218*BE218^2/(8*BG216)))</f>
        <v>0</v>
      </c>
      <c r="BK211" s="271" t="e">
        <f>BK208*BM218*BL218/BL218</f>
        <v>#VALUE!</v>
      </c>
      <c r="BL211" s="272"/>
      <c r="BM211" s="118" t="e">
        <f t="shared" si="86"/>
        <v>#VALUE!</v>
      </c>
      <c r="BN211" s="118" t="e">
        <f>BM211^3+BK202*BM211+BL202</f>
        <v>#VALUE!</v>
      </c>
      <c r="BO211" s="118" t="e">
        <f>3*BM211^2+BK202</f>
        <v>#VALUE!</v>
      </c>
      <c r="BP211" s="118" t="e">
        <f t="shared" si="81"/>
        <v>#VALUE!</v>
      </c>
      <c r="BQ211" s="14" t="s">
        <v>246</v>
      </c>
      <c r="BR211" s="124">
        <f>IF(OR(B26="",B26="---〃---"),0,IF(OR(BR220=1,BR221=1,BR222=1,BR223=1),0,BL218*BN218^2/(8*BP216)))</f>
        <v>0</v>
      </c>
      <c r="BT211" s="271" t="e">
        <f>BT208*BV218*BU218/BU218</f>
        <v>#VALUE!</v>
      </c>
      <c r="BU211" s="272"/>
      <c r="BV211" s="118" t="e">
        <f t="shared" si="87"/>
        <v>#VALUE!</v>
      </c>
      <c r="BW211" s="118" t="e">
        <f>BV211^3+BT202*BV211+BU202</f>
        <v>#VALUE!</v>
      </c>
      <c r="BX211" s="118" t="e">
        <f>3*BV211^2+BT202</f>
        <v>#VALUE!</v>
      </c>
      <c r="BY211" s="118" t="e">
        <f t="shared" si="82"/>
        <v>#VALUE!</v>
      </c>
      <c r="BZ211" s="14" t="s">
        <v>246</v>
      </c>
      <c r="CA211" s="124">
        <f>IF(OR(B27="",B27="---〃---"),0,IF(OR(CA220=1,CA221=1,CA222=1),0,BU218*BW218^2/(8*BY216)))</f>
        <v>0</v>
      </c>
    </row>
    <row r="212" spans="36:79" ht="18" hidden="1" customHeight="1" x14ac:dyDescent="0.15">
      <c r="AJ212" s="125"/>
      <c r="AK212" s="126"/>
      <c r="AL212" s="118" t="e">
        <f t="shared" si="83"/>
        <v>#VALUE!</v>
      </c>
      <c r="AM212" s="118" t="e">
        <f>AL212^3+AJ202*AL212+AK202</f>
        <v>#VALUE!</v>
      </c>
      <c r="AN212" s="118" t="e">
        <f>3*AL212^2+AJ202</f>
        <v>#VALUE!</v>
      </c>
      <c r="AO212" s="118" t="e">
        <f t="shared" si="78"/>
        <v>#VALUE!</v>
      </c>
      <c r="AP212" s="116"/>
      <c r="AQ212" s="117"/>
      <c r="AS212" s="125"/>
      <c r="AT212" s="126"/>
      <c r="AU212" s="118" t="e">
        <f t="shared" si="84"/>
        <v>#VALUE!</v>
      </c>
      <c r="AV212" s="118" t="e">
        <f>AU212^3+AS202*AU212+AT202</f>
        <v>#VALUE!</v>
      </c>
      <c r="AW212" s="118" t="e">
        <f>3*AU212^2+AS202</f>
        <v>#VALUE!</v>
      </c>
      <c r="AX212" s="118" t="e">
        <f t="shared" si="79"/>
        <v>#VALUE!</v>
      </c>
      <c r="AY212" s="116"/>
      <c r="AZ212" s="117"/>
      <c r="BB212" s="125"/>
      <c r="BC212" s="126"/>
      <c r="BD212" s="118" t="e">
        <f t="shared" si="85"/>
        <v>#VALUE!</v>
      </c>
      <c r="BE212" s="118" t="e">
        <f>BD212^3+BB202*BD212+BC202</f>
        <v>#VALUE!</v>
      </c>
      <c r="BF212" s="118" t="e">
        <f>3*BD212^2+BB202</f>
        <v>#VALUE!</v>
      </c>
      <c r="BG212" s="118" t="e">
        <f t="shared" si="80"/>
        <v>#VALUE!</v>
      </c>
      <c r="BH212" s="116"/>
      <c r="BI212" s="117"/>
      <c r="BK212" s="125"/>
      <c r="BL212" s="126"/>
      <c r="BM212" s="118" t="e">
        <f t="shared" si="86"/>
        <v>#VALUE!</v>
      </c>
      <c r="BN212" s="118" t="e">
        <f>BM212^3+BK202*BM212+BL202</f>
        <v>#VALUE!</v>
      </c>
      <c r="BO212" s="118" t="e">
        <f>3*BM212^2+BK202</f>
        <v>#VALUE!</v>
      </c>
      <c r="BP212" s="118" t="e">
        <f t="shared" si="81"/>
        <v>#VALUE!</v>
      </c>
      <c r="BQ212" s="116"/>
      <c r="BR212" s="117"/>
      <c r="BT212" s="125"/>
      <c r="BU212" s="126"/>
      <c r="BV212" s="118" t="e">
        <f t="shared" si="87"/>
        <v>#VALUE!</v>
      </c>
      <c r="BW212" s="118" t="e">
        <f>BV212^3+BT202*BV212+BU202</f>
        <v>#VALUE!</v>
      </c>
      <c r="BX212" s="118" t="e">
        <f>3*BV212^2+BT202</f>
        <v>#VALUE!</v>
      </c>
      <c r="BY212" s="118" t="e">
        <f t="shared" si="82"/>
        <v>#VALUE!</v>
      </c>
      <c r="BZ212" s="116"/>
      <c r="CA212" s="117"/>
    </row>
    <row r="213" spans="36:79" ht="18" hidden="1" customHeight="1" x14ac:dyDescent="0.15">
      <c r="AJ213" s="125"/>
      <c r="AK213" s="126"/>
      <c r="AL213" s="118" t="e">
        <f t="shared" si="83"/>
        <v>#VALUE!</v>
      </c>
      <c r="AM213" s="118" t="e">
        <f>AL213^3+AJ202*AL213+AK202</f>
        <v>#VALUE!</v>
      </c>
      <c r="AN213" s="118" t="e">
        <f>3*AL213^2+AJ202</f>
        <v>#VALUE!</v>
      </c>
      <c r="AO213" s="118" t="e">
        <f t="shared" si="78"/>
        <v>#VALUE!</v>
      </c>
      <c r="AP213" s="112" t="s">
        <v>147</v>
      </c>
      <c r="AQ213" s="113">
        <v>90</v>
      </c>
      <c r="AS213" s="125"/>
      <c r="AT213" s="126"/>
      <c r="AU213" s="118" t="e">
        <f t="shared" si="84"/>
        <v>#VALUE!</v>
      </c>
      <c r="AV213" s="118" t="e">
        <f>AU213^3+AS202*AU213+AT202</f>
        <v>#VALUE!</v>
      </c>
      <c r="AW213" s="118" t="e">
        <f>3*AU213^2+AS202</f>
        <v>#VALUE!</v>
      </c>
      <c r="AX213" s="118" t="e">
        <f t="shared" si="79"/>
        <v>#VALUE!</v>
      </c>
      <c r="AY213" s="112" t="s">
        <v>147</v>
      </c>
      <c r="AZ213" s="113">
        <v>90</v>
      </c>
      <c r="BB213" s="125"/>
      <c r="BC213" s="126"/>
      <c r="BD213" s="118" t="e">
        <f t="shared" si="85"/>
        <v>#VALUE!</v>
      </c>
      <c r="BE213" s="118" t="e">
        <f>BD213^3+BB202*BD213+BC202</f>
        <v>#VALUE!</v>
      </c>
      <c r="BF213" s="118" t="e">
        <f>3*BD213^2+BB202</f>
        <v>#VALUE!</v>
      </c>
      <c r="BG213" s="118" t="e">
        <f t="shared" si="80"/>
        <v>#VALUE!</v>
      </c>
      <c r="BH213" s="112" t="s">
        <v>147</v>
      </c>
      <c r="BI213" s="113">
        <v>90</v>
      </c>
      <c r="BK213" s="125"/>
      <c r="BL213" s="126"/>
      <c r="BM213" s="118" t="e">
        <f t="shared" si="86"/>
        <v>#VALUE!</v>
      </c>
      <c r="BN213" s="118" t="e">
        <f>BM213^3+BK202*BM213+BL202</f>
        <v>#VALUE!</v>
      </c>
      <c r="BO213" s="118" t="e">
        <f>3*BM213^2+BK202</f>
        <v>#VALUE!</v>
      </c>
      <c r="BP213" s="118" t="e">
        <f t="shared" si="81"/>
        <v>#VALUE!</v>
      </c>
      <c r="BQ213" s="112" t="s">
        <v>147</v>
      </c>
      <c r="BR213" s="113">
        <v>90</v>
      </c>
      <c r="BT213" s="125"/>
      <c r="BU213" s="126"/>
      <c r="BV213" s="118" t="e">
        <f t="shared" si="87"/>
        <v>#VALUE!</v>
      </c>
      <c r="BW213" s="118" t="e">
        <f>BV213^3+BT202*BV213+BU202</f>
        <v>#VALUE!</v>
      </c>
      <c r="BX213" s="118" t="e">
        <f>3*BV213^2+BT202</f>
        <v>#VALUE!</v>
      </c>
      <c r="BY213" s="118" t="e">
        <f t="shared" si="82"/>
        <v>#VALUE!</v>
      </c>
      <c r="BZ213" s="112" t="s">
        <v>147</v>
      </c>
      <c r="CA213" s="113">
        <v>90</v>
      </c>
    </row>
    <row r="214" spans="36:79" ht="18" hidden="1" customHeight="1" x14ac:dyDescent="0.15">
      <c r="AJ214" s="125"/>
      <c r="AK214" s="126"/>
      <c r="AL214" s="118" t="e">
        <f t="shared" si="83"/>
        <v>#VALUE!</v>
      </c>
      <c r="AM214" s="118" t="e">
        <f>AL214^3+AJ202*AL214+AK202</f>
        <v>#VALUE!</v>
      </c>
      <c r="AN214" s="118" t="e">
        <f>3*AL214^2+AJ202</f>
        <v>#VALUE!</v>
      </c>
      <c r="AO214" s="118" t="e">
        <f t="shared" si="78"/>
        <v>#VALUE!</v>
      </c>
      <c r="AP214" s="128" t="s">
        <v>218</v>
      </c>
      <c r="AQ214" s="32"/>
      <c r="AS214" s="125"/>
      <c r="AT214" s="126"/>
      <c r="AU214" s="118" t="e">
        <f t="shared" si="84"/>
        <v>#VALUE!</v>
      </c>
      <c r="AV214" s="118" t="e">
        <f>AU214^3+AS202*AU214+AT202</f>
        <v>#VALUE!</v>
      </c>
      <c r="AW214" s="118" t="e">
        <f>3*AU214^2+AS202</f>
        <v>#VALUE!</v>
      </c>
      <c r="AX214" s="118" t="e">
        <f t="shared" si="79"/>
        <v>#VALUE!</v>
      </c>
      <c r="AY214" s="128" t="s">
        <v>219</v>
      </c>
      <c r="AZ214" s="32"/>
      <c r="BB214" s="125"/>
      <c r="BC214" s="126"/>
      <c r="BD214" s="118" t="e">
        <f t="shared" si="85"/>
        <v>#VALUE!</v>
      </c>
      <c r="BE214" s="118" t="e">
        <f>BD214^3+BB202*BD214+BC202</f>
        <v>#VALUE!</v>
      </c>
      <c r="BF214" s="118" t="e">
        <f>3*BD214^2+BB202</f>
        <v>#VALUE!</v>
      </c>
      <c r="BG214" s="118" t="e">
        <f t="shared" si="80"/>
        <v>#VALUE!</v>
      </c>
      <c r="BH214" s="128" t="s">
        <v>220</v>
      </c>
      <c r="BI214" s="32"/>
      <c r="BK214" s="125"/>
      <c r="BL214" s="126"/>
      <c r="BM214" s="118" t="e">
        <f t="shared" si="86"/>
        <v>#VALUE!</v>
      </c>
      <c r="BN214" s="118" t="e">
        <f>BM214^3+BK202*BM214+BL202</f>
        <v>#VALUE!</v>
      </c>
      <c r="BO214" s="118" t="e">
        <f>3*BM214^2+BK202</f>
        <v>#VALUE!</v>
      </c>
      <c r="BP214" s="118" t="e">
        <f t="shared" si="81"/>
        <v>#VALUE!</v>
      </c>
      <c r="BQ214" s="128" t="s">
        <v>221</v>
      </c>
      <c r="BR214" s="32"/>
      <c r="BT214" s="125"/>
      <c r="BU214" s="126"/>
      <c r="BV214" s="118" t="e">
        <f t="shared" si="87"/>
        <v>#VALUE!</v>
      </c>
      <c r="BW214" s="118" t="e">
        <f>BV214^3+BT202*BV214+BU202</f>
        <v>#VALUE!</v>
      </c>
      <c r="BX214" s="118" t="e">
        <f>3*BV214^2+BT202</f>
        <v>#VALUE!</v>
      </c>
      <c r="BY214" s="118" t="e">
        <f t="shared" si="82"/>
        <v>#VALUE!</v>
      </c>
      <c r="BZ214" s="128" t="s">
        <v>222</v>
      </c>
      <c r="CA214" s="32"/>
    </row>
    <row r="215" spans="36:79" ht="18" hidden="1" customHeight="1" x14ac:dyDescent="0.15">
      <c r="AJ215" s="125"/>
      <c r="AK215" s="126"/>
      <c r="AL215" s="18" t="e">
        <f t="shared" si="83"/>
        <v>#VALUE!</v>
      </c>
      <c r="AM215" s="18" t="e">
        <f>AL215^3+AJ202*AL215+AK202</f>
        <v>#VALUE!</v>
      </c>
      <c r="AN215" s="18" t="e">
        <f>3*AL215^2+AJ202</f>
        <v>#VALUE!</v>
      </c>
      <c r="AO215" s="18" t="e">
        <f t="shared" si="78"/>
        <v>#VALUE!</v>
      </c>
      <c r="AP215" s="273" t="str">
        <f>M58</f>
        <v>無 風 時　90[℃]</v>
      </c>
      <c r="AQ215" s="274"/>
      <c r="AS215" s="125"/>
      <c r="AT215" s="126"/>
      <c r="AU215" s="18" t="e">
        <f t="shared" si="84"/>
        <v>#VALUE!</v>
      </c>
      <c r="AV215" s="18" t="e">
        <f>AU215^3+AS202*AU215+AT202</f>
        <v>#VALUE!</v>
      </c>
      <c r="AW215" s="18" t="e">
        <f>3*AU215^2+AS202</f>
        <v>#VALUE!</v>
      </c>
      <c r="AX215" s="18" t="e">
        <f t="shared" si="79"/>
        <v>#VALUE!</v>
      </c>
      <c r="AY215" s="273" t="str">
        <f>M58</f>
        <v>無 風 時　90[℃]</v>
      </c>
      <c r="AZ215" s="274"/>
      <c r="BB215" s="125"/>
      <c r="BC215" s="126"/>
      <c r="BD215" s="18" t="e">
        <f t="shared" si="85"/>
        <v>#VALUE!</v>
      </c>
      <c r="BE215" s="18" t="e">
        <f>BD215^3+BB202*BD215+BC202</f>
        <v>#VALUE!</v>
      </c>
      <c r="BF215" s="18" t="e">
        <f>3*BD215^2+BB202</f>
        <v>#VALUE!</v>
      </c>
      <c r="BG215" s="18" t="e">
        <f t="shared" si="80"/>
        <v>#VALUE!</v>
      </c>
      <c r="BH215" s="273" t="str">
        <f>M58</f>
        <v>無 風 時　90[℃]</v>
      </c>
      <c r="BI215" s="274"/>
      <c r="BK215" s="125"/>
      <c r="BL215" s="126"/>
      <c r="BM215" s="18" t="e">
        <f t="shared" si="86"/>
        <v>#VALUE!</v>
      </c>
      <c r="BN215" s="18" t="e">
        <f>BM215^3+BK202*BM215+BL202</f>
        <v>#VALUE!</v>
      </c>
      <c r="BO215" s="18" t="e">
        <f>3*BM215^2+BK202</f>
        <v>#VALUE!</v>
      </c>
      <c r="BP215" s="18" t="e">
        <f t="shared" si="81"/>
        <v>#VALUE!</v>
      </c>
      <c r="BQ215" s="273" t="str">
        <f>M58</f>
        <v>無 風 時　90[℃]</v>
      </c>
      <c r="BR215" s="274"/>
      <c r="BT215" s="125"/>
      <c r="BU215" s="126"/>
      <c r="BV215" s="18" t="e">
        <f t="shared" si="87"/>
        <v>#VALUE!</v>
      </c>
      <c r="BW215" s="18" t="e">
        <f>BV215^3+BT202*BV215+BU202</f>
        <v>#VALUE!</v>
      </c>
      <c r="BX215" s="18" t="e">
        <f>3*BV215^2+BT202</f>
        <v>#VALUE!</v>
      </c>
      <c r="BY215" s="18" t="e">
        <f t="shared" si="82"/>
        <v>#VALUE!</v>
      </c>
      <c r="BZ215" s="273" t="str">
        <f>M58</f>
        <v>無 風 時　90[℃]</v>
      </c>
      <c r="CA215" s="274"/>
    </row>
    <row r="216" spans="36:79" ht="18" hidden="1" customHeight="1" thickBot="1" x14ac:dyDescent="0.2">
      <c r="AJ216" s="125"/>
      <c r="AK216" s="126"/>
      <c r="AL216" s="114" t="e">
        <f t="shared" si="83"/>
        <v>#VALUE!</v>
      </c>
      <c r="AM216" s="115" t="e">
        <f>AL216^3+AJ202*AL216+AK202</f>
        <v>#VALUE!</v>
      </c>
      <c r="AN216" s="115" t="e">
        <f>3*AL216^2+AJ202</f>
        <v>#VALUE!</v>
      </c>
      <c r="AO216" s="115" t="e">
        <f t="shared" si="78"/>
        <v>#VALUE!</v>
      </c>
      <c r="AP216" s="275"/>
      <c r="AQ216" s="276"/>
      <c r="AS216" s="125"/>
      <c r="AT216" s="126"/>
      <c r="AU216" s="114" t="e">
        <f t="shared" si="84"/>
        <v>#VALUE!</v>
      </c>
      <c r="AV216" s="115" t="e">
        <f>AU216^3+AS202*AU216+AT202</f>
        <v>#VALUE!</v>
      </c>
      <c r="AW216" s="115" t="e">
        <f>3*AU216^2+AS202</f>
        <v>#VALUE!</v>
      </c>
      <c r="AX216" s="115" t="e">
        <f t="shared" si="79"/>
        <v>#VALUE!</v>
      </c>
      <c r="AY216" s="275"/>
      <c r="AZ216" s="276"/>
      <c r="BB216" s="125"/>
      <c r="BC216" s="126"/>
      <c r="BD216" s="114" t="e">
        <f t="shared" si="85"/>
        <v>#VALUE!</v>
      </c>
      <c r="BE216" s="115" t="e">
        <f>BD216^3+BB202*BD216+BC202</f>
        <v>#VALUE!</v>
      </c>
      <c r="BF216" s="115" t="e">
        <f>3*BD216^2+BB202</f>
        <v>#VALUE!</v>
      </c>
      <c r="BG216" s="115" t="e">
        <f t="shared" si="80"/>
        <v>#VALUE!</v>
      </c>
      <c r="BH216" s="275"/>
      <c r="BI216" s="276"/>
      <c r="BK216" s="125"/>
      <c r="BL216" s="126"/>
      <c r="BM216" s="114" t="e">
        <f t="shared" si="86"/>
        <v>#VALUE!</v>
      </c>
      <c r="BN216" s="115" t="e">
        <f>BM216^3+BK202*BM216+BL202</f>
        <v>#VALUE!</v>
      </c>
      <c r="BO216" s="115" t="e">
        <f>3*BM216^2+BK202</f>
        <v>#VALUE!</v>
      </c>
      <c r="BP216" s="115" t="e">
        <f t="shared" si="81"/>
        <v>#VALUE!</v>
      </c>
      <c r="BQ216" s="275"/>
      <c r="BR216" s="276"/>
      <c r="BT216" s="125"/>
      <c r="BU216" s="126"/>
      <c r="BV216" s="114" t="e">
        <f t="shared" si="87"/>
        <v>#VALUE!</v>
      </c>
      <c r="BW216" s="115" t="e">
        <f>BV216^3+BT202*BV216+BU202</f>
        <v>#VALUE!</v>
      </c>
      <c r="BX216" s="115" t="e">
        <f>3*BV216^2+BT202</f>
        <v>#VALUE!</v>
      </c>
      <c r="BY216" s="115" t="e">
        <f t="shared" si="82"/>
        <v>#VALUE!</v>
      </c>
      <c r="BZ216" s="275"/>
      <c r="CA216" s="276"/>
    </row>
    <row r="217" spans="36:79" ht="18" hidden="1" customHeight="1" x14ac:dyDescent="0.15">
      <c r="AJ217" s="62"/>
      <c r="AK217" s="12" t="s">
        <v>224</v>
      </c>
      <c r="AL217" s="12" t="s">
        <v>225</v>
      </c>
      <c r="AM217" s="12" t="s">
        <v>226</v>
      </c>
      <c r="AN217" s="12" t="s">
        <v>227</v>
      </c>
      <c r="AO217" s="63" t="s">
        <v>228</v>
      </c>
      <c r="AP217" s="12" t="s">
        <v>229</v>
      </c>
      <c r="AQ217" s="13" t="s">
        <v>230</v>
      </c>
      <c r="AS217" s="62"/>
      <c r="AT217" s="12" t="s">
        <v>224</v>
      </c>
      <c r="AU217" s="12" t="s">
        <v>225</v>
      </c>
      <c r="AV217" s="12" t="s">
        <v>226</v>
      </c>
      <c r="AW217" s="12" t="s">
        <v>227</v>
      </c>
      <c r="AX217" s="63" t="s">
        <v>228</v>
      </c>
      <c r="AY217" s="12" t="s">
        <v>229</v>
      </c>
      <c r="AZ217" s="13" t="s">
        <v>230</v>
      </c>
      <c r="BB217" s="62"/>
      <c r="BC217" s="12" t="s">
        <v>224</v>
      </c>
      <c r="BD217" s="12" t="s">
        <v>225</v>
      </c>
      <c r="BE217" s="12" t="s">
        <v>226</v>
      </c>
      <c r="BF217" s="12" t="s">
        <v>227</v>
      </c>
      <c r="BG217" s="63" t="s">
        <v>228</v>
      </c>
      <c r="BH217" s="12" t="s">
        <v>229</v>
      </c>
      <c r="BI217" s="13" t="s">
        <v>230</v>
      </c>
      <c r="BK217" s="62"/>
      <c r="BL217" s="12" t="s">
        <v>224</v>
      </c>
      <c r="BM217" s="12" t="s">
        <v>225</v>
      </c>
      <c r="BN217" s="12" t="s">
        <v>226</v>
      </c>
      <c r="BO217" s="12" t="s">
        <v>227</v>
      </c>
      <c r="BP217" s="63" t="s">
        <v>228</v>
      </c>
      <c r="BQ217" s="12" t="s">
        <v>229</v>
      </c>
      <c r="BR217" s="13" t="s">
        <v>230</v>
      </c>
      <c r="BT217" s="62"/>
      <c r="BU217" s="12" t="s">
        <v>224</v>
      </c>
      <c r="BV217" s="12" t="s">
        <v>225</v>
      </c>
      <c r="BW217" s="12" t="s">
        <v>226</v>
      </c>
      <c r="BX217" s="12" t="s">
        <v>227</v>
      </c>
      <c r="BY217" s="63" t="s">
        <v>228</v>
      </c>
      <c r="BZ217" s="12" t="s">
        <v>229</v>
      </c>
      <c r="CA217" s="13" t="s">
        <v>230</v>
      </c>
    </row>
    <row r="218" spans="36:79" ht="30.75" hidden="1" customHeight="1" thickBot="1" x14ac:dyDescent="0.2">
      <c r="AJ218" s="107"/>
      <c r="AK218" s="108" t="e">
        <f>M23+U23</f>
        <v>#VALUE!</v>
      </c>
      <c r="AL218" s="108">
        <f>IF(C33="",L19*(F19/40)^2,C33)</f>
        <v>0</v>
      </c>
      <c r="AM218" s="108">
        <f>F19</f>
        <v>0</v>
      </c>
      <c r="AN218" s="108" t="e">
        <f>AK78*1600/(8*L19)</f>
        <v>#VALUE!</v>
      </c>
      <c r="AO218" s="109">
        <f>V23</f>
        <v>0</v>
      </c>
      <c r="AP218" s="108" t="str">
        <f>L23</f>
        <v/>
      </c>
      <c r="AQ218" s="110">
        <f>W23</f>
        <v>0</v>
      </c>
      <c r="AS218" s="107"/>
      <c r="AT218" s="108" t="str">
        <f>IF(B24="使用電線-2",M24+U24,IF(B25="使用電線-2",M25+U25,IF(B26="使用電線-2",M26+U26,IF(B27="使用電線-2",M27+U27,IF(B28="使用電線-2",M28+U28,IF(B29="使用電線-2",M29+U29,""))))))</f>
        <v/>
      </c>
      <c r="AU218" s="108">
        <f>IF(I33="",L19*(F19/40)^2,I33)</f>
        <v>0</v>
      </c>
      <c r="AV218" s="108">
        <f>F19</f>
        <v>0</v>
      </c>
      <c r="AW218" s="108" t="e">
        <f>AT218*1600/(8*L19)</f>
        <v>#VALUE!</v>
      </c>
      <c r="AX218" s="109" t="str">
        <f>IF(B24="使用電線-2",V24,IF(B25="使用電線-2",V25,IF(B26="使用電線-2",V26,IF(B27="使用電線-2",V27,IF(B28="使用電線-2",V28,IF(B29="使用電線-2",V29,""))))))</f>
        <v/>
      </c>
      <c r="AY218" s="108" t="str">
        <f>IF(B24="使用電線-2",L24,IF(B25="使用電線-2",L25,IF(B26="使用電線-2",L26,IF(B27="使用電線-2",L27,IF(B28="使用電線-2",L28,IF(B29="使用電線-2",L29,""))))))</f>
        <v/>
      </c>
      <c r="AZ218" s="110" t="str">
        <f>IF(B24="使用電線-2",W24,IF(B25="使用電線-2",W25,IF(B26="使用電線-2",W26,IF(B27="使用電線-2",W27,IF(B28="使用電線-2",W28,IF(B29="使用電線-2",W29,""))))))</f>
        <v/>
      </c>
      <c r="BB218" s="107"/>
      <c r="BC218" s="108" t="str">
        <f>IF(B25="使用電線-3",M25+U25,IF(B26="使用電線-3",M26+U26,IF(B27="使用電線-3",M27+U27,IF(B28="使用電線-3",M28+U28,IF(B29="使用電線-3",M29+U29,"")))))</f>
        <v/>
      </c>
      <c r="BD218" s="108">
        <f>IF(N33="",L19*(F19/40)^2,N33)</f>
        <v>0</v>
      </c>
      <c r="BE218" s="108">
        <f>F19</f>
        <v>0</v>
      </c>
      <c r="BF218" s="108" t="e">
        <f>BC218*1600/(8*L19)</f>
        <v>#VALUE!</v>
      </c>
      <c r="BG218" s="109" t="str">
        <f>IF(B25="使用電線-3",V25,IF(B26="使用電線-3",V26,IF(B27="使用電線-3",V27,IF(B28="使用電線-3",V28,IF(B29="使用電線-3",V29,"")))))</f>
        <v/>
      </c>
      <c r="BH218" s="108" t="str">
        <f>IF(B25="使用電線-3",L25,IF(B26="使用電線-3",L26,IF(B27="使用電線-3",L27,IF(B28="使用電線-3",L28,IF(B29="使用電線-3",L29,"")))))</f>
        <v/>
      </c>
      <c r="BI218" s="110" t="str">
        <f>IF(B25="使用電線-3",W25,IF(B26="使用電線-3",W26,IF(B27="使用電線-3",W27,IF(B28="使用電線-3",W28,IF(B29="使用電線-3",W29,"")))))</f>
        <v/>
      </c>
      <c r="BK218" s="107"/>
      <c r="BL218" s="108" t="str">
        <f>IF(B26="使用電線-4",M26+U26,IF(B27="使用電線-4",M27+U27,IF(B28="使用電線-4",M28+U28,IF(B29="使用電線-4",M29+U29,""))))</f>
        <v/>
      </c>
      <c r="BM218" s="108">
        <f>IF(C47="",L19*(F19/40)^2,C47)</f>
        <v>0</v>
      </c>
      <c r="BN218" s="108">
        <f>F19</f>
        <v>0</v>
      </c>
      <c r="BO218" s="127" t="e">
        <f>BL218*1600/(8*L19)</f>
        <v>#VALUE!</v>
      </c>
      <c r="BP218" s="109" t="str">
        <f>IF(B26="使用電線-4",V26,IF(B27="使用電線-4",V27,IF(B28="使用電線-4",V28,IF(B29="使用電線-4",V29,""))))</f>
        <v/>
      </c>
      <c r="BQ218" s="108" t="str">
        <f>IF(B26="使用電線-4",L26,IF(B27="使用電線-4",L27,IF(B28="使用電線-4",L28,IF(B29="使用電線-4",L29,""))))</f>
        <v/>
      </c>
      <c r="BR218" s="110" t="str">
        <f>IF(B26="使用電線-4",W26,IF(B27="使用電線-4",W27,IF(B28="使用電線-4",W28,IF(B29="使用電線-4",W29,""))))</f>
        <v/>
      </c>
      <c r="BT218" s="107"/>
      <c r="BU218" s="108" t="str">
        <f>IF(B27="使用電線-5",M27+U27,IF(B28="使用電線-5",M28+U28,IF(B29="使用電線-5",M29+U29,"")))</f>
        <v/>
      </c>
      <c r="BV218" s="108">
        <f>IF(I47="",L19*(F19/40)^2,I47)</f>
        <v>0</v>
      </c>
      <c r="BW218" s="108">
        <f>F19</f>
        <v>0</v>
      </c>
      <c r="BX218" s="127" t="e">
        <f>BU218*1600/(8*L19)</f>
        <v>#VALUE!</v>
      </c>
      <c r="BY218" s="109" t="str">
        <f>IF(B27="使用電線-5",V27,IF(B28="使用電線-5",V28,IF(B29="使用電線-5",V29,"")))</f>
        <v/>
      </c>
      <c r="BZ218" s="108" t="str">
        <f>IF(B27="使用電線-5",L27,IF(B28="使用電線-5",L28,IF(B29="使用電線-5",L29,"")))</f>
        <v/>
      </c>
      <c r="CA218" s="110" t="str">
        <f>IF(B27="使用電線-5",W27,IF(B28="使用電線-5",W28,IF(B29="使用電線-5",W29,"")))</f>
        <v/>
      </c>
    </row>
    <row r="219" spans="36:79" ht="33.75" hidden="1" customHeight="1" x14ac:dyDescent="0.15"/>
    <row r="220" spans="36:79" ht="38.25" hidden="1" customHeight="1" x14ac:dyDescent="0.15">
      <c r="AQ220" s="166">
        <f>IF(B23="",0,IF(AND(B23="使用電線-1",OR(D23=AF3,AND(VALUE(LEFT(D23,2))&gt;13,VALUE(LEFT(D23,2))&lt;26))),1,0))</f>
        <v>0</v>
      </c>
      <c r="AZ220" s="166">
        <f>IF(B24="",0,IF(AND(B24="使用電線-2",OR(D24=AF3,AND(VALUE(LEFT(D24,2))&gt;13,VALUE(LEFT(D24,2))&lt;26))),1,0))</f>
        <v>0</v>
      </c>
      <c r="BI220" s="166">
        <f>IF(B25="",0,IF(AND(B25="使用電線-3",OR(D25=AF3,AND(VALUE(LEFT(D25,2))&gt;13,VALUE(LEFT(D25,2))&lt;26))),1,0))</f>
        <v>0</v>
      </c>
      <c r="BR220" s="166">
        <f>IF(B26="",0,IF(AND(B26="使用電線-4",OR(D26=AF3,AND(VALUE(LEFT(D26,2))&gt;13,VALUE(LEFT(D26,2))&lt;26))),1,0))</f>
        <v>0</v>
      </c>
      <c r="CA220" s="166">
        <f>IF(B27="",0,IF(AND(B27="使用電線-5",OR(D27=AF3,AND(VALUE(LEFT(D27,2))&gt;13,VALUE(LEFT(D27,2))&lt;26))),1,0))</f>
        <v>0</v>
      </c>
    </row>
    <row r="221" spans="36:79" ht="57.75" hidden="1" customHeight="1" x14ac:dyDescent="0.15">
      <c r="AZ221" s="166">
        <f>IF(B25="",0,IF(AND(B25="使用電線-2",OR(D25=AF3,AND(VALUE(LEFT(D25,2))&gt;13,VALUE(LEFT(D25,2))&lt;26))),1,0))</f>
        <v>0</v>
      </c>
      <c r="BI221" s="166">
        <f>IF(B26="",0,IF(AND(B26="使用電線-3",OR(D26=AF3,AND(VALUE(LEFT(D26,2))&gt;13,VALUE(LEFT(D26,2))&lt;26))),1,0))</f>
        <v>0</v>
      </c>
      <c r="BR221" s="166">
        <f>IF(B27="",0,IF(AND(B27="使用電線-4",OR(D27=AF3,AND(VALUE(LEFT(D27,2))&gt;13,VALUE(LEFT(D27,2))&lt;26))),1,0))</f>
        <v>0</v>
      </c>
      <c r="CA221" s="166">
        <f>IF(B28="",0,IF(AND(B28="使用電線-5",OR(D28=AF3,AND(VALUE(LEFT(D28,2))&gt;13,VALUE(LEFT(D28,2))&lt;26))),1,0))</f>
        <v>0</v>
      </c>
    </row>
    <row r="222" spans="36:79" ht="36" hidden="1" customHeight="1" x14ac:dyDescent="0.15">
      <c r="AZ222" s="166">
        <f>IF(B26="",0,IF(AND(B26="使用電線-2",OR(D26=AF3,AND(VALUE(LEFT(D26,2))&gt;13,VALUE(LEFT(D26,2))&lt;26))),1,0))</f>
        <v>0</v>
      </c>
      <c r="BI222" s="166">
        <f>IF(B27="",0,IF(AND(B27="使用電線-3",OR(D27=AF3,AND(VALUE(LEFT(D27,2))&gt;13,VALUE(LEFT(D27,2))&lt;26))),1,0))</f>
        <v>0</v>
      </c>
      <c r="BR222" s="166">
        <f>IF(B28="",0,IF(AND(B28="使用電線-4",OR(D28=AF3,AND(VALUE(LEFT(D28,2))&gt;13,VALUE(LEFT(D28,2))&lt;26))),1,0))</f>
        <v>0</v>
      </c>
      <c r="CA222" s="166">
        <f>IF(B29="",0,IF(AND(B29="使用電線-5",OR(D29=AF3,AND(VALUE(LEFT(D29,2))&gt;13,VALUE(LEFT(D29,2))&lt;26))),1,0))</f>
        <v>0</v>
      </c>
    </row>
    <row r="223" spans="36:79" ht="38.25" hidden="1" customHeight="1" x14ac:dyDescent="0.15">
      <c r="AZ223" s="166">
        <f>IF(B27="",0,IF(AND(B27="使用電線-2",OR(D27=AF3,AND(VALUE(LEFT(D27,2))&gt;13,VALUE(LEFT(D27,2))&lt;26))),1,0))</f>
        <v>0</v>
      </c>
      <c r="BI223" s="166">
        <f>IF(B28="",0,IF(AND(B28="使用電線-3",OR(D28=AF3,AND(VALUE(LEFT(D28,2))&gt;13,VALUE(LEFT(D28,2))&lt;26))),1,0))</f>
        <v>0</v>
      </c>
      <c r="BR223" s="166">
        <f>IF(B29="",0,IF(AND(B29="使用電線-4",OR(D29=AF3,AND(VALUE(LEFT(D29,2))&gt;13,VALUE(LEFT(D29,2))&lt;26))),1,0))</f>
        <v>0</v>
      </c>
    </row>
    <row r="224" spans="36:79" ht="29.25" hidden="1" customHeight="1" x14ac:dyDescent="0.15">
      <c r="AZ224" s="166">
        <f>IF(B28="",0,IF(AND(B28="使用電線-2",OR(D28=AF3,AND(VALUE(LEFT(D28,2))&gt;13,VALUE(LEFT(D28,2))&lt;26))),1,0))</f>
        <v>0</v>
      </c>
      <c r="BI224" s="166">
        <f>IF(B29="",0,IF(AND(B29="使用電線-3",OR(D29=AF3,AND(VALUE(LEFT(D29,2))&gt;13,VALUE(LEFT(D29,2))&lt;26))),1,0))</f>
        <v>0</v>
      </c>
    </row>
    <row r="225" spans="52:52" ht="45" hidden="1" customHeight="1" x14ac:dyDescent="0.15">
      <c r="AZ225" s="166">
        <f>IF(B29="",0,IF(AND(B29="使用電線-2",OR(D29=AF3,AND(VALUE(LEFT(D29,2))&gt;13,VALUE(LEFT(D29,2))&lt;26))),1,0))</f>
        <v>0</v>
      </c>
    </row>
    <row r="226" spans="52:52" ht="15" customHeight="1" x14ac:dyDescent="0.15"/>
    <row r="227" spans="52:52" ht="15" customHeight="1" x14ac:dyDescent="0.15"/>
    <row r="228" spans="52:52" ht="15" customHeight="1" x14ac:dyDescent="0.15"/>
    <row r="229" spans="52:52" ht="15" customHeight="1" x14ac:dyDescent="0.15"/>
    <row r="230" spans="52:52" ht="15" customHeight="1" x14ac:dyDescent="0.15"/>
    <row r="231" spans="52:52" ht="15" customHeight="1" x14ac:dyDescent="0.15"/>
    <row r="232" spans="52:52" ht="15" customHeight="1" x14ac:dyDescent="0.15"/>
    <row r="233" spans="52:52" ht="15" customHeight="1" x14ac:dyDescent="0.15"/>
    <row r="234" spans="52:52" ht="15" customHeight="1" x14ac:dyDescent="0.15"/>
    <row r="235" spans="52:52" ht="15" customHeight="1" x14ac:dyDescent="0.15"/>
    <row r="236" spans="52:52" ht="15" customHeight="1" x14ac:dyDescent="0.15"/>
    <row r="237" spans="52:52" ht="15" customHeight="1" x14ac:dyDescent="0.15"/>
    <row r="238" spans="52:52" ht="15" customHeight="1" x14ac:dyDescent="0.15"/>
    <row r="239" spans="52:52" ht="15" customHeight="1" x14ac:dyDescent="0.15"/>
    <row r="240" spans="52:52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</sheetData>
  <sheetProtection password="B220" sheet="1" objects="1" scenarios="1" formatCells="0"/>
  <mergeCells count="509">
    <mergeCell ref="BT183:BU183"/>
    <mergeCell ref="BT184:BU184"/>
    <mergeCell ref="BT185:BU185"/>
    <mergeCell ref="BT167:BU167"/>
    <mergeCell ref="BT168:BU168"/>
    <mergeCell ref="BT170:BU170"/>
    <mergeCell ref="BT171:BU171"/>
    <mergeCell ref="BT191:BU191"/>
    <mergeCell ref="BZ215:CA216"/>
    <mergeCell ref="BT205:BU205"/>
    <mergeCell ref="BT206:BU206"/>
    <mergeCell ref="BT207:BU207"/>
    <mergeCell ref="BT208:BU208"/>
    <mergeCell ref="BZ195:CA196"/>
    <mergeCell ref="BT203:BU203"/>
    <mergeCell ref="BT204:BU204"/>
    <mergeCell ref="BT186:BU186"/>
    <mergeCell ref="BT187:BU187"/>
    <mergeCell ref="BT188:BU188"/>
    <mergeCell ref="BT190:BU190"/>
    <mergeCell ref="BT210:BU210"/>
    <mergeCell ref="BT211:BU211"/>
    <mergeCell ref="BT147:BU147"/>
    <mergeCell ref="BT130:BU130"/>
    <mergeCell ref="BT131:BU131"/>
    <mergeCell ref="BZ135:CA136"/>
    <mergeCell ref="BT143:BU143"/>
    <mergeCell ref="BT148:BU148"/>
    <mergeCell ref="BT150:BU150"/>
    <mergeCell ref="BT151:BU151"/>
    <mergeCell ref="BZ175:CA176"/>
    <mergeCell ref="BT163:BU163"/>
    <mergeCell ref="BT164:BU164"/>
    <mergeCell ref="BT165:BU165"/>
    <mergeCell ref="BT166:BU166"/>
    <mergeCell ref="BQ195:BR196"/>
    <mergeCell ref="BZ75:CA76"/>
    <mergeCell ref="BT83:BU83"/>
    <mergeCell ref="BT84:BU84"/>
    <mergeCell ref="BT85:BU85"/>
    <mergeCell ref="BT106:BU106"/>
    <mergeCell ref="BT107:BU107"/>
    <mergeCell ref="BT108:BU108"/>
    <mergeCell ref="BT110:BU110"/>
    <mergeCell ref="BZ95:CA96"/>
    <mergeCell ref="BT103:BU103"/>
    <mergeCell ref="BT104:BU104"/>
    <mergeCell ref="BT105:BU105"/>
    <mergeCell ref="BZ115:CA116"/>
    <mergeCell ref="BT123:BU123"/>
    <mergeCell ref="BT124:BU124"/>
    <mergeCell ref="BZ155:CA156"/>
    <mergeCell ref="BT144:BU144"/>
    <mergeCell ref="BT145:BU145"/>
    <mergeCell ref="BT146:BU146"/>
    <mergeCell ref="BT87:BU87"/>
    <mergeCell ref="BT88:BU88"/>
    <mergeCell ref="BT90:BU90"/>
    <mergeCell ref="BT91:BU91"/>
    <mergeCell ref="BT125:BU125"/>
    <mergeCell ref="BT126:BU126"/>
    <mergeCell ref="BT127:BU127"/>
    <mergeCell ref="BT128:BU128"/>
    <mergeCell ref="BT111:BU111"/>
    <mergeCell ref="BT63:BU63"/>
    <mergeCell ref="BT64:BU64"/>
    <mergeCell ref="BT65:BU65"/>
    <mergeCell ref="BT66:BU66"/>
    <mergeCell ref="BT67:BU67"/>
    <mergeCell ref="BT68:BU68"/>
    <mergeCell ref="BT70:BU70"/>
    <mergeCell ref="BT71:BU71"/>
    <mergeCell ref="BT86:BU86"/>
    <mergeCell ref="BK207:BL207"/>
    <mergeCell ref="BK208:BL208"/>
    <mergeCell ref="BK210:BL210"/>
    <mergeCell ref="BK211:BL211"/>
    <mergeCell ref="BK203:BL203"/>
    <mergeCell ref="BK204:BL204"/>
    <mergeCell ref="BK205:BL205"/>
    <mergeCell ref="BK206:BL206"/>
    <mergeCell ref="BQ215:BR216"/>
    <mergeCell ref="BQ175:BR176"/>
    <mergeCell ref="BK183:BL183"/>
    <mergeCell ref="BK165:BL165"/>
    <mergeCell ref="BK166:BL166"/>
    <mergeCell ref="BK167:BL167"/>
    <mergeCell ref="BK168:BL168"/>
    <mergeCell ref="BK188:BL188"/>
    <mergeCell ref="BK190:BL190"/>
    <mergeCell ref="BK191:BL191"/>
    <mergeCell ref="BK184:BL184"/>
    <mergeCell ref="BK185:BL185"/>
    <mergeCell ref="BK186:BL186"/>
    <mergeCell ref="BK187:BL187"/>
    <mergeCell ref="BQ155:BR156"/>
    <mergeCell ref="BK163:BL163"/>
    <mergeCell ref="BK164:BL164"/>
    <mergeCell ref="BK146:BL146"/>
    <mergeCell ref="BK147:BL147"/>
    <mergeCell ref="BK148:BL148"/>
    <mergeCell ref="BK150:BL150"/>
    <mergeCell ref="BK170:BL170"/>
    <mergeCell ref="BK171:BL171"/>
    <mergeCell ref="BQ135:BR136"/>
    <mergeCell ref="BK143:BL143"/>
    <mergeCell ref="BK144:BL144"/>
    <mergeCell ref="BK145:BL145"/>
    <mergeCell ref="BK127:BL127"/>
    <mergeCell ref="BK128:BL128"/>
    <mergeCell ref="BK130:BL130"/>
    <mergeCell ref="BK131:BL131"/>
    <mergeCell ref="BK151:BL151"/>
    <mergeCell ref="BQ75:BR76"/>
    <mergeCell ref="BK83:BL83"/>
    <mergeCell ref="BK84:BL84"/>
    <mergeCell ref="BQ115:BR116"/>
    <mergeCell ref="BK104:BL104"/>
    <mergeCell ref="BK105:BL105"/>
    <mergeCell ref="BK106:BL106"/>
    <mergeCell ref="BK107:BL107"/>
    <mergeCell ref="BK90:BL90"/>
    <mergeCell ref="BK91:BL91"/>
    <mergeCell ref="BQ95:BR96"/>
    <mergeCell ref="BK103:BL103"/>
    <mergeCell ref="BK108:BL108"/>
    <mergeCell ref="BK110:BL110"/>
    <mergeCell ref="BK111:BL111"/>
    <mergeCell ref="BB210:BC210"/>
    <mergeCell ref="BB211:BC211"/>
    <mergeCell ref="BH215:BI216"/>
    <mergeCell ref="BK63:BL63"/>
    <mergeCell ref="BK64:BL64"/>
    <mergeCell ref="BK65:BL65"/>
    <mergeCell ref="BK66:BL66"/>
    <mergeCell ref="BK67:BL67"/>
    <mergeCell ref="BK68:BL68"/>
    <mergeCell ref="BK70:BL70"/>
    <mergeCell ref="BK85:BL85"/>
    <mergeCell ref="BK86:BL86"/>
    <mergeCell ref="BK87:BL87"/>
    <mergeCell ref="BK88:BL88"/>
    <mergeCell ref="BK71:BL71"/>
    <mergeCell ref="BK123:BL123"/>
    <mergeCell ref="BK124:BL124"/>
    <mergeCell ref="BK125:BL125"/>
    <mergeCell ref="BK126:BL126"/>
    <mergeCell ref="BH175:BI176"/>
    <mergeCell ref="BB183:BC183"/>
    <mergeCell ref="BB184:BC184"/>
    <mergeCell ref="BB185:BC185"/>
    <mergeCell ref="BB205:BC205"/>
    <mergeCell ref="BB207:BC207"/>
    <mergeCell ref="BB208:BC208"/>
    <mergeCell ref="BB191:BC191"/>
    <mergeCell ref="BH195:BI196"/>
    <mergeCell ref="BB203:BC203"/>
    <mergeCell ref="BB204:BC204"/>
    <mergeCell ref="BH155:BI156"/>
    <mergeCell ref="BB144:BC144"/>
    <mergeCell ref="BB145:BC145"/>
    <mergeCell ref="BB146:BC146"/>
    <mergeCell ref="BB147:BC147"/>
    <mergeCell ref="BB167:BC167"/>
    <mergeCell ref="BB168:BC168"/>
    <mergeCell ref="BB170:BC170"/>
    <mergeCell ref="BB171:BC171"/>
    <mergeCell ref="BB163:BC163"/>
    <mergeCell ref="BB164:BC164"/>
    <mergeCell ref="BB165:BC165"/>
    <mergeCell ref="BB166:BC166"/>
    <mergeCell ref="BH135:BI136"/>
    <mergeCell ref="BB143:BC143"/>
    <mergeCell ref="BB125:BC125"/>
    <mergeCell ref="BB126:BC126"/>
    <mergeCell ref="BB127:BC127"/>
    <mergeCell ref="BB128:BC128"/>
    <mergeCell ref="BB148:BC148"/>
    <mergeCell ref="BB150:BC150"/>
    <mergeCell ref="BB151:BC151"/>
    <mergeCell ref="BH75:BI76"/>
    <mergeCell ref="BB83:BC83"/>
    <mergeCell ref="BB84:BC84"/>
    <mergeCell ref="BB85:BC85"/>
    <mergeCell ref="AY215:AZ216"/>
    <mergeCell ref="BB63:BC63"/>
    <mergeCell ref="BB64:BC64"/>
    <mergeCell ref="BB65:BC65"/>
    <mergeCell ref="BB66:BC66"/>
    <mergeCell ref="BB67:BC67"/>
    <mergeCell ref="BH95:BI96"/>
    <mergeCell ref="BB103:BC103"/>
    <mergeCell ref="BB104:BC104"/>
    <mergeCell ref="BB105:BC105"/>
    <mergeCell ref="BB87:BC87"/>
    <mergeCell ref="BB88:BC88"/>
    <mergeCell ref="BB90:BC90"/>
    <mergeCell ref="BB91:BC91"/>
    <mergeCell ref="BB111:BC111"/>
    <mergeCell ref="BH115:BI116"/>
    <mergeCell ref="BB123:BC123"/>
    <mergeCell ref="BB124:BC124"/>
    <mergeCell ref="BB106:BC106"/>
    <mergeCell ref="BB107:BC107"/>
    <mergeCell ref="AS205:AT205"/>
    <mergeCell ref="AS206:AT206"/>
    <mergeCell ref="BB68:BC68"/>
    <mergeCell ref="BB70:BC70"/>
    <mergeCell ref="BB71:BC71"/>
    <mergeCell ref="BB86:BC86"/>
    <mergeCell ref="AS207:AT207"/>
    <mergeCell ref="AS208:AT208"/>
    <mergeCell ref="AS188:AT188"/>
    <mergeCell ref="AS190:AT190"/>
    <mergeCell ref="AS191:AT191"/>
    <mergeCell ref="AY195:AZ196"/>
    <mergeCell ref="BB108:BC108"/>
    <mergeCell ref="BB110:BC110"/>
    <mergeCell ref="BB130:BC130"/>
    <mergeCell ref="BB131:BC131"/>
    <mergeCell ref="BB186:BC186"/>
    <mergeCell ref="BB187:BC187"/>
    <mergeCell ref="BB188:BC188"/>
    <mergeCell ref="BB190:BC190"/>
    <mergeCell ref="AY155:AZ156"/>
    <mergeCell ref="AS163:AT163"/>
    <mergeCell ref="AS164:AT164"/>
    <mergeCell ref="BB206:BC206"/>
    <mergeCell ref="AY175:AZ176"/>
    <mergeCell ref="AS183:AT183"/>
    <mergeCell ref="AS165:AT165"/>
    <mergeCell ref="AS166:AT166"/>
    <mergeCell ref="AS167:AT167"/>
    <mergeCell ref="AS168:AT168"/>
    <mergeCell ref="AS170:AT170"/>
    <mergeCell ref="AS171:AT171"/>
    <mergeCell ref="AS204:AT204"/>
    <mergeCell ref="AY135:AZ136"/>
    <mergeCell ref="AS143:AT143"/>
    <mergeCell ref="AS144:AT144"/>
    <mergeCell ref="AS145:AT145"/>
    <mergeCell ref="AS127:AT127"/>
    <mergeCell ref="AS128:AT128"/>
    <mergeCell ref="AS130:AT130"/>
    <mergeCell ref="AS131:AT131"/>
    <mergeCell ref="AS151:AT151"/>
    <mergeCell ref="AS146:AT146"/>
    <mergeCell ref="AS147:AT147"/>
    <mergeCell ref="AS148:AT148"/>
    <mergeCell ref="AS150:AT150"/>
    <mergeCell ref="AY75:AZ76"/>
    <mergeCell ref="AS83:AT83"/>
    <mergeCell ref="AS84:AT84"/>
    <mergeCell ref="AY115:AZ116"/>
    <mergeCell ref="AS104:AT104"/>
    <mergeCell ref="AS105:AT105"/>
    <mergeCell ref="AS106:AT106"/>
    <mergeCell ref="AS107:AT107"/>
    <mergeCell ref="AS90:AT90"/>
    <mergeCell ref="AS91:AT91"/>
    <mergeCell ref="AY95:AZ96"/>
    <mergeCell ref="AS103:AT103"/>
    <mergeCell ref="AS108:AT108"/>
    <mergeCell ref="AS110:AT110"/>
    <mergeCell ref="AS111:AT111"/>
    <mergeCell ref="AP215:AQ216"/>
    <mergeCell ref="AS63:AT63"/>
    <mergeCell ref="AS64:AT64"/>
    <mergeCell ref="AS65:AT65"/>
    <mergeCell ref="AS66:AT66"/>
    <mergeCell ref="AS67:AT67"/>
    <mergeCell ref="AS68:AT68"/>
    <mergeCell ref="AS70:AT70"/>
    <mergeCell ref="AS85:AT85"/>
    <mergeCell ref="AS86:AT86"/>
    <mergeCell ref="AS87:AT87"/>
    <mergeCell ref="AS88:AT88"/>
    <mergeCell ref="AS71:AT71"/>
    <mergeCell ref="AS123:AT123"/>
    <mergeCell ref="AS124:AT124"/>
    <mergeCell ref="AS125:AT125"/>
    <mergeCell ref="AS126:AT126"/>
    <mergeCell ref="AS184:AT184"/>
    <mergeCell ref="AS185:AT185"/>
    <mergeCell ref="AS186:AT186"/>
    <mergeCell ref="AS187:AT187"/>
    <mergeCell ref="AS210:AT210"/>
    <mergeCell ref="AS211:AT211"/>
    <mergeCell ref="AS203:AT203"/>
    <mergeCell ref="AJ206:AK206"/>
    <mergeCell ref="AJ207:AK207"/>
    <mergeCell ref="AJ208:AK208"/>
    <mergeCell ref="AJ191:AK191"/>
    <mergeCell ref="AP195:AQ196"/>
    <mergeCell ref="AJ203:AK203"/>
    <mergeCell ref="AJ204:AK204"/>
    <mergeCell ref="AJ210:AK210"/>
    <mergeCell ref="AJ211:AK211"/>
    <mergeCell ref="AJ186:AK186"/>
    <mergeCell ref="AJ187:AK187"/>
    <mergeCell ref="AJ188:AK188"/>
    <mergeCell ref="AJ190:AK190"/>
    <mergeCell ref="AP175:AQ176"/>
    <mergeCell ref="AJ183:AK183"/>
    <mergeCell ref="AJ184:AK184"/>
    <mergeCell ref="AJ185:AK185"/>
    <mergeCell ref="AJ205:AK205"/>
    <mergeCell ref="AP155:AQ156"/>
    <mergeCell ref="AJ144:AK144"/>
    <mergeCell ref="AJ145:AK145"/>
    <mergeCell ref="AJ146:AK146"/>
    <mergeCell ref="AJ147:AK147"/>
    <mergeCell ref="AJ167:AK167"/>
    <mergeCell ref="AJ168:AK168"/>
    <mergeCell ref="AJ170:AK170"/>
    <mergeCell ref="AJ171:AK171"/>
    <mergeCell ref="AJ163:AK163"/>
    <mergeCell ref="AJ164:AK164"/>
    <mergeCell ref="AJ165:AK165"/>
    <mergeCell ref="AJ166:AK166"/>
    <mergeCell ref="AP135:AQ136"/>
    <mergeCell ref="AJ143:AK143"/>
    <mergeCell ref="AJ125:AK125"/>
    <mergeCell ref="AJ126:AK126"/>
    <mergeCell ref="AJ127:AK127"/>
    <mergeCell ref="AJ128:AK128"/>
    <mergeCell ref="AJ148:AK148"/>
    <mergeCell ref="AJ150:AK150"/>
    <mergeCell ref="AJ151:AK151"/>
    <mergeCell ref="AP115:AQ116"/>
    <mergeCell ref="AJ123:AK123"/>
    <mergeCell ref="AJ124:AK124"/>
    <mergeCell ref="AJ106:AK106"/>
    <mergeCell ref="AJ107:AK107"/>
    <mergeCell ref="AJ108:AK108"/>
    <mergeCell ref="AJ110:AK110"/>
    <mergeCell ref="AJ130:AK130"/>
    <mergeCell ref="AJ131:AK131"/>
    <mergeCell ref="AP95:AQ96"/>
    <mergeCell ref="AJ103:AK103"/>
    <mergeCell ref="AJ104:AK104"/>
    <mergeCell ref="AJ105:AK105"/>
    <mergeCell ref="AJ87:AK87"/>
    <mergeCell ref="AJ88:AK88"/>
    <mergeCell ref="AJ90:AK90"/>
    <mergeCell ref="AJ91:AK91"/>
    <mergeCell ref="AJ111:AK111"/>
    <mergeCell ref="AP75:AQ76"/>
    <mergeCell ref="D28:E28"/>
    <mergeCell ref="M58:N58"/>
    <mergeCell ref="M46:N47"/>
    <mergeCell ref="J52:J53"/>
    <mergeCell ref="G43:I43"/>
    <mergeCell ref="AJ63:AK63"/>
    <mergeCell ref="G34:I35"/>
    <mergeCell ref="G36:I37"/>
    <mergeCell ref="G38:I39"/>
    <mergeCell ref="E38:E39"/>
    <mergeCell ref="D52:D53"/>
    <mergeCell ref="D50:D51"/>
    <mergeCell ref="E52:E53"/>
    <mergeCell ref="E50:E51"/>
    <mergeCell ref="J38:J39"/>
    <mergeCell ref="F46:F47"/>
    <mergeCell ref="J36:J37"/>
    <mergeCell ref="Q38:Q39"/>
    <mergeCell ref="M41:N41"/>
    <mergeCell ref="M42:N42"/>
    <mergeCell ref="M38:N39"/>
    <mergeCell ref="P36:P37"/>
    <mergeCell ref="F36:F37"/>
    <mergeCell ref="A1:A59"/>
    <mergeCell ref="AJ70:AK70"/>
    <mergeCell ref="AJ71:AK71"/>
    <mergeCell ref="I20:I22"/>
    <mergeCell ref="K20:N20"/>
    <mergeCell ref="B34:C35"/>
    <mergeCell ref="G54:I54"/>
    <mergeCell ref="G40:I40"/>
    <mergeCell ref="G41:I41"/>
    <mergeCell ref="G42:I42"/>
    <mergeCell ref="Q36:Q37"/>
    <mergeCell ref="Q52:Q53"/>
    <mergeCell ref="Q50:Q51"/>
    <mergeCell ref="K48:K49"/>
    <mergeCell ref="L48:L49"/>
    <mergeCell ref="K52:K53"/>
    <mergeCell ref="L52:L53"/>
    <mergeCell ref="O36:O37"/>
    <mergeCell ref="K50:K51"/>
    <mergeCell ref="K38:K39"/>
    <mergeCell ref="K36:K37"/>
    <mergeCell ref="F52:F53"/>
    <mergeCell ref="F48:F49"/>
    <mergeCell ref="D38:D39"/>
    <mergeCell ref="AJ85:AK85"/>
    <mergeCell ref="AJ86:AK86"/>
    <mergeCell ref="AJ64:AK64"/>
    <mergeCell ref="AJ65:AK65"/>
    <mergeCell ref="AJ66:AK66"/>
    <mergeCell ref="AJ67:AK67"/>
    <mergeCell ref="AJ68:AK68"/>
    <mergeCell ref="L36:L37"/>
    <mergeCell ref="L50:L51"/>
    <mergeCell ref="M56:N56"/>
    <mergeCell ref="M57:N57"/>
    <mergeCell ref="M36:N37"/>
    <mergeCell ref="L46:L47"/>
    <mergeCell ref="L38:L39"/>
    <mergeCell ref="M43:N43"/>
    <mergeCell ref="M44:N44"/>
    <mergeCell ref="O48:O49"/>
    <mergeCell ref="M48:N49"/>
    <mergeCell ref="O38:O39"/>
    <mergeCell ref="O52:O53"/>
    <mergeCell ref="M52:N53"/>
    <mergeCell ref="M55:N55"/>
    <mergeCell ref="M40:N40"/>
    <mergeCell ref="AJ84:AK84"/>
    <mergeCell ref="AJ83:AK83"/>
    <mergeCell ref="J50:J51"/>
    <mergeCell ref="G46:I46"/>
    <mergeCell ref="G58:I58"/>
    <mergeCell ref="G47:H47"/>
    <mergeCell ref="G57:I57"/>
    <mergeCell ref="G44:I44"/>
    <mergeCell ref="G48:I49"/>
    <mergeCell ref="G50:I51"/>
    <mergeCell ref="G52:I53"/>
    <mergeCell ref="G55:I55"/>
    <mergeCell ref="G56:I56"/>
    <mergeCell ref="J48:J49"/>
    <mergeCell ref="Q48:Q49"/>
    <mergeCell ref="M54:N54"/>
    <mergeCell ref="O50:O51"/>
    <mergeCell ref="M50:N51"/>
    <mergeCell ref="D48:D49"/>
    <mergeCell ref="D20:E22"/>
    <mergeCell ref="D25:E25"/>
    <mergeCell ref="D26:E26"/>
    <mergeCell ref="D30:E30"/>
    <mergeCell ref="D27:E27"/>
    <mergeCell ref="D29:E29"/>
    <mergeCell ref="D36:D37"/>
    <mergeCell ref="E36:E37"/>
    <mergeCell ref="J19:K19"/>
    <mergeCell ref="J20:J22"/>
    <mergeCell ref="J34:J35"/>
    <mergeCell ref="K34:K35"/>
    <mergeCell ref="F20:G22"/>
    <mergeCell ref="H20:H22"/>
    <mergeCell ref="D23:E23"/>
    <mergeCell ref="D24:E24"/>
    <mergeCell ref="G19:I19"/>
    <mergeCell ref="F32:F33"/>
    <mergeCell ref="G32:I32"/>
    <mergeCell ref="G33:H33"/>
    <mergeCell ref="D34:D35"/>
    <mergeCell ref="E34:E35"/>
    <mergeCell ref="F34:F35"/>
    <mergeCell ref="D19:E19"/>
    <mergeCell ref="B50:C51"/>
    <mergeCell ref="B52:C53"/>
    <mergeCell ref="B20:C22"/>
    <mergeCell ref="B48:C49"/>
    <mergeCell ref="B24:C24"/>
    <mergeCell ref="B25:C25"/>
    <mergeCell ref="B36:C37"/>
    <mergeCell ref="B30:C30"/>
    <mergeCell ref="B29:C29"/>
    <mergeCell ref="B42:C42"/>
    <mergeCell ref="B43:C43"/>
    <mergeCell ref="B32:C32"/>
    <mergeCell ref="B41:C41"/>
    <mergeCell ref="L1:N1"/>
    <mergeCell ref="O1:Q1"/>
    <mergeCell ref="Q32:Q33"/>
    <mergeCell ref="O34:O35"/>
    <mergeCell ref="P34:P35"/>
    <mergeCell ref="Q34:Q35"/>
    <mergeCell ref="M34:N35"/>
    <mergeCell ref="O20:Q20"/>
    <mergeCell ref="L32:L33"/>
    <mergeCell ref="L34:L35"/>
    <mergeCell ref="M32:N32"/>
    <mergeCell ref="P38:P39"/>
    <mergeCell ref="AF57:AF58"/>
    <mergeCell ref="B2:B3"/>
    <mergeCell ref="C2:N3"/>
    <mergeCell ref="C4:N4"/>
    <mergeCell ref="P4:Q4"/>
    <mergeCell ref="B58:C58"/>
    <mergeCell ref="B54:C54"/>
    <mergeCell ref="B55:C55"/>
    <mergeCell ref="B56:C56"/>
    <mergeCell ref="B57:C57"/>
    <mergeCell ref="B6:C6"/>
    <mergeCell ref="B26:C26"/>
    <mergeCell ref="B27:C27"/>
    <mergeCell ref="B28:C28"/>
    <mergeCell ref="B19:C19"/>
    <mergeCell ref="B23:C23"/>
    <mergeCell ref="F50:F51"/>
    <mergeCell ref="F38:F39"/>
    <mergeCell ref="E48:E49"/>
    <mergeCell ref="B44:C44"/>
    <mergeCell ref="B46:C46"/>
    <mergeCell ref="B38:C39"/>
    <mergeCell ref="B40:C40"/>
  </mergeCells>
  <phoneticPr fontId="2"/>
  <dataValidations count="5">
    <dataValidation type="list" showInputMessage="1" showErrorMessage="1" sqref="D24:E29 D31:E31">
      <formula1>$AF$3:$AF$44</formula1>
    </dataValidation>
    <dataValidation type="list" errorStyle="warning" showInputMessage="1" showErrorMessage="1" sqref="D23">
      <formula1>$AF$3:$AF$44</formula1>
    </dataValidation>
    <dataValidation type="list" errorStyle="warning" allowBlank="1" showInputMessage="1" showErrorMessage="1" sqref="I23:I29">
      <formula1>$AH$3:$AH$11</formula1>
    </dataValidation>
    <dataValidation type="custom" allowBlank="1" showInputMessage="1" showErrorMessage="1" errorTitle="弛度補正入力" error="使用電線を選択してください。" sqref="I47 I33">
      <formula1>IF(G33="弛度補正",TRUE,FALSE)</formula1>
    </dataValidation>
    <dataValidation type="custom" allowBlank="1" showInputMessage="1" showErrorMessage="1" errorTitle="弛度補正値入力" error="使用電線を選択して下さい!!" sqref="C47 C33 N33">
      <formula1>IF(B33="弛度補正",TRUE,FALSE)</formula1>
    </dataValidation>
  </dataValidations>
  <pageMargins left="0.70866141732283472" right="0.39370078740157483" top="0.43307086614173229" bottom="0.43307086614173229" header="0" footer="0"/>
  <pageSetup paperSize="9" scale="98" orientation="portrait" r:id="rId1"/>
  <headerFooter alignWithMargins="0">
    <oddFooter>&amp;RNo.４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9470" r:id="rId4">
          <objectPr defaultSize="0" autoPict="0" r:id="rId5">
            <anchor moveWithCells="1" sizeWithCells="1">
              <from>
                <xdr:col>12</xdr:col>
                <xdr:colOff>466725</xdr:colOff>
                <xdr:row>8</xdr:row>
                <xdr:rowOff>180975</xdr:rowOff>
              </from>
              <to>
                <xdr:col>14</xdr:col>
                <xdr:colOff>66675</xdr:colOff>
                <xdr:row>10</xdr:row>
                <xdr:rowOff>123825</xdr:rowOff>
              </to>
            </anchor>
          </objectPr>
        </oleObject>
      </mc:Choice>
      <mc:Fallback>
        <oleObject progId="Equation.3" shapeId="19470" r:id="rId4"/>
      </mc:Fallback>
    </mc:AlternateContent>
    <mc:AlternateContent xmlns:mc="http://schemas.openxmlformats.org/markup-compatibility/2006">
      <mc:Choice Requires="x14">
        <oleObject progId="Equation.3" shapeId="19471" r:id="rId6">
          <objectPr defaultSize="0" autoPict="0" r:id="rId7">
            <anchor moveWithCells="1" sizeWithCells="1">
              <from>
                <xdr:col>9</xdr:col>
                <xdr:colOff>0</xdr:colOff>
                <xdr:row>7</xdr:row>
                <xdr:rowOff>28575</xdr:rowOff>
              </from>
              <to>
                <xdr:col>11</xdr:col>
                <xdr:colOff>409575</xdr:colOff>
                <xdr:row>8</xdr:row>
                <xdr:rowOff>171450</xdr:rowOff>
              </to>
            </anchor>
          </objectPr>
        </oleObject>
      </mc:Choice>
      <mc:Fallback>
        <oleObject progId="Equation.3" shapeId="19471" r:id="rId6"/>
      </mc:Fallback>
    </mc:AlternateContent>
    <mc:AlternateContent xmlns:mc="http://schemas.openxmlformats.org/markup-compatibility/2006">
      <mc:Choice Requires="x14">
        <oleObject progId="Equation.3" shapeId="19473" r:id="rId8">
          <objectPr defaultSize="0" autoPict="0" r:id="rId9">
            <anchor moveWithCells="1" sizeWithCells="1">
              <from>
                <xdr:col>12</xdr:col>
                <xdr:colOff>352425</xdr:colOff>
                <xdr:row>7</xdr:row>
                <xdr:rowOff>38100</xdr:rowOff>
              </from>
              <to>
                <xdr:col>14</xdr:col>
                <xdr:colOff>85725</xdr:colOff>
                <xdr:row>8</xdr:row>
                <xdr:rowOff>152400</xdr:rowOff>
              </to>
            </anchor>
          </objectPr>
        </oleObject>
      </mc:Choice>
      <mc:Fallback>
        <oleObject progId="Equation.3" shapeId="19473" r:id="rId8"/>
      </mc:Fallback>
    </mc:AlternateContent>
    <mc:AlternateContent xmlns:mc="http://schemas.openxmlformats.org/markup-compatibility/2006">
      <mc:Choice Requires="x14">
        <oleObject progId="Equation.3" shapeId="19474" r:id="rId10">
          <objectPr defaultSize="0" autoPict="0" r:id="rId11">
            <anchor moveWithCells="1" sizeWithCells="1">
              <from>
                <xdr:col>3</xdr:col>
                <xdr:colOff>38100</xdr:colOff>
                <xdr:row>8</xdr:row>
                <xdr:rowOff>200025</xdr:rowOff>
              </from>
              <to>
                <xdr:col>7</xdr:col>
                <xdr:colOff>133350</xdr:colOff>
                <xdr:row>10</xdr:row>
                <xdr:rowOff>123825</xdr:rowOff>
              </to>
            </anchor>
          </objectPr>
        </oleObject>
      </mc:Choice>
      <mc:Fallback>
        <oleObject progId="Equation.3" shapeId="19474" r:id="rId10"/>
      </mc:Fallback>
    </mc:AlternateContent>
    <mc:AlternateContent xmlns:mc="http://schemas.openxmlformats.org/markup-compatibility/2006">
      <mc:Choice Requires="x14">
        <oleObject progId="Equation.3" shapeId="19475" r:id="rId12">
          <objectPr defaultSize="0" autoPict="0" r:id="rId13">
            <anchor moveWithCells="1" sizeWithCells="1">
              <from>
                <xdr:col>8</xdr:col>
                <xdr:colOff>104775</xdr:colOff>
                <xdr:row>8</xdr:row>
                <xdr:rowOff>161925</xdr:rowOff>
              </from>
              <to>
                <xdr:col>10</xdr:col>
                <xdr:colOff>133350</xdr:colOff>
                <xdr:row>10</xdr:row>
                <xdr:rowOff>114300</xdr:rowOff>
              </to>
            </anchor>
          </objectPr>
        </oleObject>
      </mc:Choice>
      <mc:Fallback>
        <oleObject progId="Equation.3" shapeId="19475" r:id="rId12"/>
      </mc:Fallback>
    </mc:AlternateContent>
    <mc:AlternateContent xmlns:mc="http://schemas.openxmlformats.org/markup-compatibility/2006">
      <mc:Choice Requires="x14">
        <oleObject progId="Equation.3" shapeId="19476" r:id="rId14">
          <objectPr defaultSize="0" autoPict="0" r:id="rId15">
            <anchor moveWithCells="1" sizeWithCells="1">
              <from>
                <xdr:col>10</xdr:col>
                <xdr:colOff>304800</xdr:colOff>
                <xdr:row>8</xdr:row>
                <xdr:rowOff>200025</xdr:rowOff>
              </from>
              <to>
                <xdr:col>12</xdr:col>
                <xdr:colOff>209550</xdr:colOff>
                <xdr:row>10</xdr:row>
                <xdr:rowOff>104775</xdr:rowOff>
              </to>
            </anchor>
          </objectPr>
        </oleObject>
      </mc:Choice>
      <mc:Fallback>
        <oleObject progId="Equation.3" shapeId="19476" r:id="rId14"/>
      </mc:Fallback>
    </mc:AlternateContent>
    <mc:AlternateContent xmlns:mc="http://schemas.openxmlformats.org/markup-compatibility/2006">
      <mc:Choice Requires="x14">
        <oleObject progId="Equation.3" shapeId="19477" r:id="rId16">
          <objectPr defaultSize="0" autoPict="0" r:id="rId17">
            <anchor moveWithCells="1" sizeWithCells="1">
              <from>
                <xdr:col>14</xdr:col>
                <xdr:colOff>257175</xdr:colOff>
                <xdr:row>9</xdr:row>
                <xdr:rowOff>0</xdr:rowOff>
              </from>
              <to>
                <xdr:col>15</xdr:col>
                <xdr:colOff>390525</xdr:colOff>
                <xdr:row>10</xdr:row>
                <xdr:rowOff>123825</xdr:rowOff>
              </to>
            </anchor>
          </objectPr>
        </oleObject>
      </mc:Choice>
      <mc:Fallback>
        <oleObject progId="Equation.3" shapeId="19477" r:id="rId16"/>
      </mc:Fallback>
    </mc:AlternateContent>
    <mc:AlternateContent xmlns:mc="http://schemas.openxmlformats.org/markup-compatibility/2006">
      <mc:Choice Requires="x14">
        <oleObject progId="Equation.3" shapeId="19479" r:id="rId18">
          <objectPr defaultSize="0" autoPict="0" r:id="rId19">
            <anchor moveWithCells="1" sizeWithCells="1">
              <from>
                <xdr:col>2</xdr:col>
                <xdr:colOff>66675</xdr:colOff>
                <xdr:row>7</xdr:row>
                <xdr:rowOff>38100</xdr:rowOff>
              </from>
              <to>
                <xdr:col>6</xdr:col>
                <xdr:colOff>180975</xdr:colOff>
                <xdr:row>8</xdr:row>
                <xdr:rowOff>171450</xdr:rowOff>
              </to>
            </anchor>
          </objectPr>
        </oleObject>
      </mc:Choice>
      <mc:Fallback>
        <oleObject progId="Equation.3" shapeId="19479" r:id="rId1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26"/>
  </sheetPr>
  <dimension ref="A1:CA28212"/>
  <sheetViews>
    <sheetView view="pageBreakPreview" zoomScaleNormal="100" zoomScaleSheetLayoutView="100" workbookViewId="0">
      <selection sqref="A1:A59"/>
    </sheetView>
  </sheetViews>
  <sheetFormatPr defaultRowHeight="13.5" x14ac:dyDescent="0.15"/>
  <cols>
    <col min="1" max="1" width="2.125" style="1" customWidth="1"/>
    <col min="2" max="2" width="6.75" style="1" customWidth="1"/>
    <col min="3" max="3" width="7.125" style="1" customWidth="1"/>
    <col min="4" max="4" width="5.875" style="1" customWidth="1"/>
    <col min="5" max="6" width="5.5" style="1" customWidth="1"/>
    <col min="7" max="7" width="3" style="1" customWidth="1"/>
    <col min="8" max="8" width="3.75" style="1" customWidth="1"/>
    <col min="9" max="9" width="7.125" style="1" customWidth="1"/>
    <col min="10" max="10" width="5.75" style="1" customWidth="1"/>
    <col min="11" max="11" width="5.375" style="1" customWidth="1"/>
    <col min="12" max="12" width="5.5" style="1" customWidth="1"/>
    <col min="13" max="14" width="7" style="1" customWidth="1"/>
    <col min="15" max="15" width="5.75" style="1" customWidth="1"/>
    <col min="16" max="16" width="5.625" style="1" customWidth="1"/>
    <col min="17" max="17" width="5.5" style="1" customWidth="1"/>
    <col min="18" max="18" width="1.25" style="1" customWidth="1"/>
    <col min="19" max="31" width="10" style="1" hidden="1" customWidth="1"/>
    <col min="32" max="32" width="11.25" style="1" customWidth="1"/>
    <col min="33" max="33" width="1.25" style="1" customWidth="1"/>
    <col min="34" max="34" width="10" style="1" customWidth="1"/>
    <col min="35" max="79" width="10" style="1" hidden="1" customWidth="1"/>
    <col min="80" max="80" width="10" style="1" customWidth="1"/>
    <col min="81" max="16384" width="9" style="1"/>
  </cols>
  <sheetData>
    <row r="1" spans="1:50" ht="13.5" customHeight="1" thickBot="1" x14ac:dyDescent="0.2">
      <c r="A1" s="339" t="s">
        <v>127</v>
      </c>
      <c r="B1" s="256" t="s">
        <v>164</v>
      </c>
      <c r="C1" s="256"/>
      <c r="D1" s="176"/>
      <c r="E1" s="176"/>
      <c r="F1" s="176"/>
      <c r="G1" s="176"/>
      <c r="H1" s="176"/>
      <c r="I1" s="176"/>
      <c r="J1" s="176"/>
      <c r="K1" s="176"/>
      <c r="L1" s="377"/>
      <c r="M1" s="377"/>
      <c r="N1" s="377"/>
      <c r="O1" s="378">
        <f ca="1">NOW()</f>
        <v>43058.134259837963</v>
      </c>
      <c r="P1" s="378"/>
      <c r="Q1" s="37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K1" s="246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</row>
    <row r="2" spans="1:50" ht="15" customHeight="1" x14ac:dyDescent="0.15">
      <c r="A2" s="339"/>
      <c r="B2" s="398"/>
      <c r="C2" s="413" t="str">
        <f>'WireDip-01'!C2</f>
        <v xml:space="preserve"> 貴社名を入力して下さい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2"/>
      <c r="O2" s="257"/>
      <c r="P2" s="258"/>
      <c r="Q2" s="259"/>
      <c r="AF2" s="42" t="s">
        <v>50</v>
      </c>
      <c r="AH2" s="490" t="s">
        <v>27</v>
      </c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</row>
    <row r="3" spans="1:50" ht="10.5" customHeight="1" x14ac:dyDescent="0.15">
      <c r="A3" s="339"/>
      <c r="B3" s="399"/>
      <c r="C3" s="403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  <c r="O3" s="260"/>
      <c r="P3" s="261"/>
      <c r="Q3" s="262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66" t="str">
        <f>IF('WireDip-01'!AF3="","",'WireDip-01'!AF3)</f>
        <v>01-600V ＯＷ</v>
      </c>
      <c r="AG3" s="24"/>
      <c r="AH3" s="491" t="str">
        <f>IF('WireDip-01'!AH3="","",'WireDip-01'!AH3)</f>
        <v>MW  22sq</v>
      </c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</row>
    <row r="4" spans="1:50" ht="16.5" customHeight="1" thickBot="1" x14ac:dyDescent="0.2">
      <c r="A4" s="339"/>
      <c r="B4" s="488" t="s">
        <v>178</v>
      </c>
      <c r="C4" s="406" t="str">
        <f>'WireDip-01'!C4</f>
        <v xml:space="preserve"> 物件名を入力して下さい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8"/>
      <c r="O4" s="263" t="s">
        <v>180</v>
      </c>
      <c r="P4" s="409" t="str">
        <f>'WireDip-01'!P4</f>
        <v>サイン</v>
      </c>
      <c r="Q4" s="410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66" t="str">
        <f>IF('WireDip-01'!AF4="","",'WireDip-01'!AF4)</f>
        <v>02-6KV ＯＣ</v>
      </c>
      <c r="AG4" s="25"/>
      <c r="AH4" s="266" t="str">
        <f>IF('WireDip-01'!AH4="","",'WireDip-01'!AH4)</f>
        <v>MW  38sq</v>
      </c>
      <c r="AI4" s="26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</row>
    <row r="5" spans="1:50" ht="15.75" customHeight="1" thickBot="1" x14ac:dyDescent="0.2">
      <c r="A5" s="339"/>
      <c r="B5" s="20" t="s">
        <v>182</v>
      </c>
      <c r="C5" s="183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55" t="s">
        <v>176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66" t="str">
        <f>IF('WireDip-01'!AF5="","",'WireDip-01'!AF5)</f>
        <v>03-6KV ＯＥ</v>
      </c>
      <c r="AG5" s="40"/>
      <c r="AH5" s="266" t="str">
        <f>IF('WireDip-01'!AH5="","",'WireDip-01'!AH5)</f>
        <v>MW  55sq</v>
      </c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</row>
    <row r="6" spans="1:50" ht="18" customHeight="1" x14ac:dyDescent="0.15">
      <c r="A6" s="339"/>
      <c r="B6" s="390" t="s">
        <v>12</v>
      </c>
      <c r="C6" s="39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266" t="str">
        <f>IF('WireDip-01'!AF6="","",'WireDip-01'!AF6)</f>
        <v>04-6KV ＯＰ</v>
      </c>
      <c r="AG6" s="41"/>
      <c r="AH6" s="266" t="str">
        <f>IF('WireDip-01'!AH6="","",'WireDip-01'!AH6)</f>
        <v>MW  90sq</v>
      </c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</row>
    <row r="7" spans="1:50" ht="18" customHeight="1" x14ac:dyDescent="0.15">
      <c r="A7" s="339"/>
      <c r="B7" s="215" t="s">
        <v>11</v>
      </c>
      <c r="C7" s="18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266" t="str">
        <f>IF('WireDip-01'!AF7="","",'WireDip-01'!AF7)</f>
        <v>05-6KV ACSR-OC</v>
      </c>
      <c r="AG7" s="41"/>
      <c r="AH7" s="266" t="str">
        <f>IF('WireDip-01'!AH7="","",'WireDip-01'!AH7)</f>
        <v>MW 110sq</v>
      </c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</row>
    <row r="8" spans="1:50" ht="16.5" customHeight="1" x14ac:dyDescent="0.15">
      <c r="A8" s="339"/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266" t="str">
        <f>IF('WireDip-01'!AF8="","",'WireDip-01'!AF8)</f>
        <v>06-6KV ACSR-OE</v>
      </c>
      <c r="AG8" s="41"/>
      <c r="AH8" s="266" t="str">
        <f>IF('WireDip-01'!AH8="","",'WireDip-01'!AH8)</f>
        <v xml:space="preserve">USER Reg. </v>
      </c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</row>
    <row r="9" spans="1:50" ht="16.5" customHeight="1" x14ac:dyDescent="0.15">
      <c r="A9" s="339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266" t="str">
        <f>IF('WireDip-01'!AF9="","",'WireDip-01'!AF9)</f>
        <v>07-6KV AAAC-OC</v>
      </c>
      <c r="AG9" s="41"/>
      <c r="AH9" s="266" t="str">
        <f>IF('WireDip-01'!AH9="","",'WireDip-01'!AH9)</f>
        <v xml:space="preserve">USER Reg. </v>
      </c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</row>
    <row r="10" spans="1:50" ht="18" customHeight="1" x14ac:dyDescent="0.15">
      <c r="A10" s="339"/>
      <c r="B10" s="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266" t="str">
        <f>IF('WireDip-01'!AF10="","",'WireDip-01'!AF10)</f>
        <v>08-6KV CV-T</v>
      </c>
      <c r="AG10" s="41"/>
      <c r="AH10" s="266" t="str">
        <f>IF('WireDip-01'!AH10="","",'WireDip-01'!AH10)</f>
        <v xml:space="preserve">USER Reg. </v>
      </c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</row>
    <row r="11" spans="1:50" ht="18" customHeight="1" x14ac:dyDescent="0.15">
      <c r="A11" s="339"/>
      <c r="B11" s="5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3"/>
      <c r="S11" s="3"/>
      <c r="T11" s="3"/>
      <c r="U11" s="3"/>
      <c r="V11" s="212"/>
      <c r="W11" s="3"/>
      <c r="X11" s="3"/>
      <c r="Y11" s="3"/>
      <c r="Z11" s="3"/>
      <c r="AA11" s="3"/>
      <c r="AB11" s="3"/>
      <c r="AC11" s="3"/>
      <c r="AD11" s="3"/>
      <c r="AE11" s="3"/>
      <c r="AF11" s="266" t="str">
        <f>IF('WireDip-01'!AF11="","",'WireDip-01'!AF11)</f>
        <v>09-600V CV-2C</v>
      </c>
      <c r="AG11" s="41"/>
      <c r="AH11" s="266" t="str">
        <f>IF('WireDip-01'!AH11="","",'WireDip-01'!AH11)</f>
        <v>---〃---</v>
      </c>
      <c r="AK11" s="247"/>
      <c r="AL11" s="247"/>
      <c r="AM11" s="247"/>
      <c r="AN11" s="247"/>
      <c r="AO11" s="247"/>
      <c r="AP11" s="247"/>
      <c r="AQ11" s="247"/>
      <c r="AR11" s="247"/>
      <c r="AS11" s="247"/>
      <c r="AT11" s="247"/>
      <c r="AU11" s="247"/>
      <c r="AV11" s="247"/>
      <c r="AW11" s="247"/>
      <c r="AX11" s="247"/>
    </row>
    <row r="12" spans="1:50" ht="18" customHeight="1" x14ac:dyDescent="0.15">
      <c r="A12" s="339"/>
      <c r="B12" s="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266" t="str">
        <f>IF('WireDip-01'!AF12="","",'WireDip-01'!AF12)</f>
        <v>10-600V CV-3C</v>
      </c>
      <c r="AG12" s="41"/>
      <c r="AH12" s="41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</row>
    <row r="13" spans="1:50" ht="18" customHeight="1" x14ac:dyDescent="0.15">
      <c r="A13" s="339"/>
      <c r="B13" s="5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266" t="str">
        <f>IF('WireDip-01'!AF13="","",'WireDip-01'!AF13)</f>
        <v>11-600V CV-T</v>
      </c>
      <c r="AG13" s="41"/>
      <c r="AH13" s="41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</row>
    <row r="14" spans="1:50" ht="18" customHeight="1" x14ac:dyDescent="0.15">
      <c r="A14" s="339"/>
      <c r="B14" s="5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266" t="str">
        <f>IF('WireDip-01'!AF14="","",'WireDip-01'!AF14)</f>
        <v>12-CVV- 2C</v>
      </c>
      <c r="AG14" s="41"/>
      <c r="AH14" s="41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</row>
    <row r="15" spans="1:50" ht="18" customHeight="1" x14ac:dyDescent="0.15">
      <c r="A15" s="339"/>
      <c r="B15" s="5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248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266" t="str">
        <f>IF('WireDip-01'!AF15="","",'WireDip-01'!AF15)</f>
        <v>13-CVV- 3C</v>
      </c>
      <c r="AG15" s="41"/>
      <c r="AH15" s="41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</row>
    <row r="16" spans="1:50" ht="18" customHeight="1" x14ac:dyDescent="0.15">
      <c r="A16" s="339"/>
      <c r="B16" s="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3"/>
      <c r="S16" s="3"/>
      <c r="T16" s="95" t="s">
        <v>40</v>
      </c>
      <c r="U16" s="95" t="s">
        <v>41</v>
      </c>
      <c r="V16" s="95" t="s">
        <v>42</v>
      </c>
      <c r="W16" s="3"/>
      <c r="X16" s="3"/>
      <c r="Y16" s="3"/>
      <c r="Z16" s="3"/>
      <c r="AA16" s="3"/>
      <c r="AB16" s="3"/>
      <c r="AC16" s="3"/>
      <c r="AD16" s="3"/>
      <c r="AE16" s="3"/>
      <c r="AF16" s="266" t="str">
        <f>IF('WireDip-01'!AF16="","",'WireDip-01'!AF16)</f>
        <v>14-CVV- 4C</v>
      </c>
      <c r="AG16" s="41"/>
      <c r="AH16" s="41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</row>
    <row r="17" spans="1:50" ht="18" customHeight="1" x14ac:dyDescent="0.15">
      <c r="A17" s="339"/>
      <c r="B17" s="5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3"/>
      <c r="S17" s="170">
        <v>23</v>
      </c>
      <c r="T17" s="99">
        <f>IF(AND(AC23=AC24,AC23=AC25,AC23=AC26,AC23=AC27,AC23=AC28,AC23=AC29),S35,IF(AND(AC23=AC24,AC23=AC25,AC23=AC26,AC23=AC27,AC23=AC28),S36,IF(AND(AC23=AC24,AC23=AC25,AC23=AC26,AC23=AC27),S37,IF(AND(AC23=AC24,AC23=AC25,AC23=AC26),S38,IF(AND(AC23=AC24,AC23=AC25),S39,IF(AC23=AC24,S40,0))))))</f>
        <v>0</v>
      </c>
      <c r="U17" s="99">
        <f>IF(AND(AC23=AC24,AC23=AC25,AC23=AC26,AC23=AC27,AC23=AC28,AC23=AC29),S48,IF(AND(AC23=AC24,AC23=AC25,AC23=AC26,AC23=AC27,AC23=AC28),S49,IF(AND(AC23=AC24,AC23=AC25,AC23=AC26,AC23=AC27),S50,IF(AND(AC23=AC24,AC23=AC25,AC23=AC26),S51,IF(AND(AC23=AC24,AC23=AC25),S52,IF(AC23=AC24,S53,0))))))</f>
        <v>0</v>
      </c>
      <c r="V17" s="99">
        <f>IF(AND(AC23=AC24,AC23=AC25,AC23=AC26,AC23=AC27,AC23=AC28,AC23=AC29),S61,IF(AND(AC23=AC24,AC23=AC25,AC23=AC26,AC23=AC27,AC23=AC28),S62,IF(AND(AC23=AC24,AC23=AC25,AC23=AC26,AC23=AC27),S63,IF(AND(AC23=AC24,AC23=AC25,AC23=AC26),S64,IF(AND(AC23=AC24,AC23=AC25),S65,IF(AC23=AC24,S66,0))))))</f>
        <v>0</v>
      </c>
      <c r="W17" s="3"/>
      <c r="X17" s="3"/>
      <c r="Y17" s="3"/>
      <c r="Z17" s="3"/>
      <c r="AA17" s="3"/>
      <c r="AB17" s="3"/>
      <c r="AC17" s="3"/>
      <c r="AD17" s="3"/>
      <c r="AE17" s="3"/>
      <c r="AF17" s="266" t="str">
        <f>IF('WireDip-01'!AF17="","",'WireDip-01'!AF17)</f>
        <v>15-CVV－5C</v>
      </c>
      <c r="AG17" s="41"/>
      <c r="AH17" s="41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</row>
    <row r="18" spans="1:50" ht="13.5" customHeight="1" thickBot="1" x14ac:dyDescent="0.2">
      <c r="A18" s="339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3"/>
      <c r="S18" s="170">
        <v>23</v>
      </c>
      <c r="T18" s="99">
        <f>IF(D23="",0,IF(I23="",SQRT(((K23+S23)/10)^2+(M23+U23)^2),SQRT(((K23/10)*(H23^0.55)+S23/1000)^2+(M23*H23+U23)^2)))</f>
        <v>0</v>
      </c>
      <c r="U18" s="99">
        <f>IF(D23="",0,IF(I23="",SQRT((50*(K23/1000+0.012))^2+(M23+16.9646*(K23/1000+0.006))^2),SQRT((((K23*H23*0.001/H23)*(H23^0.55)+0.012+Y47)*50)^2+(M23*H23+16.9646*((K23*H23*0.001/H23)*(H23^0.55)+0.006)+Z47)^2)))</f>
        <v>0</v>
      </c>
      <c r="V18" s="99">
        <f>IF(D23="",0,IF(I23="",SQRT(((K23+S23)/20)^2+(M23+U23)^2),SQRT(((K23/20)*(H23^0.55)+S23/1000)^2+(M23*H23+U23)^2)))</f>
        <v>0</v>
      </c>
      <c r="W18" s="3"/>
      <c r="X18" s="3"/>
      <c r="Y18" s="3"/>
      <c r="Z18" s="3"/>
      <c r="AA18" s="3"/>
      <c r="AB18" s="3"/>
      <c r="AC18" s="3"/>
      <c r="AD18" s="3"/>
      <c r="AE18" s="3"/>
      <c r="AF18" s="266" t="str">
        <f>IF('WireDip-01'!AF18="","",'WireDip-01'!AF18)</f>
        <v>16-CVV- 6C</v>
      </c>
      <c r="AG18" s="41"/>
      <c r="AH18" s="41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</row>
    <row r="19" spans="1:50" ht="18" customHeight="1" thickBot="1" x14ac:dyDescent="0.2">
      <c r="A19" s="339"/>
      <c r="B19" s="392" t="s">
        <v>44</v>
      </c>
      <c r="C19" s="393"/>
      <c r="D19" s="364" t="s">
        <v>160</v>
      </c>
      <c r="E19" s="365"/>
      <c r="F19" s="477"/>
      <c r="G19" s="349" t="s">
        <v>184</v>
      </c>
      <c r="H19" s="349"/>
      <c r="I19" s="350"/>
      <c r="J19" s="351" t="s">
        <v>45</v>
      </c>
      <c r="K19" s="352"/>
      <c r="L19" s="214"/>
      <c r="M19" s="213" t="str">
        <f>IF(AND(B23="",B24="",B25="",B26="",B27="",B28="",B29="",OR(C33&lt;&gt;"",I33&lt;&gt;"",N33&lt;&gt;"",C47&lt;&gt;"",I47&lt;&gt;"")),"弛度補正値を消去して下さい!!",IF(AND(D23&lt;&gt;"",F19=""),"径間長を入力して下さい!!",IF(AND(D23&lt;&gt;"",L19=""),"基準弛度を入力して下さい!!","")))</f>
        <v/>
      </c>
      <c r="N19" s="38"/>
      <c r="O19" s="38"/>
      <c r="P19" s="38"/>
      <c r="Q19" s="39"/>
      <c r="R19" s="35"/>
      <c r="S19" s="170">
        <v>24</v>
      </c>
      <c r="T19" s="99" t="str">
        <f>IF(AC23=AC24,"",IF(AND(AC24=AC25,AC24=AC26,AC24=AC27,AC24=AC28,AC24=AC29),T36,IF(AND(AC24=AC25,AC24=AC26,AC24=AC27,AC24=AC28),T36,IF(AND(AC24=AC25,AC24=AC26,AC24=AC27),T38,IF(AND(AC24=AC25,AC24=AC26),T39,IF(AC24=AC25,T40,0))))))</f>
        <v/>
      </c>
      <c r="U19" s="99" t="str">
        <f>IF(AC23=AC24,"",IF(AND(AC24=AC25,AC24=AC26,AC24=AC27,AC24=AC28,AC24=AC29),T49,IF(AND(AC24=AC25,AC24=AC26,AC24=AC27,AC24=AC28),T50,IF(AND(AC24=AC25,AC24=AC26,AC24=AC27),T51,IF(AND(AC24=AC25,AC24=AC26),T52,IF(AC24=AC25,T5,0))))))</f>
        <v/>
      </c>
      <c r="V19" s="99" t="str">
        <f>IF(AC23=AC24,"",IF(AND(AC24=AC25,AC24=AC26,AC24=AC27,AC24=AC28,AC24=AC29),T62,IF(AND(AC24=AC25,AC24=AC26,AC24=AC27,AC24=AC28),T63,IF(AND(AC24=AC25,AC24=AC26,AC24=AC27),T64,IF(AND(AC24=AC25,AC24=AC26),T65,IF(AC24=AC25,T66,0))))))</f>
        <v/>
      </c>
      <c r="W19" s="35"/>
      <c r="X19" s="35"/>
      <c r="Y19" s="35"/>
      <c r="Z19" s="35"/>
      <c r="AA19" s="35"/>
      <c r="AB19" s="35"/>
      <c r="AC19" s="35"/>
      <c r="AD19" s="35"/>
      <c r="AE19" s="35"/>
      <c r="AF19" s="266" t="str">
        <f>IF('WireDip-01'!AF19="","",'WireDip-01'!AF19)</f>
        <v>17-CVV- 7C</v>
      </c>
      <c r="AG19" s="41"/>
      <c r="AH19" s="41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</row>
    <row r="20" spans="1:50" ht="11.25" customHeight="1" x14ac:dyDescent="0.15">
      <c r="A20" s="339"/>
      <c r="B20" s="367" t="s">
        <v>60</v>
      </c>
      <c r="C20" s="368"/>
      <c r="D20" s="316" t="s">
        <v>26</v>
      </c>
      <c r="E20" s="317"/>
      <c r="F20" s="316" t="s">
        <v>185</v>
      </c>
      <c r="G20" s="317"/>
      <c r="H20" s="322" t="s">
        <v>29</v>
      </c>
      <c r="I20" s="340" t="s">
        <v>323</v>
      </c>
      <c r="J20" s="353" t="s">
        <v>61</v>
      </c>
      <c r="K20" s="343" t="s">
        <v>43</v>
      </c>
      <c r="L20" s="344"/>
      <c r="M20" s="344"/>
      <c r="N20" s="345"/>
      <c r="O20" s="381" t="s">
        <v>51</v>
      </c>
      <c r="P20" s="344"/>
      <c r="Q20" s="382"/>
      <c r="R20" s="36"/>
      <c r="S20" s="169">
        <v>24</v>
      </c>
      <c r="T20" s="99">
        <f>IF(D24="",0,IF(I24="",SQRT(((K24+S24)/10)^2+(M24+U24)^2),SQRT((K24*(H24^0.55)/10+S24/1000)^2+(M24*H24+U24)^2)))</f>
        <v>0</v>
      </c>
      <c r="U20" s="99">
        <f>IF(D24="",0,IF(I24="",SQRT((50*(K24/1000+0.012))^2+(M24+16.9646*(K24/1000+0.006))^2),SQRT((((K24*H24*0.001/H24)*(H24^0.55)+0.012+Y48)*50)^2+(M24*H24+16.9646*((K24*H24*0.001/H24)*(H24^0.55)+0.006)+Z48)^2)))</f>
        <v>0</v>
      </c>
      <c r="V20" s="99">
        <f>IF(D24="",0,IF(I24="",SQRT(((K24+S24)/20)^2+(M24+U24)^2),SQRT((K24*(H24^0.55)/20+S24/1000)^2+(M24*H24+U24)^2)))</f>
        <v>0</v>
      </c>
      <c r="W20" s="36"/>
      <c r="X20" s="36"/>
      <c r="Y20" s="254" t="s">
        <v>324</v>
      </c>
      <c r="Z20" s="36"/>
      <c r="AA20" s="36"/>
      <c r="AB20" s="36"/>
      <c r="AC20" s="36"/>
      <c r="AD20" s="36"/>
      <c r="AE20" s="36"/>
      <c r="AF20" s="266" t="str">
        <f>IF('WireDip-01'!AF20="","",'WireDip-01'!AF20)</f>
        <v>18-CVV- 8C</v>
      </c>
      <c r="AG20" s="41"/>
      <c r="AH20" s="41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</row>
    <row r="21" spans="1:50" ht="11.25" customHeight="1" x14ac:dyDescent="0.15">
      <c r="A21" s="339"/>
      <c r="B21" s="369"/>
      <c r="C21" s="370"/>
      <c r="D21" s="318"/>
      <c r="E21" s="319"/>
      <c r="F21" s="318"/>
      <c r="G21" s="319"/>
      <c r="H21" s="323"/>
      <c r="I21" s="341"/>
      <c r="J21" s="354"/>
      <c r="K21" s="49" t="s">
        <v>32</v>
      </c>
      <c r="L21" s="50" t="s">
        <v>34</v>
      </c>
      <c r="M21" s="50" t="s">
        <v>36</v>
      </c>
      <c r="N21" s="50" t="s">
        <v>38</v>
      </c>
      <c r="O21" s="50" t="s">
        <v>40</v>
      </c>
      <c r="P21" s="50" t="s">
        <v>41</v>
      </c>
      <c r="Q21" s="52" t="s">
        <v>42</v>
      </c>
      <c r="R21" s="36"/>
      <c r="S21" s="36"/>
      <c r="T21" s="36"/>
      <c r="U21" s="36"/>
      <c r="V21" s="36"/>
      <c r="W21" s="36"/>
      <c r="X21" s="36"/>
      <c r="Y21" s="50" t="s">
        <v>36</v>
      </c>
      <c r="Z21" s="36"/>
      <c r="AA21" s="36"/>
      <c r="AB21" s="36"/>
      <c r="AC21" s="36"/>
      <c r="AD21" s="36"/>
      <c r="AE21" s="36"/>
      <c r="AF21" s="266" t="str">
        <f>IF('WireDip-01'!AF21="","",'WireDip-01'!AF21)</f>
        <v>19-CVV-10C</v>
      </c>
      <c r="AG21" s="41"/>
      <c r="AH21" s="41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</row>
    <row r="22" spans="1:50" ht="11.25" customHeight="1" x14ac:dyDescent="0.15">
      <c r="A22" s="339"/>
      <c r="B22" s="371"/>
      <c r="C22" s="372"/>
      <c r="D22" s="320"/>
      <c r="E22" s="321"/>
      <c r="F22" s="320"/>
      <c r="G22" s="321"/>
      <c r="H22" s="324"/>
      <c r="I22" s="342"/>
      <c r="J22" s="355"/>
      <c r="K22" s="37" t="s">
        <v>325</v>
      </c>
      <c r="L22" s="51" t="s">
        <v>326</v>
      </c>
      <c r="M22" s="51" t="s">
        <v>327</v>
      </c>
      <c r="N22" s="51" t="s">
        <v>328</v>
      </c>
      <c r="O22" s="51" t="s">
        <v>329</v>
      </c>
      <c r="P22" s="51" t="s">
        <v>330</v>
      </c>
      <c r="Q22" s="30" t="s">
        <v>330</v>
      </c>
      <c r="R22" s="36"/>
      <c r="S22" s="103" t="s">
        <v>32</v>
      </c>
      <c r="T22" s="103" t="s">
        <v>34</v>
      </c>
      <c r="U22" s="103" t="s">
        <v>36</v>
      </c>
      <c r="V22" s="104" t="s">
        <v>331</v>
      </c>
      <c r="W22" s="104" t="s">
        <v>332</v>
      </c>
      <c r="X22" s="100"/>
      <c r="Y22" s="51" t="s">
        <v>327</v>
      </c>
      <c r="Z22" s="100"/>
      <c r="AA22" s="36"/>
      <c r="AB22" s="36"/>
      <c r="AC22" s="43" t="s">
        <v>333</v>
      </c>
      <c r="AD22" s="43" t="s">
        <v>334</v>
      </c>
      <c r="AE22" s="36"/>
      <c r="AF22" s="266" t="str">
        <f>IF('WireDip-01'!AF22="","",'WireDip-01'!AF22)</f>
        <v>20-CVV-12C</v>
      </c>
      <c r="AG22" s="41"/>
      <c r="AH22" s="41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</row>
    <row r="23" spans="1:50" ht="15" customHeight="1" x14ac:dyDescent="0.15">
      <c r="A23" s="339"/>
      <c r="B23" s="394" t="str">
        <f>IF(OR(D23="",F23="",H23="",J23=""),"","使用電線-"&amp;AC23)</f>
        <v/>
      </c>
      <c r="C23" s="395"/>
      <c r="D23" s="325"/>
      <c r="E23" s="326"/>
      <c r="F23" s="478"/>
      <c r="G23" s="479" t="str">
        <f t="shared" ref="G23:G29" si="0">IF(F23=0,"",IF(OR(F23=0.5,F23=1.2,F23=2.6,F23=3.2,F23=4,F23=5),"mm","sq"))</f>
        <v/>
      </c>
      <c r="H23" s="480"/>
      <c r="I23" s="481"/>
      <c r="J23" s="482"/>
      <c r="K23" s="190" t="str">
        <f>IF(B23="","",HLOOKUP(F23,Ｗｉｒｅ,3+(VALUE(LEFT(D23,2))-1)*8,FALSE))</f>
        <v/>
      </c>
      <c r="L23" s="189" t="str">
        <f t="shared" ref="L23:L29" si="1">IF(B23="","",IF(I23="",HLOOKUP(F23,Ｗｉｒｅ,4+(VALUE(LEFT(D23,2))-1)*8),T23))</f>
        <v/>
      </c>
      <c r="M23" s="191" t="str">
        <f>IF(AND(I24="---〃---",I25="---〃---",I26="---〃---",I27="---〃---",I28="---〃---",I29="---〃---"),SUM(Y23:Y29),IF(AND(I24="---〃---",I25="---〃---",I26="---〃---",I27="---〃---",I28="---〃---"),SUM(Y23:Y28),IF(AND(I24="---〃---",I25="---〃---",I26="---〃---",I27="---〃---"),SUM(Y23:Y27),IF(AND(I24="---〃---",I25="---〃---",I26="---〃---"),SUM(Y23:Y26),IF(AND(I24="---〃---",I25="---〃---"),SUM(Y23:Y25),IF(I24="---〃---",SUM(Y23:Y24),Y23))))))</f>
        <v/>
      </c>
      <c r="N23" s="192" t="str">
        <f>IF(B23="","",IF(I23="",HLOOKUP(F23,Ｗｉｒｅ,6+(VALUE(LEFT(D23,2))-1)*8,FALSE),VLOOKUP(I23,Ｍ.Ｗｉｒｅ,5,FALSE)))</f>
        <v/>
      </c>
      <c r="O23" s="191" t="str">
        <f>IF(B23="","",IF(T17=0,T18,T17))</f>
        <v/>
      </c>
      <c r="P23" s="191" t="str">
        <f>IF(B23="","",IF(U17=0,U18,U17))</f>
        <v/>
      </c>
      <c r="Q23" s="193" t="str">
        <f>IF(B23="","",IF(V17=0,V18,V17))</f>
        <v/>
      </c>
      <c r="R23" s="58"/>
      <c r="S23" s="54">
        <f>IF(OR(I23=AH3,I23=AH4,I23=AH5,I23=AH6,I23=AH7,I23=AH8,I23=AH9,I23=AH10),VLOOKUP(I23,Ｍ.Ｗｉｒｅ,2,FALSE),0)</f>
        <v>0</v>
      </c>
      <c r="T23" s="54">
        <f>IF(OR(I23=AH3,I23=AH4,I23=AH5,I23=AH6,I23=AH7,I23=AH8,I23=AH9,I23=AH10),VLOOKUP(I23,Ｍ.Ｗｉｒｅ,3,FALSE),0)</f>
        <v>0</v>
      </c>
      <c r="U23" s="54">
        <f>IF(OR(I23=AH3,I23=AH4,I23=AH5,I23=AH6,I23=AH7,I23=AH8,I23=AH9,I23=AH10),VLOOKUP(I23,Ｍ.Ｗｉｒｅ,4,FALSE),0)</f>
        <v>0</v>
      </c>
      <c r="V23" s="96">
        <f t="shared" ref="V23:V29" si="2">IF(B23="",0,IF(I23="---〃---","",IF(I23="",HLOOKUP(F23,Ｗｉｒｅ,7+(VALUE(LEFT(D23,2))-1)*8,FALSE),VLOOKUP(I23,Ｍ.Ｗｉｒｅ,6,FALSE))))</f>
        <v>0</v>
      </c>
      <c r="W23" s="53">
        <f t="shared" ref="W23:W29" si="3">IF(B23="",0,IF(I23="---〃---","",IF(I23="",HLOOKUP(F23,Ｗｉｒｅ,8+(VALUE(LEFT(D23,2))-1)*8,FALSE),VLOOKUP(I23,Ｍ.Ｗｉｒｅ,7,FALSE))))</f>
        <v>0</v>
      </c>
      <c r="X23" s="101"/>
      <c r="Y23" s="54" t="str">
        <f t="shared" ref="Y23:Y29" si="4">IF(B23="","",HLOOKUP(F23,Ｗｉｒｅ,5+(VALUE(LEFT(D23,2))-1)*8)*H23)</f>
        <v/>
      </c>
      <c r="Z23" s="101"/>
      <c r="AA23" s="58"/>
      <c r="AB23" s="53" t="str">
        <f>IF(AC23="","",1)</f>
        <v/>
      </c>
      <c r="AC23" s="53" t="str">
        <f>IF(AND(D23&lt;&gt;"",OR(AD23=0,AD23=1)),1,"")</f>
        <v/>
      </c>
      <c r="AD23" s="53">
        <f t="shared" ref="AD23:AD29" si="5">IF(I23="",0,IF(I23="---〃---",2,IF(I23&lt;&gt;"",1,"入力ミス")))</f>
        <v>0</v>
      </c>
      <c r="AE23" s="58"/>
      <c r="AF23" s="266" t="str">
        <f>IF('WireDip-01'!AF23="","",'WireDip-01'!AF23)</f>
        <v>21-CVV-15C</v>
      </c>
      <c r="AG23" s="41"/>
      <c r="AH23" s="41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</row>
    <row r="24" spans="1:50" ht="15" customHeight="1" x14ac:dyDescent="0.15">
      <c r="A24" s="339"/>
      <c r="B24" s="373" t="str">
        <f>IF(OR(D24="",F24="",H24="",J24=""),"",IF(AC23=AC24,"---〃---","使用電線-"&amp;AC24))</f>
        <v/>
      </c>
      <c r="C24" s="374"/>
      <c r="D24" s="327"/>
      <c r="E24" s="328"/>
      <c r="F24" s="483"/>
      <c r="G24" s="479" t="str">
        <f t="shared" si="0"/>
        <v/>
      </c>
      <c r="H24" s="484"/>
      <c r="I24" s="485"/>
      <c r="J24" s="486"/>
      <c r="K24" s="194" t="str">
        <f>IF(B24="","",HLOOKUP(F24,Ｗｉｒｅ,3+(VALUE(LEFT(D24,2))-1)*8,FALSE))</f>
        <v/>
      </c>
      <c r="L24" s="189" t="str">
        <f t="shared" si="1"/>
        <v/>
      </c>
      <c r="M24" s="195" t="str">
        <f>IF(I24="---〃---",0.00001,IF(AND(I25="---〃---",I26="---〃---",I27="---〃---",I28="---〃---",I29="---〃---"),SUM(Y24:Y29),IF(AND(I25="---〃---",I26="---〃---",I27="---〃---",I28="---〃---"),SUM(Y24:Y28),IF(AND(I25="---〃---",I26="---〃---",I27="---〃---"),SUM(Y24:Y27),IF(AND(I25="---〃---",I26="---〃---"),SUM(Y24:Y26),IF(I25="---〃---",SUM(Y24:Y25),Y24))))))</f>
        <v/>
      </c>
      <c r="N24" s="196" t="str">
        <f>IF(OR(B24="",I24="---〃---"),"",IF(I24="",HLOOKUP(F24,Ｗｉｒｅ,6+(VALUE(LEFT(D24,2))-1)*8,FALSE),VLOOKUP(I24,Ｍ.Ｗｉｒｅ,5,FALSE)))</f>
        <v/>
      </c>
      <c r="O24" s="195" t="str">
        <f>IF(AND(T19=0,T20=0),"",IF(T19=0,T20,T19))</f>
        <v/>
      </c>
      <c r="P24" s="195" t="str">
        <f>IF(AND(U19=0,U20=0),"",IF(U19=0,U20,U19))</f>
        <v/>
      </c>
      <c r="Q24" s="197" t="str">
        <f>IF(AND(V19=0,V20=0),"",IF(V19=0,V20,V19))</f>
        <v/>
      </c>
      <c r="R24" s="58"/>
      <c r="S24" s="54">
        <f>IF(OR(I24=AH3,I24=AH4,I24=AH5,I24=AH6,I24=AH7,I24=AH8,I24=AH9,I24=AH10),VLOOKUP(I24,Ｍ.Ｗｉｒｅ,2,FALSE),0)</f>
        <v>0</v>
      </c>
      <c r="T24" s="54">
        <f>IF(OR(I24=AH3,I24=AH4,I24=AH5,I24=AH6,I24=AH7,I24=AH8,I24=AH9,I24=AH10),VLOOKUP(I24,Ｍ.Ｗｉｒｅ,3,FALSE),0)</f>
        <v>0</v>
      </c>
      <c r="U24" s="54">
        <f>IF(OR(I24=AH3,I24=AH4,I24=AH5,I24=AH6,I24=AH7,I24=AH8,I24=AH9,I24=AH10),VLOOKUP(I24,Ｍ.Ｗｉｒｅ,4,FALSE),0)</f>
        <v>0</v>
      </c>
      <c r="V24" s="96">
        <f t="shared" si="2"/>
        <v>0</v>
      </c>
      <c r="W24" s="53">
        <f t="shared" si="3"/>
        <v>0</v>
      </c>
      <c r="X24" s="101"/>
      <c r="Y24" s="54" t="str">
        <f t="shared" si="4"/>
        <v/>
      </c>
      <c r="Z24" s="101"/>
      <c r="AA24" s="58"/>
      <c r="AB24" s="53" t="str">
        <f t="shared" ref="AB24:AB29" si="6">IF(AC24="","",AB23+1)</f>
        <v/>
      </c>
      <c r="AC24" s="53" t="str">
        <f t="shared" ref="AC24:AC29" si="7">IF(AND(D24&lt;&gt;"",AD24=2),AC23,IF(AND(D24&lt;&gt;"",OR(AD24=0,AD24=1)),AC23+1,""))</f>
        <v/>
      </c>
      <c r="AD24" s="53">
        <f t="shared" si="5"/>
        <v>0</v>
      </c>
      <c r="AE24" s="58"/>
      <c r="AF24" s="266" t="str">
        <f>IF('WireDip-01'!AF24="","",'WireDip-01'!AF24)</f>
        <v>22-CVV-20C</v>
      </c>
      <c r="AG24" s="41"/>
      <c r="AH24" s="41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</row>
    <row r="25" spans="1:50" ht="15" customHeight="1" x14ac:dyDescent="0.15">
      <c r="A25" s="339"/>
      <c r="B25" s="373" t="str">
        <f>IF(OR(D25="",F25="",H25="",J25=""),"",IF(AC24=AC25,"---〃---","使用電線-"&amp;AC25))</f>
        <v/>
      </c>
      <c r="C25" s="374"/>
      <c r="D25" s="327"/>
      <c r="E25" s="328"/>
      <c r="F25" s="483"/>
      <c r="G25" s="479" t="str">
        <f t="shared" si="0"/>
        <v/>
      </c>
      <c r="H25" s="484"/>
      <c r="I25" s="485"/>
      <c r="J25" s="486"/>
      <c r="K25" s="194" t="str">
        <f>IF(B25="","",HLOOKUP(F25,Ｗｉｒｅ,3+(VALUE(LEFT(D25,2))-1)*8,FALSE))</f>
        <v/>
      </c>
      <c r="L25" s="189" t="str">
        <f t="shared" si="1"/>
        <v/>
      </c>
      <c r="M25" s="195" t="str">
        <f>IF(I25="---〃---",0.00001,IF(AND(I26="---〃---",I27="---〃---",I28="---〃---",I29="---〃---"),SUM(Y25:Y29),IF(AND(I26="---〃---",I27="---〃---",I28="---〃---"),SUM(Y25:Y28),IF(AND(I26="---〃---",I27="---〃---"),SUM(Y25:Y27),IF(I26="---〃---",SUM(Y25:Y26),Y25)))))</f>
        <v/>
      </c>
      <c r="N25" s="196" t="str">
        <f>IF(OR(B25="",I25="---〃---"),"",IF(I25="",HLOOKUP(F25,Ｗｉｒｅ,6+(VALUE(LEFT(D25,2))-1)*8,FALSE),VLOOKUP(I25,Ｍ.Ｗｉｒｅ,5,FALSE)))</f>
        <v/>
      </c>
      <c r="O25" s="195" t="str">
        <f>IF(B25="","",IF(AC24=AC25,"",IF(AND(AC25=AC26,AC25=AC27,AC25=AC28,AC25=AC29),U37,IF(AND(AC25=AC26,AC25=AC27,AC25=AC28),U38,IF(AND(AC25=AC26,AC25=AC27),U39,IF(AC25=AC26,U40,IF(I25="",SQRT(((K25+S25)/10)^2+(M25+U25)^2),SQRT(((K25/10)*(H25^0.55)+S25/1000)^2+(M25*H25+U25)^2))))))))</f>
        <v/>
      </c>
      <c r="P25" s="195" t="str">
        <f>IF(O25="","",IF(AC24=AC25,"",IF(AND(AC25=AC26,AC25=AC27,AC25=AC28,AC25=AC29),U50,IF(AND(AC25=AC26,AC25=AC27,AC25=AC28),U51,IF(AND(AC25=AC26,AC25=AC27),U52,IF(AC25=AC26,U53,IF(I25="",SQRT((50*(K25/1000+0.012))^2+(M25+16.9646*(K25/1000+0.006))^2),SQRT((((K25*H25*0.001/H25)*(H25^0.55)+0.012+Y49)*50)^2+(M25*H25+16.9646*((K25*H25*0.001/H25)*(H25^0.55)+0.006)+Z49)^2))))))))</f>
        <v/>
      </c>
      <c r="Q25" s="197" t="str">
        <f>IF(O25="","",IF(AC24=AC25,"",IF(AND(AC25=AC26,AC25=AC27,AC25=AC28,AC25=AC29),U63,IF(AND(AC25=AC26,AC25=AC27,AC25=AC28),U64,IF(AND(AC25=AC26,AC25=AC27),U65,IF(AC25=AC26,U66,IF(I25="",SQRT(((K25+S25)/20)^2+(M25+U25)^2),SQRT(((K25/20)*(H25^0.55)+S25/1000)^2+(M25*H25+U25)^2))))))))</f>
        <v/>
      </c>
      <c r="R25" s="58"/>
      <c r="S25" s="54">
        <f>IF(OR(I25=AH3,I25=AH4,I25=AH5,I25=AH6,I25=AH7,I25=AH8,I25=AH9,I25=AH10),VLOOKUP(I25,Ｍ.Ｗｉｒｅ,2,FALSE),0)</f>
        <v>0</v>
      </c>
      <c r="T25" s="54">
        <f>IF(OR(I25=AH3,I25=AH4,I25=AH5,I25=AH6,I25=AH7,I25=AH8,I25=AH9,I25=AH10),VLOOKUP(I25,Ｍ.Ｗｉｒｅ,3,FALSE),0)</f>
        <v>0</v>
      </c>
      <c r="U25" s="54">
        <f>IF(OR(I25=AH3,I25=AH4,I25=AH5,I25=AH6,I25=AH7,I25=AH8,I25=AH9,I25=AH10),VLOOKUP(I25,Ｍ.Ｗｉｒｅ,4,FALSE),0)</f>
        <v>0</v>
      </c>
      <c r="V25" s="96">
        <f t="shared" si="2"/>
        <v>0</v>
      </c>
      <c r="W25" s="53">
        <f t="shared" si="3"/>
        <v>0</v>
      </c>
      <c r="X25" s="101"/>
      <c r="Y25" s="54" t="str">
        <f t="shared" si="4"/>
        <v/>
      </c>
      <c r="Z25" s="101"/>
      <c r="AA25" s="58"/>
      <c r="AB25" s="53" t="str">
        <f t="shared" si="6"/>
        <v/>
      </c>
      <c r="AC25" s="53" t="str">
        <f t="shared" si="7"/>
        <v/>
      </c>
      <c r="AD25" s="53">
        <f t="shared" si="5"/>
        <v>0</v>
      </c>
      <c r="AE25" s="58"/>
      <c r="AF25" s="266" t="str">
        <f>IF('WireDip-01'!AF25="","",'WireDip-01'!AF25)</f>
        <v>23-CVV-30C</v>
      </c>
      <c r="AG25" s="41"/>
      <c r="AH25" s="41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</row>
    <row r="26" spans="1:50" ht="15" customHeight="1" x14ac:dyDescent="0.15">
      <c r="A26" s="339"/>
      <c r="B26" s="373" t="str">
        <f>IF(OR(D26="",F26="",H26="",J26=""),"",IF(AC25=AC26,"---〃---","使用電線-"&amp;AC26))</f>
        <v/>
      </c>
      <c r="C26" s="374"/>
      <c r="D26" s="327"/>
      <c r="E26" s="328"/>
      <c r="F26" s="483"/>
      <c r="G26" s="479" t="str">
        <f t="shared" si="0"/>
        <v/>
      </c>
      <c r="H26" s="484"/>
      <c r="I26" s="485"/>
      <c r="J26" s="486"/>
      <c r="K26" s="194" t="str">
        <f>IF(B26="","",HLOOKUP(F26,Ｗｉｒｅ,3+(VALUE(LEFT(D26,2))-1)*8,FALSE))</f>
        <v/>
      </c>
      <c r="L26" s="189" t="str">
        <f t="shared" si="1"/>
        <v/>
      </c>
      <c r="M26" s="195" t="str">
        <f>IF(I26="---〃---",0.00001,IF(AND(I27="---〃---",I28="---〃---",I29="---〃---"),SUM(Y26:Y29),IF(AND(I27="---〃---",I28="---〃---"),SUM(Y26:Y28),IF(I27="---〃---",SUM(Y26:Y27),Y26))))</f>
        <v/>
      </c>
      <c r="N26" s="196" t="str">
        <f>IF(OR(B26="",I26="---〃---"),"",IF(I26="",HLOOKUP(F26,Ｗｉｒｅ,6+(VALUE(LEFT(D26,2))-1)*8,FALSE),VLOOKUP(I26,Ｍ.Ｗｉｒｅ,5,FALSE)))</f>
        <v/>
      </c>
      <c r="O26" s="195" t="str">
        <f>IF(B26="","",IF(AC25=AC26,"",IF(AND(AC26=AC27,AC26=AC28,AC26=AC29),V38,IF(AND(AC26=AC27,AC26=AC28),V39,IF(AC26=AC27,V40,IF(I26="",SQRT(((K26+S26)/10)^2+(M26+U26)^2),SQRT(((K26/10)*(H26^0.55)+S26/1000)^2+(M26*H26+U26)^2)))))))</f>
        <v/>
      </c>
      <c r="P26" s="195" t="str">
        <f>IF(O26="","",IF(AC25=AC26,"",IF(AND(AC26=AC27,AC26=AC28,AC26=AC29),V51,IF(AND(AC26=AC27,AC26=AC28),V52,IF(AC26=AC27,V53,IF(I26="",SQRT((50*(K26/1000+0.012))^2+(M26+16.9646*(K26/1000+0.006))^2),SQRT((((K26*H26*0.001/H26)*(H26^0.55)+0.012+Y50)*50)^2+(M26*H26+16.9646*((K26*H26*0.001/H26)*(H26^0.55)+0.006)+Z50)^2)))))))</f>
        <v/>
      </c>
      <c r="Q26" s="197" t="str">
        <f>IF(O26="","",IF(AC25=AC26,"",IF(AND(AC26=AC27,AC26=AC28,AC26=AC29),V64,IF(AND(AC26=AC27,AC26=AC28),V65,IF(AC26=AC27,V66,IF(I26="",SQRT(((K26+S26)/20)^2+(M26+U26)^2),SQRT(((K26/20)*(H26^0.55)+S26/1000)^2+(M26*H26+U26)^2)))))))</f>
        <v/>
      </c>
      <c r="R26" s="58"/>
      <c r="S26" s="54">
        <f>IF(OR(I26=AH3,I26=AH4,I26=AH5,I26=AH6,I26=AH7,I26=AH8,I26=AH9,I26=AH10),VLOOKUP(I26,Ｍ.Ｗｉｒｅ,2,FALSE),0)</f>
        <v>0</v>
      </c>
      <c r="T26" s="54">
        <f>IF(OR(I26=AH3,I26=AH4,I26=AH5,I26=AH6,I26=AH7,I26=AH8,I26=AH9,I26=AH10),VLOOKUP(I26,Ｍ.Ｗｉｒｅ,3,FALSE),0)</f>
        <v>0</v>
      </c>
      <c r="U26" s="54">
        <f>IF(OR(I26=AH3,I26=AH4,I26=AH5,I26=AH6,I26=AH7,I26=AH8,I26=AH9,I26=AH10),VLOOKUP(I26,Ｍ.Ｗｉｒｅ,4,FALSE),0)</f>
        <v>0</v>
      </c>
      <c r="V26" s="96">
        <f t="shared" si="2"/>
        <v>0</v>
      </c>
      <c r="W26" s="53">
        <f t="shared" si="3"/>
        <v>0</v>
      </c>
      <c r="X26" s="101"/>
      <c r="Y26" s="54" t="str">
        <f t="shared" si="4"/>
        <v/>
      </c>
      <c r="Z26" s="101"/>
      <c r="AA26" s="58"/>
      <c r="AB26" s="53" t="str">
        <f t="shared" si="6"/>
        <v/>
      </c>
      <c r="AC26" s="53" t="str">
        <f t="shared" si="7"/>
        <v/>
      </c>
      <c r="AD26" s="53">
        <f t="shared" si="5"/>
        <v>0</v>
      </c>
      <c r="AE26" s="58"/>
      <c r="AF26" s="266" t="str">
        <f>IF('WireDip-01'!AF26="","",'WireDip-01'!AF26)</f>
        <v xml:space="preserve">24-USER Reg. </v>
      </c>
      <c r="AG26" s="41"/>
      <c r="AH26" s="41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</row>
    <row r="27" spans="1:50" ht="15" customHeight="1" x14ac:dyDescent="0.15">
      <c r="A27" s="339"/>
      <c r="B27" s="373" t="str">
        <f>IF(OR(D27="",F27="",H27="",J27=""),"",IF(AC26=AC27,"---〃---","使用電線-"&amp;AC27))</f>
        <v/>
      </c>
      <c r="C27" s="374"/>
      <c r="D27" s="327"/>
      <c r="E27" s="328"/>
      <c r="F27" s="483"/>
      <c r="G27" s="479" t="str">
        <f t="shared" si="0"/>
        <v/>
      </c>
      <c r="H27" s="484"/>
      <c r="I27" s="485"/>
      <c r="J27" s="486"/>
      <c r="K27" s="194" t="str">
        <f>IF(B27="","",HLOOKUP(F27,Ｗｉｒｅ,3+(VALUE(LEFT(D27,2))-1)*8,FALSE))</f>
        <v/>
      </c>
      <c r="L27" s="189" t="str">
        <f t="shared" si="1"/>
        <v/>
      </c>
      <c r="M27" s="195" t="str">
        <f>IF(I27="---〃---",0.00001,IF(AND(I28="---〃---",I29="---〃---"),SUM(Y27:Y29),IF(I28="---〃---",SUM(Y27:Y28),Y27)))</f>
        <v/>
      </c>
      <c r="N27" s="196" t="str">
        <f>IF(OR(B27="",I27="---〃---"),"",IF(I27="",HLOOKUP(F27,Ｗｉｒｅ,6+(VALUE(LEFT(D27,2))-1)*8,FALSE),VLOOKUP(I27,Ｍ.Ｗｉｒｅ,5,FALSE)))</f>
        <v/>
      </c>
      <c r="O27" s="195" t="str">
        <f>IF(B27="","",IF(AC26=AC27,"",IF(AND(AC27=AC28,AC27=AC29),W39,IF(AC27=AC28,W40,IF(I27="",SQRT(((K27+S27)/10)^2+(M27+U27)^2),SQRT(((K27/10)*(H27^0.55)+S27/1000)^2+(M27*H27+U27)^2))))))</f>
        <v/>
      </c>
      <c r="P27" s="195" t="str">
        <f>IF(O27="","",IF(AC26=AC27,"",IF(AND(AC27=AC28,AC27=AC29),W52,IF(AC27=AC28,W53,IF(I27="",SQRT((50*(K27/1000+0.012))^2+(M27+16.9646*(K27/1000+0.006))^2),SQRT((((K27*H27*0.001/H27)*(H27^0.55)+0.012+Y51)*50)^2+(M27*H27+16.9646*((K27*H27*0.001/H27)*(H27^0.55)+0.006)+Z51)^2))))))</f>
        <v/>
      </c>
      <c r="Q27" s="197" t="str">
        <f>IF(O27="","",IF(AC26=AC27,"",IF(AND(AC27=AC28,AC27=AC29),W65,IF(AC27=AC28,W66,IF(I27="",SQRT(((K27+S27)/20)^2+(M27+U27)^2),SQRT(((K27/20)*(H27^0.55)+S27/1000)^2+(M27*H27+U27)^2))))))</f>
        <v/>
      </c>
      <c r="R27" s="58"/>
      <c r="S27" s="54">
        <f>IF(OR(I27=AH3,I27=AH4,I27=AH5,I27=AH6,I27=AH7,I27=AH8,I27=AH9,I27=AH10),VLOOKUP(I27,Ｍ.Ｗｉｒｅ,2,FALSE),0)</f>
        <v>0</v>
      </c>
      <c r="T27" s="54">
        <f>IF(OR(I27=AH3,I27=AH4,I27=AH5,I27=AH6,I27=AH7,I27=AH8,I27=AH9,I27=AH10),VLOOKUP(I27,Ｍ.Ｗｉｒｅ,3,FALSE),0)</f>
        <v>0</v>
      </c>
      <c r="U27" s="54">
        <f>IF(OR(I27=AH3,I27=AH4,I27=AH5,I27=AH6,I27=AH7,I27=AH8,I27=AH9,I27=AH10),VLOOKUP(I27,Ｍ.Ｗｉｒｅ,4,FALSE),0)</f>
        <v>0</v>
      </c>
      <c r="V27" s="96">
        <f t="shared" si="2"/>
        <v>0</v>
      </c>
      <c r="W27" s="53">
        <f t="shared" si="3"/>
        <v>0</v>
      </c>
      <c r="X27" s="101"/>
      <c r="Y27" s="54" t="str">
        <f t="shared" si="4"/>
        <v/>
      </c>
      <c r="Z27" s="101"/>
      <c r="AA27" s="58"/>
      <c r="AB27" s="53" t="str">
        <f t="shared" si="6"/>
        <v/>
      </c>
      <c r="AC27" s="53" t="str">
        <f t="shared" si="7"/>
        <v/>
      </c>
      <c r="AD27" s="53">
        <f t="shared" si="5"/>
        <v>0</v>
      </c>
      <c r="AE27" s="58"/>
      <c r="AF27" s="266" t="str">
        <f>IF('WireDip-01'!AF27="","",'WireDip-01'!AF27)</f>
        <v xml:space="preserve">25-USER Reg. </v>
      </c>
      <c r="AG27" s="41"/>
      <c r="AH27" s="41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</row>
    <row r="28" spans="1:50" ht="15" customHeight="1" x14ac:dyDescent="0.15">
      <c r="A28" s="339"/>
      <c r="B28" s="373" t="str">
        <f>IF(AC28="","",IF(AC28&gt;5,"計算不可",IF(OR(D28="",F28="",H28="",J28=""),"",IF(AC27=AC28,"---〃---","使用電線-"&amp;AC28))))</f>
        <v/>
      </c>
      <c r="C28" s="374"/>
      <c r="D28" s="327"/>
      <c r="E28" s="328"/>
      <c r="F28" s="483"/>
      <c r="G28" s="479" t="str">
        <f t="shared" si="0"/>
        <v/>
      </c>
      <c r="H28" s="484"/>
      <c r="I28" s="485"/>
      <c r="J28" s="486"/>
      <c r="K28" s="194" t="str">
        <f>IF(OR(B28="",B28="計算不可"),"",HLOOKUP(F28,Ｗｉｒｅ,3+(VALUE(LEFT(D28,2))-1)*8,FALSE))</f>
        <v/>
      </c>
      <c r="L28" s="189" t="str">
        <f t="shared" si="1"/>
        <v/>
      </c>
      <c r="M28" s="195" t="str">
        <f>IF(I28="---〃---",0.00001,IF(I29="---〃---",SUM(Y28:Y29),Y28))</f>
        <v/>
      </c>
      <c r="N28" s="196" t="str">
        <f>IF(OR(B28="",I28="---〃---",B28="計算不可"),"",IF(I28="",HLOOKUP(F28,Ｗｉｒｅ,6+(VALUE(LEFT(D28,2))-1)*8,FALSE),VLOOKUP(I28,Ｍ.Ｗｉｒｅ,5,FALSE)))</f>
        <v/>
      </c>
      <c r="O28" s="195" t="str">
        <f>IF(OR(B28="",B28="計算不可"),"",IF(B28="","",IF(AC27=AC28,"",IF(AC28=AC29,X40,IF(I28="",SQRT(((K28+S28)/10)^2+(M28+U28)^2),SQRT(((K28/10)*(H28^0.55)+S28/1000)^2+(M28*H28+U28)^2))))))</f>
        <v/>
      </c>
      <c r="P28" s="195" t="str">
        <f>IF(O28="","",IF(B28="","",IF(AC27=AC28,"",IF(AC28=AC29,X53,IF(I28="",SQRT((50*(K28/1000+0.012))^2+(M28+16.9646*(K28/1000+0.006))^2),SQRT((((K28*H28*0.001/H28)*(H28^0.55)+0.012+Y52)*50)^2+(M28*H28+16.9646*((K28*H28*0.001/H28)*(H28^0.55)+0.006)+Z52)^2))))))</f>
        <v/>
      </c>
      <c r="Q28" s="197" t="str">
        <f>IF(O28="","",IF(B28="","",IF(AC27=AC28,"",IF(AC28=AC29,X66,IF(I28="",SQRT(((K28+S28)/20)^2+(M28+U28)^2),SQRT(((K28/20)*(H28^0.55)+S28/1000)^2+(M28*H28+U28)^2))))))</f>
        <v/>
      </c>
      <c r="R28" s="58"/>
      <c r="S28" s="54">
        <f>IF(OR(I28=AH3,I28=AH4,I28=AH5,I28=AH6,I28=AH7,I28=AH8,I28=AH9,I28=AH10),VLOOKUP(I28,Ｍ.Ｗｉｒｅ,2,FALSE),0)</f>
        <v>0</v>
      </c>
      <c r="T28" s="54">
        <f>IF(OR(I28=AH3,I28=AH4,I28=AH5,I28=AH6,I28=AH7,I28=AH8,I28=AH9,I28=AH10),VLOOKUP(I28,Ｍ.Ｗｉｒｅ,3,FALSE),0)</f>
        <v>0</v>
      </c>
      <c r="U28" s="54">
        <f>IF(OR(I28=AH3,I28=AH4,I28=AH5,I28=AH6,I28=AH7,I28=AH8,I28=AH9,I28=AH10),VLOOKUP(I28,Ｍ.Ｗｉｒｅ,4,FALSE),0)</f>
        <v>0</v>
      </c>
      <c r="V28" s="96">
        <f t="shared" si="2"/>
        <v>0</v>
      </c>
      <c r="W28" s="53">
        <f t="shared" si="3"/>
        <v>0</v>
      </c>
      <c r="X28" s="101"/>
      <c r="Y28" s="54" t="str">
        <f t="shared" si="4"/>
        <v/>
      </c>
      <c r="Z28" s="101"/>
      <c r="AA28" s="58"/>
      <c r="AB28" s="53" t="str">
        <f t="shared" si="6"/>
        <v/>
      </c>
      <c r="AC28" s="53" t="str">
        <f t="shared" si="7"/>
        <v/>
      </c>
      <c r="AD28" s="53">
        <f t="shared" si="5"/>
        <v>0</v>
      </c>
      <c r="AE28" s="58"/>
      <c r="AF28" s="266" t="str">
        <f>IF('WireDip-01'!AF28="","",'WireDip-01'!AF28)</f>
        <v xml:space="preserve">26-USER Reg. </v>
      </c>
      <c r="AG28" s="3"/>
      <c r="AH28" s="3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</row>
    <row r="29" spans="1:50" ht="15" customHeight="1" x14ac:dyDescent="0.15">
      <c r="A29" s="339"/>
      <c r="B29" s="373" t="str">
        <f>IF(AC29="","",IF(AC29&gt;5,"計算不可",IF(OR(D29="",F29="",H29="",J29=""),"",IF(AC28=AC29,"---〃---","使用電線-"&amp;AC29))))</f>
        <v/>
      </c>
      <c r="C29" s="374"/>
      <c r="D29" s="327"/>
      <c r="E29" s="328"/>
      <c r="F29" s="483"/>
      <c r="G29" s="479" t="str">
        <f t="shared" si="0"/>
        <v/>
      </c>
      <c r="H29" s="484"/>
      <c r="I29" s="485"/>
      <c r="J29" s="486"/>
      <c r="K29" s="194" t="str">
        <f>IF(OR(B29="",B29="計算不可"),"",HLOOKUP(F29,Ｗｉｒｅ,3+(VALUE(LEFT(D29,2))-1)*8,FALSE))</f>
        <v/>
      </c>
      <c r="L29" s="189" t="str">
        <f t="shared" si="1"/>
        <v/>
      </c>
      <c r="M29" s="195" t="str">
        <f>IF(I29="---〃---",0.00001,Y29)</f>
        <v/>
      </c>
      <c r="N29" s="196" t="str">
        <f>IF(OR(B29="",I29="---〃---",B29="計算不可"),"",IF(I29="",HLOOKUP(F29,Ｗｉｒｅ,6+(VALUE(LEFT(D29,2))-1)*8,FALSE),VLOOKUP(I29,Ｍ.Ｗｉｒｅ,5,FALSE)))</f>
        <v/>
      </c>
      <c r="O29" s="195" t="str">
        <f>IF(OR(B29="",B29="計算不可"),"",IF(AC28=AC29,"",IF(I29="",SQRT(((K29+S29)/10)^2+(M29+U29)^2),SQRT(((K29/10)*(H29^0.55)+S29/1000)^2+(M29*H29+U29)^2))))</f>
        <v/>
      </c>
      <c r="P29" s="195" t="str">
        <f>IF(O29="","",IF(AC28=AC29,"",IF(I29="",SQRT((50*(K29/1000+0.012))^2+(M29+16.9646*(K29/1000+0.006))^2),SQRT((((K29*H29*0.001/H29)*(H29^0.55)+0.012+Y53)*50)^2+(M29*H29+16.9646*((K29*H29*0.001/H29)*(H29^0.55)+0.006)+Z53)^2))))</f>
        <v/>
      </c>
      <c r="Q29" s="197" t="str">
        <f>IF(O29="","",IF(AC28=AC29,"",IF(I29="",SQRT(((K29+S29)/20)^2+(M29+U29)^2),SQRT(((K29/20)*(H29^0.55)+S29/1000)^2+(M29*H29+U29)^2))))</f>
        <v/>
      </c>
      <c r="R29" s="58"/>
      <c r="S29" s="54">
        <f>IF(OR(I29=AH3,I29=AH4,I29=AH5,I29=AH6,I29=AH7,I29=AH8,I29=AH9,I29=AH10),VLOOKUP(I29,Ｍ.Ｗｉｒｅ,2,FALSE),0)</f>
        <v>0</v>
      </c>
      <c r="T29" s="54">
        <f>IF(OR(I29=AH3,I29=AH4,I29=AH5,I29=AH6,I29=AH7,I29=AH8,I29=AH9,I29=AH10),VLOOKUP(I29,Ｍ.Ｗｉｒｅ,3,FALSE),0)</f>
        <v>0</v>
      </c>
      <c r="U29" s="54">
        <f>IF(OR(I29=AH3,I29=AH4,I29=AH5,I29=AH6,I29=AH7,I29=AH8,I29=AH9,I29=AH10),VLOOKUP(I29,Ｍ.Ｗｉｒｅ,4,FALSE),0)</f>
        <v>0</v>
      </c>
      <c r="V29" s="96">
        <f t="shared" si="2"/>
        <v>0</v>
      </c>
      <c r="W29" s="53">
        <f t="shared" si="3"/>
        <v>0</v>
      </c>
      <c r="X29" s="101"/>
      <c r="Y29" s="54" t="str">
        <f t="shared" si="4"/>
        <v/>
      </c>
      <c r="Z29" s="101"/>
      <c r="AA29" s="58"/>
      <c r="AB29" s="53" t="str">
        <f t="shared" si="6"/>
        <v/>
      </c>
      <c r="AC29" s="53" t="str">
        <f t="shared" si="7"/>
        <v/>
      </c>
      <c r="AD29" s="53">
        <f t="shared" si="5"/>
        <v>0</v>
      </c>
      <c r="AE29" s="58"/>
      <c r="AF29" s="266" t="str">
        <f>IF('WireDip-01'!AF29="","",'WireDip-01'!AF29)</f>
        <v xml:space="preserve">27-USER Reg. </v>
      </c>
      <c r="AG29" s="3"/>
      <c r="AH29" s="3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</row>
    <row r="30" spans="1:50" ht="15" customHeight="1" x14ac:dyDescent="0.15">
      <c r="A30" s="339"/>
      <c r="B30" s="375"/>
      <c r="C30" s="376"/>
      <c r="D30" s="327"/>
      <c r="E30" s="328"/>
      <c r="F30" s="487"/>
      <c r="G30" s="479"/>
      <c r="H30" s="484"/>
      <c r="I30" s="484"/>
      <c r="J30" s="486"/>
      <c r="K30" s="105"/>
      <c r="L30" s="97"/>
      <c r="M30" s="54"/>
      <c r="N30" s="94"/>
      <c r="O30" s="54"/>
      <c r="P30" s="54"/>
      <c r="Q30" s="98"/>
      <c r="R30" s="58"/>
      <c r="S30" s="36"/>
      <c r="T30" s="36"/>
      <c r="U30" s="36"/>
      <c r="V30" s="36"/>
      <c r="W30" s="36"/>
      <c r="X30" s="101"/>
      <c r="Y30" s="101"/>
      <c r="Z30" s="101"/>
      <c r="AA30" s="58"/>
      <c r="AB30" s="36"/>
      <c r="AC30" s="36"/>
      <c r="AD30" s="36"/>
      <c r="AE30" s="58"/>
      <c r="AF30" s="266" t="str">
        <f>IF('WireDip-01'!AF30="","",'WireDip-01'!AF30)</f>
        <v xml:space="preserve">28-USER Reg. </v>
      </c>
      <c r="AG30" s="3"/>
      <c r="AH30" s="3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</row>
    <row r="31" spans="1:50" ht="15" customHeight="1" x14ac:dyDescent="0.15">
      <c r="A31" s="339"/>
      <c r="B31" s="44"/>
      <c r="C31" s="185"/>
      <c r="D31" s="45"/>
      <c r="E31" s="45"/>
      <c r="F31" s="46"/>
      <c r="G31" s="47"/>
      <c r="H31" s="48"/>
      <c r="I31" s="45"/>
      <c r="J31" s="48"/>
      <c r="K31" s="11"/>
      <c r="L31" s="11"/>
      <c r="M31" s="11"/>
      <c r="N31" s="11"/>
      <c r="O31" s="11"/>
      <c r="P31" s="11"/>
      <c r="Q31" s="23"/>
      <c r="R31" s="3"/>
      <c r="S31" s="36"/>
      <c r="T31" s="36"/>
      <c r="U31" s="36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266" t="str">
        <f>IF('WireDip-01'!AF31="","",'WireDip-01'!AF31)</f>
        <v xml:space="preserve">29-USER Reg. </v>
      </c>
      <c r="AG31" s="3"/>
      <c r="AH31" s="3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</row>
    <row r="32" spans="1:50" ht="12.75" customHeight="1" x14ac:dyDescent="0.15">
      <c r="A32" s="339"/>
      <c r="B32" s="386" t="str">
        <f>IF(AC23="","","使用電線-"&amp;AC23)</f>
        <v/>
      </c>
      <c r="C32" s="387"/>
      <c r="D32" s="29" t="s">
        <v>21</v>
      </c>
      <c r="E32" s="29" t="s">
        <v>22</v>
      </c>
      <c r="F32" s="356" t="s">
        <v>23</v>
      </c>
      <c r="G32" s="411" t="str">
        <f>IF(AC24=2,"使用電線-"&amp;AC24,IF(AC25=2,"使用電線-"&amp;AC25,IF(AC26=2,"使用電線-"&amp;AC26,IF(AC27=2,"使用電線-"&amp;AC27,IF(AC28=2,"使用電線-"&amp;AC28,IF(AC29=2,"使用電線-"&amp;AC29,IF(AC30=2,"使用電線-"&amp;AC30,"")))))))</f>
        <v/>
      </c>
      <c r="H32" s="412"/>
      <c r="I32" s="387"/>
      <c r="J32" s="29" t="s">
        <v>21</v>
      </c>
      <c r="K32" s="29" t="s">
        <v>22</v>
      </c>
      <c r="L32" s="356" t="s">
        <v>23</v>
      </c>
      <c r="M32" s="411" t="str">
        <f>IF(AC25=3,"使用電線-"&amp;AC25,IF(AC26=3,"使用電線-"&amp;AC26,IF(AC27=3,"使用電線-"&amp;AC27,IF(AC28=3,"使用電線-"&amp;AC28,IF(AC29=3,"使用電線-"&amp;AC29,IF(AC30=3,"使用電線-"&amp;AC30,""))))))</f>
        <v/>
      </c>
      <c r="N32" s="387"/>
      <c r="O32" s="29" t="s">
        <v>21</v>
      </c>
      <c r="P32" s="29" t="s">
        <v>22</v>
      </c>
      <c r="Q32" s="379" t="s">
        <v>23</v>
      </c>
      <c r="R32" s="36"/>
      <c r="S32" s="36"/>
      <c r="T32" s="10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266" t="str">
        <f>IF('WireDip-01'!AF32="","",'WireDip-01'!AF32)</f>
        <v xml:space="preserve">30-USER Reg. </v>
      </c>
      <c r="AG32" s="36"/>
      <c r="AH32" s="36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</row>
    <row r="33" spans="1:50" ht="12.75" customHeight="1" x14ac:dyDescent="0.15">
      <c r="A33" s="339"/>
      <c r="B33" s="187" t="str">
        <f>IF(B32="","","弛度補正")</f>
        <v/>
      </c>
      <c r="C33" s="182"/>
      <c r="D33" s="55" t="s">
        <v>125</v>
      </c>
      <c r="E33" s="55" t="s">
        <v>24</v>
      </c>
      <c r="F33" s="357"/>
      <c r="G33" s="383" t="str">
        <f>IF(G32="","","弛度補正")</f>
        <v/>
      </c>
      <c r="H33" s="384"/>
      <c r="I33" s="182"/>
      <c r="J33" s="55" t="s">
        <v>125</v>
      </c>
      <c r="K33" s="55" t="s">
        <v>24</v>
      </c>
      <c r="L33" s="357"/>
      <c r="M33" s="181" t="str">
        <f>IF(M32="","","弛度補正")</f>
        <v/>
      </c>
      <c r="N33" s="182"/>
      <c r="O33" s="55" t="s">
        <v>125</v>
      </c>
      <c r="P33" s="55" t="s">
        <v>24</v>
      </c>
      <c r="Q33" s="380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266" t="str">
        <f>IF('WireDip-01'!AF33="","",'WireDip-01'!AF33)</f>
        <v xml:space="preserve">31-USER Reg. </v>
      </c>
      <c r="AG33" s="36"/>
      <c r="AH33" s="36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</row>
    <row r="34" spans="1:50" ht="13.5" customHeight="1" x14ac:dyDescent="0.15">
      <c r="A34" s="339"/>
      <c r="B34" s="346" t="s">
        <v>13</v>
      </c>
      <c r="C34" s="347"/>
      <c r="D34" s="335" t="str">
        <f>IF(B32="","",AQ71*H23*J23)</f>
        <v/>
      </c>
      <c r="E34" s="337" t="str">
        <f>IF(D34="","",AQ70)</f>
        <v/>
      </c>
      <c r="F34" s="360" t="str">
        <f>IF(D34="","",N23*H23*J23/D34)</f>
        <v/>
      </c>
      <c r="G34" s="287" t="s">
        <v>13</v>
      </c>
      <c r="H34" s="288"/>
      <c r="I34" s="289"/>
      <c r="J34" s="335" t="str">
        <f>IF(G32="","",IF(B24="使用電線-2",AZ71*H24*J24,IF(B25="使用電線-2",AZ71*H25*J25,IF(B26="使用電線-2",AZ71*H26*J26,IF(B27="使用電線-2",AZ71*H27*J27,IF(B28="使用電線-2",AZ71*H28*J28,IF(B29="使用電線-2",AZ71*H29*J29,"")))))))</f>
        <v/>
      </c>
      <c r="K34" s="337" t="str">
        <f>IF(J34="","",AZ70)</f>
        <v/>
      </c>
      <c r="L34" s="302" t="str">
        <f>IF(J34="","",IF(B24="使用電線-2",N24*H24*J24/J34,IF(B25="使用電線-2",N25*H25*J25/J34,IF(B26="使用電線-2",N26*H26*J26/J34,IF(B27="使用電線-2",N27*H27*J27/J34,IF(B28="使用電線-2",N28*H28*J28/J34,IF(B29="使用電線-2",N29*H29*J29/J34)))))))</f>
        <v/>
      </c>
      <c r="M34" s="287" t="s">
        <v>13</v>
      </c>
      <c r="N34" s="347"/>
      <c r="O34" s="335" t="str">
        <f>IF(M32="","",IF(B25="使用電線-3",BI71*H25*J25,IF(B26="使用電線-3",BI71*H26*J26,IF(B27="使用電線-3",BI71*H27*J27,IF(B28="使用電線-3",BI71*H28*J28,IF(B29="使用電線-3",BI71*H29*J29,""))))))</f>
        <v/>
      </c>
      <c r="P34" s="337" t="str">
        <f>IF(O34="","",BI70)</f>
        <v/>
      </c>
      <c r="Q34" s="306" t="str">
        <f>IF(O34="","",IF(B25="使用電線-3",N25*H25*J25/O34,IF(B26="使用電線-3",N26*H26*J26/O34,IF(B27="使用電線-3",N27*H27*J27/O34,IF(B28="使用電線-3",N28*H28*J28/O34,IF(B29="使用電線-3",N29*H29*J29/O34))))))</f>
        <v/>
      </c>
      <c r="R34" s="59"/>
      <c r="S34" s="103" t="s">
        <v>121</v>
      </c>
      <c r="T34" s="36"/>
      <c r="U34" s="102"/>
      <c r="V34" s="102"/>
      <c r="W34" s="59"/>
      <c r="X34" s="59"/>
      <c r="Y34" s="59"/>
      <c r="Z34" s="59"/>
      <c r="AA34" s="59"/>
      <c r="AB34" s="59"/>
      <c r="AC34" s="59"/>
      <c r="AD34" s="59"/>
      <c r="AE34" s="59"/>
      <c r="AF34" s="266" t="str">
        <f>IF('WireDip-01'!AF34="","",'WireDip-01'!AF34)</f>
        <v xml:space="preserve">32-USER Reg. </v>
      </c>
      <c r="AG34" s="28"/>
      <c r="AH34" s="28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</row>
    <row r="35" spans="1:50" ht="13.5" customHeight="1" x14ac:dyDescent="0.15">
      <c r="A35" s="339"/>
      <c r="B35" s="348"/>
      <c r="C35" s="292"/>
      <c r="D35" s="336"/>
      <c r="E35" s="338"/>
      <c r="F35" s="361"/>
      <c r="G35" s="290"/>
      <c r="H35" s="291"/>
      <c r="I35" s="292"/>
      <c r="J35" s="336"/>
      <c r="K35" s="338"/>
      <c r="L35" s="303"/>
      <c r="M35" s="290"/>
      <c r="N35" s="292"/>
      <c r="O35" s="336"/>
      <c r="P35" s="338"/>
      <c r="Q35" s="307"/>
      <c r="R35" s="59"/>
      <c r="S35" s="99">
        <f>IF(D29="",0,SQRT(((((K23*H23+K24*H24+K25*H25+K26*H26+K27*H27+K28*H28+K29*H29)*0.001/SUM(H23:H29))*((SUM(H23:H29))^0.55)+S23*0.001)*100)^2+(M23*H23+M24*H24+M25*H25+M26*H26+M27*H27+M28*H28+M29*H29+U23)^2))</f>
        <v>0</v>
      </c>
      <c r="T35" s="103" t="s">
        <v>132</v>
      </c>
      <c r="U35" s="102"/>
      <c r="V35" s="102"/>
      <c r="W35" s="59"/>
      <c r="X35" s="59"/>
      <c r="Y35" s="59"/>
      <c r="Z35" s="59"/>
      <c r="AA35" s="59"/>
      <c r="AB35" s="59"/>
      <c r="AC35" s="59"/>
      <c r="AD35" s="59"/>
      <c r="AE35" s="59"/>
      <c r="AF35" s="266" t="str">
        <f>IF('WireDip-01'!AF35="","",'WireDip-01'!AF35)</f>
        <v xml:space="preserve">33-USER Reg. </v>
      </c>
      <c r="AG35" s="28"/>
      <c r="AH35" s="28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</row>
    <row r="36" spans="1:50" ht="13.5" customHeight="1" x14ac:dyDescent="0.15">
      <c r="A36" s="339"/>
      <c r="B36" s="366" t="s">
        <v>14</v>
      </c>
      <c r="C36" s="295"/>
      <c r="D36" s="314" t="str">
        <f>IF(B32="","",AQ91*H23*J23)</f>
        <v/>
      </c>
      <c r="E36" s="333" t="str">
        <f>IF(D36="","",AQ90)</f>
        <v/>
      </c>
      <c r="F36" s="302" t="str">
        <f>IF(D36="","",N23*H23*J23/D36)</f>
        <v/>
      </c>
      <c r="G36" s="293" t="s">
        <v>14</v>
      </c>
      <c r="H36" s="294"/>
      <c r="I36" s="295"/>
      <c r="J36" s="314" t="str">
        <f>IF(G32="","",IF(B24="使用電線-2",AZ91*H24*J24,IF(B25="使用電線-2",AZ91*H25*J25,IF(B26="使用電線-2",AZ91*H26*J26,IF(B27="使用電線-2",AZ91*H27*J27,IF(B28="使用電線-2",AZ91*H28*J28,IF(B29="使用電線-2",AZ91*H29*J29,"")))))))</f>
        <v/>
      </c>
      <c r="K36" s="333" t="str">
        <f>IF(J36="","",AZ90)</f>
        <v/>
      </c>
      <c r="L36" s="302" t="str">
        <f>IF(J36="","",IF(B24="使用電線-2",N24*H24*J24/J36,IF(B25="使用電線-2",N25*H25*J25/J36,IF(B26="使用電線-2",N26*H26*J26/J36,IF(B27="使用電線-2",N27*H27*J27/J36,IF(B28="使用電線-2",N28*H28*J28/J36,IF(B29="使用電線-2",N29*H29*J29/J36)))))))</f>
        <v/>
      </c>
      <c r="M36" s="293" t="s">
        <v>14</v>
      </c>
      <c r="N36" s="295"/>
      <c r="O36" s="314" t="str">
        <f>IF(M32="","",IF(B25="使用電線-3",BI91*H25*J25,IF(B26="使用電線-3",BI91*H26*J26,IF(B27="使用電線-3",BI91*H27*J27,IF(B28="使用電線-3",BI91*H28*J28,IF(B29="使用電線-3",BI91*H29*J29,""))))))</f>
        <v/>
      </c>
      <c r="P36" s="333" t="str">
        <f>IF(O36="","",BI90)</f>
        <v/>
      </c>
      <c r="Q36" s="358" t="str">
        <f>IF(O36="","",IF(B25="使用電線-3",N25*H25*J25/O36,IF(B26="使用電線-3",N26*H26*J26/O36,IF(B27="使用電線-3",N27*H27*J27/O36,IF(B28="使用電線-3",N28*H28*J28/O36,IF(B29="使用電線-3",N29*H29*J29/O36))))))</f>
        <v/>
      </c>
      <c r="R36" s="59"/>
      <c r="S36" s="99">
        <f>IF(D28="",0,SQRT(((((K23*H23+K24*H24+K25*H25+K26*H26+K27*H27+K28*H28)*0.001/SUM(H23:H28))*((SUM(H23:H28))^0.55)+S23*0.001)*100)^2+(M23*H23+M24*H24+M25*H25+M26*H26+M27*H27+M28*H28+U23)^2))</f>
        <v>0</v>
      </c>
      <c r="T36" s="99">
        <f>IF(D29="",0,SQRT(((((K24*H24+K25*H25+K26*H26+K27*H27+K28*H28+K29*H29)*0.001/SUM(H24:H29))*((SUM(H24:H29))^0.55)+S24*0.001)*100)^2+(M24*H24+M25*H25+M26*H26+M27*H27+M28*H28+M29*H29+U24)^2))</f>
        <v>0</v>
      </c>
      <c r="U36" s="103" t="s">
        <v>128</v>
      </c>
      <c r="V36" s="102"/>
      <c r="W36" s="59"/>
      <c r="X36" s="59"/>
      <c r="Y36" s="59"/>
      <c r="Z36" s="59"/>
      <c r="AA36" s="59"/>
      <c r="AB36" s="59"/>
      <c r="AC36" s="59"/>
      <c r="AD36" s="59"/>
      <c r="AE36" s="59"/>
      <c r="AF36" s="266" t="str">
        <f>IF('WireDip-01'!AF36="","",'WireDip-01'!AF36)</f>
        <v xml:space="preserve">34-USER Reg. </v>
      </c>
      <c r="AG36" s="28"/>
      <c r="AH36" s="28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</row>
    <row r="37" spans="1:50" ht="13.5" customHeight="1" x14ac:dyDescent="0.15">
      <c r="A37" s="339"/>
      <c r="B37" s="348"/>
      <c r="C37" s="292"/>
      <c r="D37" s="315"/>
      <c r="E37" s="334"/>
      <c r="F37" s="303"/>
      <c r="G37" s="290"/>
      <c r="H37" s="291"/>
      <c r="I37" s="292"/>
      <c r="J37" s="315"/>
      <c r="K37" s="334"/>
      <c r="L37" s="303"/>
      <c r="M37" s="290"/>
      <c r="N37" s="292"/>
      <c r="O37" s="315"/>
      <c r="P37" s="334"/>
      <c r="Q37" s="359"/>
      <c r="R37" s="59"/>
      <c r="S37" s="99">
        <f>IF(D27="",0,SQRT(((((K23*H23+K24*H24+K25*H25+K26*H26+K27*H27)*0.001/SUM(H23:H27))*((SUM(H23:H27))^0.55)+S23*0.001)*100)^2+(M23*H23+M24*H24+M25*H25+M26*H26+M27*H27+U23)^2))</f>
        <v>0</v>
      </c>
      <c r="T37" s="99">
        <f>IF(D28="",0,SQRT(((((K24*H24+K25*H25+K26*H26+K27*H27+K28*H28)*0.001/SUM(H24:H28))*((SUM(H24:H28))^0.55)+S24*0.001)*100)^2+(M24*H24+M25*H25+M26*H26+M27*H27+M28*H28+U24)^2))</f>
        <v>0</v>
      </c>
      <c r="U37" s="99">
        <f>IF(D29="",0,SQRT(((((K25*H25+K26*H26+K27*H27+K28*H28+K29*H29)*0.001/SUM(H25:H29))*((SUM(H25:H29))^0.55)+S25*0.001)*100)^2+(M25*H25+M26*H26+M27*H27+M28*H28+M29*H29+U25)^2))</f>
        <v>0</v>
      </c>
      <c r="V37" s="103" t="s">
        <v>129</v>
      </c>
      <c r="W37" s="59"/>
      <c r="X37" s="59"/>
      <c r="Y37" s="59"/>
      <c r="Z37" s="59"/>
      <c r="AA37" s="59"/>
      <c r="AB37" s="59"/>
      <c r="AC37" s="59"/>
      <c r="AD37" s="59"/>
      <c r="AE37" s="59"/>
      <c r="AF37" s="266" t="str">
        <f>IF('WireDip-01'!AF37="","",'WireDip-01'!AF37)</f>
        <v xml:space="preserve">35-USER Reg. </v>
      </c>
      <c r="AG37" s="28"/>
      <c r="AH37" s="28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50" ht="17.25" customHeight="1" x14ac:dyDescent="0.15">
      <c r="A38" s="339"/>
      <c r="B38" s="366" t="s">
        <v>15</v>
      </c>
      <c r="C38" s="295"/>
      <c r="D38" s="314" t="str">
        <f>IF(B32="","",AQ111*H23*J23)</f>
        <v/>
      </c>
      <c r="E38" s="333" t="str">
        <f>IF(D38="","",AQ110)</f>
        <v/>
      </c>
      <c r="F38" s="302" t="str">
        <f>IF(D38="","",N23*H23*J23/D38)</f>
        <v/>
      </c>
      <c r="G38" s="293" t="s">
        <v>15</v>
      </c>
      <c r="H38" s="294"/>
      <c r="I38" s="295"/>
      <c r="J38" s="314" t="str">
        <f>IF(G32="","",IF(B24="使用電線-2",AZ111*H24*J24,IF(B25="使用電線-2",AZ111*H25*J25,IF(B26="使用電線-2",AZ111*H26*J26,IF(B27="使用電線-2",AZ111*H27*J27,IF(B28="使用電線-2",AZ111*H28*J28,IF(B29="使用電線-2",AZ111*H29*J29,"")))))))</f>
        <v/>
      </c>
      <c r="K38" s="333" t="str">
        <f>IF(J38="","",AZ110)</f>
        <v/>
      </c>
      <c r="L38" s="302" t="str">
        <f>IF(J38="","",IF(B24="使用電線-2",N24*H24*J24/J38,IF(B25="使用電線-2",N25*H25*J25/J38,IF(B26="使用電線-2",N26*H26*J26/J38,IF(B27="使用電線-2",N27*H27*J27/J38,IF(B28="使用電線-2",N28*H28*J28/J38,IF(B29="使用電線-2",N29*H29*J29/J38)))))))</f>
        <v/>
      </c>
      <c r="M38" s="293" t="s">
        <v>15</v>
      </c>
      <c r="N38" s="295"/>
      <c r="O38" s="314" t="str">
        <f>IF(M32="","",IF(B25="使用電線-3",BI111*H25*J25,IF(B26="使用電線-3",BI111*H26*J26,IF(B27="使用電線-3",BI111*H27*J27,IF(B28="使用電線-3",BI111*H28*J28,IF(B29="使用電線-3",BI111*H29*J29,""))))))</f>
        <v/>
      </c>
      <c r="P38" s="333" t="str">
        <f>IF(O38="","",BI110)</f>
        <v/>
      </c>
      <c r="Q38" s="358" t="str">
        <f>IF(O38="","",IF(B25="使用電線-3",N25*H25*J25/O38,IF(B26="使用電線-3",N26*H26*J26/O38,IF(B27="使用電線-3",N27*H27*J27/O38,IF(B28="使用電線-3",N28*H28*J28/O38,IF(B29="使用電線-3",N29*H29*J29/O38))))))</f>
        <v/>
      </c>
      <c r="R38" s="59"/>
      <c r="S38" s="99">
        <f>IF(D26="",0,SQRT(((((K23*H23+K24*H24+K25*H25+K26*H26)*0.001/SUM(H23:H26))*((SUM(H23:H26))^0.55)+S23*0.001)*100)^2+(M23*H23+M24*H24+M25*H25+M26*H26+U23)^2))</f>
        <v>0</v>
      </c>
      <c r="T38" s="99">
        <f>IF(D27="",0,SQRT(((((K24*H24+K25*H25+K26*H26+K27*H27)*0.001/SUM(H24:H27))*((SUM(H24:H27))^0.55)+S24*0.001)*100)^2+(M24*H24+M25*H25+M26*H26+M27*H27+U24)^2))</f>
        <v>0</v>
      </c>
      <c r="U38" s="99">
        <f>IF(D28="",0,SQRT(((((K25*H25+K26*H26+K27*H27+K28*H28)*0.001/SUM(H25:H28))*((SUM(H25:H28))^0.55)+S25*0.001)*100)^2+(M25*H25+M26*H26+M27*H27+M28*H28+U25)^2))</f>
        <v>0</v>
      </c>
      <c r="V38" s="99">
        <f>IF(D29="",0,SQRT(((((K26*H26+K27*H27+K28*H28+K29*H29)*0.001/SUM(H26:H29))*((SUM(H26:H29))^0.55)+S26*0.001)*100)^2+(M26*H26+M27*H27+M28*H28+M29*H29+U26)^2))</f>
        <v>0</v>
      </c>
      <c r="W38" s="103" t="s">
        <v>130</v>
      </c>
      <c r="X38" s="59"/>
      <c r="Y38" s="59"/>
      <c r="Z38" s="59"/>
      <c r="AA38" s="59"/>
      <c r="AB38" s="59"/>
      <c r="AC38" s="59"/>
      <c r="AD38" s="59"/>
      <c r="AE38" s="59"/>
      <c r="AF38" s="266" t="str">
        <f>IF('WireDip-01'!AF38="","",'WireDip-01'!AF38)</f>
        <v xml:space="preserve">36-USER Reg. </v>
      </c>
      <c r="AG38" s="28"/>
      <c r="AH38" s="28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50" ht="17.25" customHeight="1" x14ac:dyDescent="0.15">
      <c r="A39" s="339"/>
      <c r="B39" s="348"/>
      <c r="C39" s="292"/>
      <c r="D39" s="315"/>
      <c r="E39" s="334"/>
      <c r="F39" s="303"/>
      <c r="G39" s="290"/>
      <c r="H39" s="291"/>
      <c r="I39" s="292"/>
      <c r="J39" s="315"/>
      <c r="K39" s="334"/>
      <c r="L39" s="303"/>
      <c r="M39" s="290"/>
      <c r="N39" s="292"/>
      <c r="O39" s="315"/>
      <c r="P39" s="334"/>
      <c r="Q39" s="359"/>
      <c r="R39" s="59"/>
      <c r="S39" s="99">
        <f>IF(D25="",0,SQRT(((((K23*H23+K24*H24+K25*H25)*0.001/SUM(H23:H25))*((SUM(H23:H25))^0.55)+S23*0.001)*100)^2+(M23*H23+M24*H24+M25*H25+U23)^2))</f>
        <v>0</v>
      </c>
      <c r="T39" s="99">
        <f>IF(D26="",0,SQRT(((((K24*H24+K25*H25+K26*H26)*0.001/SUM(H24:H26))*((SUM(H24:H26))^0.55)+S24*0.001)*100)^2+(M24*H24+M25*H25+M26*H26+U24)^2))</f>
        <v>0</v>
      </c>
      <c r="U39" s="99">
        <f>IF(D27="",0,SQRT(((((K25*H25+K26*H26+K27*H27)*0.001/SUM(H25:H27))*((SUM(H25:H27))^0.55)+S25*0.001)*100)^2+(M25*H25+M26*H26+M27*H27+U25)^2))</f>
        <v>0</v>
      </c>
      <c r="V39" s="99">
        <f>IF(D28="",0,SQRT(((((K26*H26+K27*H27+K28*H28)*0.001/SUM(H26:H28))*((SUM(H26:H28))^0.55)+S26*0.001)*100)^2+(M26*H26+M27*H27+M28*H28+U26)^2))</f>
        <v>0</v>
      </c>
      <c r="W39" s="99">
        <f>IF(D29="",0,SQRT(((((K27*H27+K28*H28+K29*H29)*0.001/SUM(H27:H29))*((SUM(H27:H29))^0.55)+S27*0.001)*100)^2+(M27*H27+M28*H28+M29*H29+U27)^2))</f>
        <v>0</v>
      </c>
      <c r="X39" s="103" t="s">
        <v>131</v>
      </c>
      <c r="Y39" s="59"/>
      <c r="Z39" s="59"/>
      <c r="AA39" s="59"/>
      <c r="AB39" s="59"/>
      <c r="AC39" s="59"/>
      <c r="AD39" s="59"/>
      <c r="AE39" s="59"/>
      <c r="AF39" s="266" t="str">
        <f>IF('WireDip-01'!AF39="","",'WireDip-01'!AF39)</f>
        <v xml:space="preserve">37-USER Reg. </v>
      </c>
      <c r="AG39" s="28"/>
      <c r="AH39" s="28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50" ht="15" customHeight="1" x14ac:dyDescent="0.15">
      <c r="A40" s="339"/>
      <c r="B40" s="388" t="s">
        <v>16</v>
      </c>
      <c r="C40" s="298"/>
      <c r="D40" s="198" t="str">
        <f>IF(B32="","",AQ131*H23*J23)</f>
        <v/>
      </c>
      <c r="E40" s="199" t="str">
        <f>IF(D40="","",AQ130)</f>
        <v/>
      </c>
      <c r="F40" s="200" t="str">
        <f>IF(D40="","",N23*H23*J23/D40)</f>
        <v/>
      </c>
      <c r="G40" s="296" t="s">
        <v>16</v>
      </c>
      <c r="H40" s="297"/>
      <c r="I40" s="298"/>
      <c r="J40" s="198" t="str">
        <f>IF(G32="","",IF(B24="使用電線-2",AZ131*H24*J24,IF(B25="使用電線-2",AZ131*H25*J25,IF(B26="使用電線-2",AZ131*H26*J26,IF(B27="使用電線-2",AZ131*H27*J27,IF(B28="使用電線-2",AZ131*H28*J28,IF(B29="使用電線-2",AZ131*H29*J29,"")))))))</f>
        <v/>
      </c>
      <c r="K40" s="199" t="str">
        <f>IF(J40="","",AZ130)</f>
        <v/>
      </c>
      <c r="L40" s="200" t="str">
        <f>IF(J40="","",IF(B24="使用電線-2",N24*H24*J24/J40,IF(B25="使用電線-2",N25*H25*J25/J40,IF(B26="使用電線-2",N26*H26*J26/J40,IF(B27="使用電線-2",N27*H27*J27/J40,IF(B28="使用電線-2",N28*H28*J28/J40,IF(B29="使用電線-2",N29*H29*J29/J40)))))))</f>
        <v/>
      </c>
      <c r="M40" s="296" t="s">
        <v>16</v>
      </c>
      <c r="N40" s="298"/>
      <c r="O40" s="198" t="str">
        <f>IF(M32="","",IF(B25="使用電線-3",BI131*H25*J25,IF(B26="使用電線-3",BI131*H26*J26,IF(B27="使用電線-3",BI131*H27*J27,IF(B28="使用電線-3",BI131*H28*J28,IF(B29="使用電線-3",BI131*H29*J29,""))))))</f>
        <v/>
      </c>
      <c r="P40" s="199" t="str">
        <f>IF(O40="","",BI130)</f>
        <v/>
      </c>
      <c r="Q40" s="203" t="str">
        <f>IF(O40="","",IF(B25="使用電線-3",N25*H25*J25/O40,IF(B26="使用電線-3",N26*H26*J26/O40,IF(B27="使用電線-3",N27*H27*J27/O40,IF(B28="使用電線-3",N28*H28*J28/O40,IF(B29="使用電線-3",N29*H29*J29/O40))))))</f>
        <v/>
      </c>
      <c r="R40" s="59"/>
      <c r="S40" s="99">
        <f>IF(D24="",0,SQRT(((((K23*H23+K24*H24)*0.001/SUM(H23:H24))*((SUM(H23:H24))^0.55)+S23*0.001)*100)^2+(M23*H23+M24*H24+U23)^2))</f>
        <v>0</v>
      </c>
      <c r="T40" s="99">
        <f>IF(D25="",0,SQRT(((((K24*H24+K25*H25)*0.001/SUM(H24:H25))*((SUM(H24:H25))^0.55)+S24*0.001)*100)^2+(M24*H24+M25*H25+U24)^2))</f>
        <v>0</v>
      </c>
      <c r="U40" s="99">
        <f>IF(D26="",0,SQRT(((((K25*H25+K26*H26)*0.001/SUM(H25:H26))*((SUM(H25:H26))^0.55)+S25*0.001)*100)^2+(M25*H25+M26*H26+U25)^2))</f>
        <v>0</v>
      </c>
      <c r="V40" s="99">
        <f>IF(D27="",0,SQRT(((((K26*H26+K27*H27)*0.001/SUM(H26:H27))*((SUM(H26:H27))^0.55)+S26*0.001)*100)^2+(M26*H26+M27*H27+U26)^2))</f>
        <v>0</v>
      </c>
      <c r="W40" s="99">
        <f>IF(D28="",0,SQRT(((((K27*H27+K28*H28)*0.001/SUM(H27:H28))*((SUM(H27:H28))^0.55)+S27*0.001)*100)^2+(M27*H27+M28*H28+U27)^2))</f>
        <v>0</v>
      </c>
      <c r="X40" s="99">
        <f>IF(D29="",0,SQRT(((((K28*H28+K29*H29)*0.001/SUM(H28:H29))*((SUM(H28:H29))^0.55)+S28*0.001)*100)^2+(M28*H28+M29*H29+U28)^2))</f>
        <v>0</v>
      </c>
      <c r="Y40" s="59"/>
      <c r="Z40" s="59"/>
      <c r="AA40" s="59"/>
      <c r="AB40" s="59"/>
      <c r="AC40" s="59"/>
      <c r="AD40" s="59"/>
      <c r="AE40" s="59"/>
      <c r="AF40" s="266" t="str">
        <f>IF('WireDip-01'!AF40="","",'WireDip-01'!AF40)</f>
        <v xml:space="preserve">38-USER Reg. </v>
      </c>
      <c r="AG40" s="3"/>
      <c r="AH40" s="3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</row>
    <row r="41" spans="1:50" ht="15" customHeight="1" x14ac:dyDescent="0.15">
      <c r="A41" s="339"/>
      <c r="B41" s="389" t="s">
        <v>17</v>
      </c>
      <c r="C41" s="301"/>
      <c r="D41" s="249" t="str">
        <f>IF(B32="","",AQ151*H23*J23)</f>
        <v/>
      </c>
      <c r="E41" s="250" t="str">
        <f>IF(D41="","",AQ150)</f>
        <v/>
      </c>
      <c r="F41" s="251" t="str">
        <f>IF(D41="","",N23*H23*J23/D41)</f>
        <v/>
      </c>
      <c r="G41" s="299" t="s">
        <v>17</v>
      </c>
      <c r="H41" s="300"/>
      <c r="I41" s="301"/>
      <c r="J41" s="249" t="str">
        <f>IF(G32="","",IF(B24="使用電線-2",AZ151*H24*J24,IF(B25="使用電線-2",AZ151*H25*J25,IF(B26="使用電線-2",AZ151*H26*J26,IF(B27="使用電線-2",AZ151*H27*J27,IF(B28="使用電線-2",AZ151*H28*J28,IF(B29="使用電線-2",AZ151*H29*J29,"")))))))</f>
        <v/>
      </c>
      <c r="K41" s="250" t="str">
        <f>IF(J41="","",AZ150)</f>
        <v/>
      </c>
      <c r="L41" s="251" t="str">
        <f>IF(J41="","",IF(B24="使用電線-2",N24*H24*J24/J41,IF(B25="使用電線-2",N25/J41,IF(B26="使用電線-2",N26/J41,IF(B27="使用電線-2",N27/J41,IF(B28="使用電線-2",N28/J41,IF(B29="使用電線-2",N29/J41)))))))</f>
        <v/>
      </c>
      <c r="M41" s="299" t="s">
        <v>17</v>
      </c>
      <c r="N41" s="301"/>
      <c r="O41" s="249" t="str">
        <f>IF(M32="","",IF(B25="使用電線-3",BI151*H25*J25,IF(B26="使用電線-3",BI151*H26*J26,IF(B27="使用電線-3",BI151*H27*J27,IF(B28="使用電線-3",BI151*H28*J28,IF(B29="使用電線-3",BI151*H29*J29,""))))))</f>
        <v/>
      </c>
      <c r="P41" s="250" t="str">
        <f>IF(O41="","",BI150)</f>
        <v/>
      </c>
      <c r="Q41" s="252" t="str">
        <f>IF(O41="","",IF(B25="使用電線-3",N25*H25*J25/O41,IF(B26="使用電線-3",N26*H26*J26/O41,IF(B27="使用電線-3",N27*H27*J27/O41,IF(B28="使用電線-3",N28*H28*J28/O41,IF(B29="使用電線-3",N29*H29*J29/O41))))))</f>
        <v/>
      </c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266" t="str">
        <f>IF('WireDip-01'!AF41="","",'WireDip-01'!AF41)</f>
        <v xml:space="preserve">39-USER Reg. </v>
      </c>
      <c r="AG41" s="3"/>
      <c r="AH41" s="3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</row>
    <row r="42" spans="1:50" ht="15" customHeight="1" x14ac:dyDescent="0.15">
      <c r="A42" s="339"/>
      <c r="B42" s="388" t="s">
        <v>18</v>
      </c>
      <c r="C42" s="298"/>
      <c r="D42" s="198" t="str">
        <f>IF(B32="","",AQ171*H23*J23)</f>
        <v/>
      </c>
      <c r="E42" s="199" t="str">
        <f>IF(D42="","",AQ170)</f>
        <v/>
      </c>
      <c r="F42" s="200" t="str">
        <f>IF(D42="","",N23*H23*J23/D42)</f>
        <v/>
      </c>
      <c r="G42" s="296" t="s">
        <v>18</v>
      </c>
      <c r="H42" s="297"/>
      <c r="I42" s="298"/>
      <c r="J42" s="198" t="str">
        <f>IF(G32="","",IF(B24="使用電線-2",AZ171*H24*J24,IF(B25="使用電線-2",AZ171*H25*J25,IF(B26="使用電線-2",AZ171*H26*J26,IF(B27="使用電線-2",AZ171*H27*J27,IF(B28="使用電線-2",AZ171*H28*J28,IF(B29="使用電線-2",AZ171*H29*J29,"")))))))</f>
        <v/>
      </c>
      <c r="K42" s="199" t="str">
        <f>IF(J42="","",AZ170)</f>
        <v/>
      </c>
      <c r="L42" s="200" t="str">
        <f>IF(J42="","",IF(B24="使用電線-2",N24*H24*J24/J42,IF(B25="使用電線-2",N25*H25*J25/J42,IF(B26="使用電線-2",N26*H26*J26/J42,IF(B27="使用電線-2",N27*H27*J27/J42,IF(B28="使用電線-2",N28*H28*J28/J42,IF(B29="使用電線-2",N29*H29*J29/J42)))))))</f>
        <v/>
      </c>
      <c r="M42" s="296" t="s">
        <v>18</v>
      </c>
      <c r="N42" s="298"/>
      <c r="O42" s="198" t="str">
        <f>IF(M32="","",IF(B25="使用電線-3",BI171*H25*J25,IF(B26="使用電線-3",BI171*H26*J26,IF(B27="使用電線-3",BI171*H27*J27,IF(B28="使用電線-3",BI171*H28*J28,IF(B29="使用電線-3",BI171*H29*J29,""))))))</f>
        <v/>
      </c>
      <c r="P42" s="199" t="str">
        <f>IF(O42="","",BI170)</f>
        <v/>
      </c>
      <c r="Q42" s="203" t="str">
        <f>IF(O42="","",IF(B25="使用電線-3",N25*H25*J25/O42,IF(B26="使用電線-3",N26*H26*J26/O42,IF(B27="使用電線-3",N27*H27*J27/O42,IF(B28="使用電線-3",N28*H28*J28/O42,IF(B29="使用電線-3",N29*H29*J29/O42))))))</f>
        <v/>
      </c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266" t="str">
        <f>IF('WireDip-01'!AF42="","",'WireDip-01'!AF42)</f>
        <v xml:space="preserve">40-USER Reg. </v>
      </c>
      <c r="AG42" s="3"/>
      <c r="AH42" s="3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</row>
    <row r="43" spans="1:50" ht="15" customHeight="1" x14ac:dyDescent="0.15">
      <c r="A43" s="339"/>
      <c r="B43" s="388" t="s">
        <v>19</v>
      </c>
      <c r="C43" s="298"/>
      <c r="D43" s="198" t="str">
        <f>IF(B32="","",AQ191*H23*J23)</f>
        <v/>
      </c>
      <c r="E43" s="199" t="str">
        <f>IF(D43="","",AQ190)</f>
        <v/>
      </c>
      <c r="F43" s="200" t="str">
        <f>IF(D43="","",N23*H23*J23/D43)</f>
        <v/>
      </c>
      <c r="G43" s="296" t="s">
        <v>19</v>
      </c>
      <c r="H43" s="297"/>
      <c r="I43" s="298"/>
      <c r="J43" s="198" t="str">
        <f>IF(G32="","",IF(B24="使用電線-2",AZ191*H24*J24,IF(B25="使用電線-2",AZ191*H25*J25,IF(B26="使用電線-2",AZ191*H26*J26,IF(B27="使用電線-2",AZ191*H27*J27,IF(B28="使用電線-2",AZ191*H28*J28,IF(B29="使用電線-2",AZ191*H29*J29,"")))))))</f>
        <v/>
      </c>
      <c r="K43" s="199" t="str">
        <f>IF(J43="","",AZ190)</f>
        <v/>
      </c>
      <c r="L43" s="200" t="str">
        <f>IF(J43="","",IF(B24="使用電線-2",N24*H24*J24/J43,IF(B25="使用電線-2",N25*H25*J25/J43,IF(B26="使用電線-2",N26*H26*J26/J43,IF(B27="使用電線-2",N27*H27*J27/J43,IF(B28="使用電線-2",N28*H28*J28/J43,IF(B29="使用電線-2",N29*H29*J29/J43)))))))</f>
        <v/>
      </c>
      <c r="M43" s="296" t="s">
        <v>19</v>
      </c>
      <c r="N43" s="298"/>
      <c r="O43" s="198" t="str">
        <f>IF(M32="","",IF(B25="使用電線-3",BI191*H25*J25,IF(B26="使用電線-3",BI191*H26*J26,IF(B27="使用電線-3",BI191*H27*J27,IF(B28="使用電線-3",BI191*H28*J28,IF(B29="使用電線-3",BI191*H29*J29,""))))))</f>
        <v/>
      </c>
      <c r="P43" s="199" t="str">
        <f>IF(O43="","",BI190)</f>
        <v/>
      </c>
      <c r="Q43" s="203" t="str">
        <f>IF(O43="","",IF(B25="使用電線-3",N25*H25*J25/O43,IF(B26="使用電線-3",N26*H26*J26/O43,IF(B27="使用電線-3",N27*H27*J27/O43,IF(B28="使用電線-3",N28*H28*J28/O43,IF(B29="使用電線-3",N29*H29*J29/O43))))))</f>
        <v/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266" t="str">
        <f>IF('WireDip-01'!AF43="","",'WireDip-01'!AF43)</f>
        <v xml:space="preserve">41-USER Reg. </v>
      </c>
      <c r="AG43" s="3"/>
      <c r="AH43" s="3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</row>
    <row r="44" spans="1:50" ht="15" customHeight="1" x14ac:dyDescent="0.15">
      <c r="A44" s="339"/>
      <c r="B44" s="385" t="s">
        <v>20</v>
      </c>
      <c r="C44" s="309"/>
      <c r="D44" s="198" t="str">
        <f>IF(B32="","",IF(AQ211=0,"",AQ211*H23*J23))</f>
        <v/>
      </c>
      <c r="E44" s="199" t="str">
        <f>IF(D44="","",AQ210)</f>
        <v/>
      </c>
      <c r="F44" s="200" t="str">
        <f>IF(D44="","",N23*H23*J23/D44)</f>
        <v/>
      </c>
      <c r="G44" s="308" t="s">
        <v>20</v>
      </c>
      <c r="H44" s="332"/>
      <c r="I44" s="309"/>
      <c r="J44" s="201" t="str">
        <f>IF(AZ211=0,"",IF(B24="使用電線-2",AZ211*H24*J24,IF(B25="使用電線-2",AZ211*H25*J25,IF(B26="使用電線-2",AZ211*H26*J26,IF(B27="使用電線-2",AZ211*H27*J27,IF(B28="使用電線-2",AZ211*H28*J28,IF(B29="使用電線-2",AZ211*H29*J29,"")))))))</f>
        <v/>
      </c>
      <c r="K44" s="199" t="str">
        <f>IF(J44="","",AZ210)</f>
        <v/>
      </c>
      <c r="L44" s="202" t="str">
        <f>IF(J44="","",IF(B24="使用電線-2",N24*H24*J24/J44,IF(B25="使用電線-2",N25*H25*J25/J44,IF(B26="使用電線-2",N26*H26*J26/J44,IF(B27="使用電線-2",N27*H27*J27/J44,IF(B28="使用電線-2",N28*H28244*J28/J44,IF(B29="使用電線-2",N29*H29*J29/J44)))))))</f>
        <v/>
      </c>
      <c r="M44" s="308" t="s">
        <v>20</v>
      </c>
      <c r="N44" s="309"/>
      <c r="O44" s="201" t="str">
        <f>IF(G32="","",IF(BI211=0,"",IF(B25="使用電線-3",BI211*H25*J25,IF(B26="使用電線-3",BI211*H26*J26,IF(B27="使用電線-3",BI211*H27*J27,IF(B28="使用電線-3",BI211*H28*J28,IF(B29="使用電線-3",BI211*H29*J29,"")))))))</f>
        <v/>
      </c>
      <c r="P44" s="199" t="str">
        <f>IF(O44="","",BI210)</f>
        <v/>
      </c>
      <c r="Q44" s="204" t="str">
        <f>IF(O44="","",IF(B25="使用電線-3",N25*H25*J25/O44,IF(B26="使用電線-3",N26*H26*J26/O44,IF(B27="使用電線-3",N27*H27*J27/O44,IF(B28="使用電線-3",N28*H28*J28/O44,IF(B29="使用電線-3",N29*H29*J29/O44))))))</f>
        <v/>
      </c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266" t="str">
        <f>IF('WireDip-01'!AF44="","",'WireDip-01'!AF44)</f>
        <v xml:space="preserve">42-USER Reg. </v>
      </c>
      <c r="AG44" s="3"/>
      <c r="AH44" s="3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</row>
    <row r="45" spans="1:50" ht="3.75" customHeight="1" x14ac:dyDescent="0.15">
      <c r="A45" s="339"/>
      <c r="B45" s="33"/>
      <c r="C45" s="186"/>
      <c r="D45" s="11"/>
      <c r="E45" s="11"/>
      <c r="F45" s="11"/>
      <c r="G45" s="11"/>
      <c r="H45" s="11"/>
      <c r="I45" s="34"/>
      <c r="J45" s="11"/>
      <c r="K45" s="11"/>
      <c r="L45" s="11"/>
      <c r="M45" s="11"/>
      <c r="N45" s="34"/>
      <c r="O45" s="11"/>
      <c r="P45" s="11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6"/>
      <c r="AG45" s="3"/>
      <c r="AH45" s="3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</row>
    <row r="46" spans="1:50" ht="13.5" customHeight="1" x14ac:dyDescent="0.15">
      <c r="A46" s="339"/>
      <c r="B46" s="386" t="str">
        <f>IF(AC26=4,"使用電線-"&amp;AC26,IF(AC27=4,"使用電線-"&amp;AC27,IF(AC28=4,"使用電線-"&amp;AC28,IF(AC29=4,"使用電線-"&amp;AC29,IF(AC30=4,"使用電線-"&amp;AC30,"")))))</f>
        <v/>
      </c>
      <c r="C46" s="387"/>
      <c r="D46" s="29" t="s">
        <v>21</v>
      </c>
      <c r="E46" s="29" t="s">
        <v>22</v>
      </c>
      <c r="F46" s="356" t="s">
        <v>23</v>
      </c>
      <c r="G46" s="329" t="str">
        <f>IF(AC27=5,"使用電線-"&amp;AC27,IF(AC28=5,"使用電線-"&amp;AC28,IF(AC29=5,"使用電線-"&amp;AC29,IF(AC30=5,"使用電線-"&amp;AC30,""))))</f>
        <v/>
      </c>
      <c r="H46" s="330"/>
      <c r="I46" s="331"/>
      <c r="J46" s="29" t="s">
        <v>21</v>
      </c>
      <c r="K46" s="29" t="s">
        <v>22</v>
      </c>
      <c r="L46" s="362" t="s">
        <v>23</v>
      </c>
      <c r="M46" s="310" t="s">
        <v>25</v>
      </c>
      <c r="N46" s="311"/>
      <c r="O46" s="29" t="s">
        <v>46</v>
      </c>
      <c r="P46" s="29" t="s">
        <v>22</v>
      </c>
      <c r="Q46" s="57" t="s">
        <v>23</v>
      </c>
      <c r="R46" s="60"/>
      <c r="S46" s="3"/>
      <c r="T46" s="3"/>
      <c r="U46" s="59"/>
      <c r="V46" s="59"/>
      <c r="W46" s="59"/>
      <c r="X46" s="59"/>
      <c r="Y46" s="95" t="s">
        <v>158</v>
      </c>
      <c r="Z46" s="95" t="s">
        <v>159</v>
      </c>
      <c r="AA46" s="60"/>
      <c r="AB46" s="60"/>
      <c r="AC46" s="60"/>
      <c r="AD46" s="60"/>
      <c r="AE46" s="60"/>
      <c r="AF46" s="36"/>
      <c r="AG46" s="36"/>
      <c r="AH46" s="36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</row>
    <row r="47" spans="1:50" ht="13.5" customHeight="1" x14ac:dyDescent="0.15">
      <c r="A47" s="339"/>
      <c r="B47" s="187" t="str">
        <f>IF(B46="","","弛度補正")</f>
        <v/>
      </c>
      <c r="C47" s="182"/>
      <c r="D47" s="55" t="s">
        <v>125</v>
      </c>
      <c r="E47" s="55" t="s">
        <v>24</v>
      </c>
      <c r="F47" s="357"/>
      <c r="G47" s="304" t="str">
        <f>IF(G46="","","弛度補正")</f>
        <v/>
      </c>
      <c r="H47" s="305"/>
      <c r="I47" s="182"/>
      <c r="J47" s="188" t="s">
        <v>125</v>
      </c>
      <c r="K47" s="55" t="s">
        <v>24</v>
      </c>
      <c r="L47" s="363"/>
      <c r="M47" s="312"/>
      <c r="N47" s="313"/>
      <c r="O47" s="55" t="s">
        <v>125</v>
      </c>
      <c r="P47" s="167" t="s">
        <v>157</v>
      </c>
      <c r="Q47" s="56" t="s">
        <v>174</v>
      </c>
      <c r="R47" s="61"/>
      <c r="S47" s="103" t="s">
        <v>126</v>
      </c>
      <c r="T47" s="3"/>
      <c r="U47" s="3"/>
      <c r="V47" s="59"/>
      <c r="W47" s="59"/>
      <c r="X47" s="59"/>
      <c r="Y47" s="99">
        <f>IF(I23="---〃---",0,IF(OR(I23=AH3,I23=AH4,I23=AH5,I23=AH6,I23=AH7,I23=AH8,I23=AH9,I23=AH10),S23*0.001+0.012,0))</f>
        <v>0</v>
      </c>
      <c r="Z47" s="99">
        <f>IF(I23="---〃---",0,IF(OR(I23=AH3,I23=AH4,I23=AH5,I23=AH6,I23=AH7,I23=AH8,I23=AH9,I23=AH10),U23+1.884955592*(S23*0.001+0.006)*0.9,0))</f>
        <v>0</v>
      </c>
      <c r="AA47" s="61"/>
      <c r="AB47" s="61"/>
      <c r="AC47" s="61"/>
      <c r="AD47" s="61"/>
      <c r="AE47" s="61"/>
      <c r="AF47" s="36"/>
      <c r="AG47" s="36"/>
      <c r="AH47" s="36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</row>
    <row r="48" spans="1:50" ht="13.5" customHeight="1" x14ac:dyDescent="0.15">
      <c r="A48" s="339"/>
      <c r="B48" s="346" t="s">
        <v>13</v>
      </c>
      <c r="C48" s="347"/>
      <c r="D48" s="335" t="str">
        <f>IF(B46="","",IF(B26="使用電線-4",BR71*H26*J26,IF(B27="使用電線-4",BR71*H27*J27,IF(B28="使用電線-4",BR71*H28*J28,IF(B29="使用電線-4",BR71*H29*J29,"")))))</f>
        <v/>
      </c>
      <c r="E48" s="337" t="str">
        <f>IF(D48="","",BR70)</f>
        <v/>
      </c>
      <c r="F48" s="360" t="str">
        <f>IF(D48="","",IF(B26="使用電線-4",N26*H26*J26/D48,IF(B27="使用電線-4",N27*H27*J27/D48,IF(B28="使用電線-4",N28*H28*J28/D48,IF(B29="使用電線-4",N29*H29*J29/D48)))))</f>
        <v/>
      </c>
      <c r="G48" s="287" t="s">
        <v>13</v>
      </c>
      <c r="H48" s="288"/>
      <c r="I48" s="347"/>
      <c r="J48" s="335" t="str">
        <f>IF(G46="","",IF(B27="使用電線-5",CA71*H27*J27,IF(B28="使用電線-5",CA71*H28*J28,IF(B29="使用電線-5",CA71*H29*J29,""))))</f>
        <v/>
      </c>
      <c r="K48" s="337" t="str">
        <f>IF(J48="","",CA70)</f>
        <v/>
      </c>
      <c r="L48" s="360" t="str">
        <f>IF(J48="","",IF(B27="使用電線-5",N27*H27*J27/J48,IF(B28="使用電線-5",N28*H28*J28/J48,IF(B29="使用電線-5",N29*H29*J29/J48))))</f>
        <v/>
      </c>
      <c r="M48" s="287" t="s">
        <v>13</v>
      </c>
      <c r="N48" s="347"/>
      <c r="O48" s="335" t="str">
        <f>IF(D34="","",SUM(J61:N61))</f>
        <v/>
      </c>
      <c r="P48" s="206" t="str">
        <f>IF(D34="","",MAX(E34,K34,P34,E48,K48))</f>
        <v/>
      </c>
      <c r="Q48" s="306" t="str">
        <f>IF(D34="","",MIN(F34,L34,Q34,F48,L48))</f>
        <v/>
      </c>
      <c r="R48" s="59"/>
      <c r="S48" s="99">
        <f>IF(D29="",0,SQRT(((((K23*H23+K24*H24+K25*H25+K26*H26+K27*H27+K28*H28+K29*H29)*0.001/SUM(H23:H29))*((SUM(H23:H29))^0.55)+0.012+Y47)*50)^2+(M23*H23+M24*H24+M25*H25+M26*H26+M27*H27+M28*H28+M29*H29+16.9646*(((K23*H23+K24*H24+K25*H25+K26*H26+K27*H27+K28*H28+K29*H29)*0.001/SUM(H23:H29))*((SUM(H23:H29))^0.55)+0.006)+Z47)^2))</f>
        <v>0</v>
      </c>
      <c r="T48" s="103" t="s">
        <v>133</v>
      </c>
      <c r="U48" s="3"/>
      <c r="V48" s="59"/>
      <c r="W48" s="59"/>
      <c r="X48" s="59"/>
      <c r="Y48" s="99">
        <f>IF(I24="---〃---",0,IF(OR(I24=AH3,I24=AH4,I24=AH5,I24=AH6,I24=AH7,I24=AH8,I24=AH9,I24=AH10),S24*0.001+0.012,0))</f>
        <v>0</v>
      </c>
      <c r="Z48" s="99">
        <f>IF(I24="---〃---",0,IF(OR(I24=AH3,I24=AH4,I24=AH5,I24=AH6,I24=AH7,I24=AH8,I24=AH9,I24=AH10),U24+1.884955592*(S24*0.001+0.006)*0.9,0))</f>
        <v>0</v>
      </c>
      <c r="AA48" s="59"/>
      <c r="AB48" s="59"/>
      <c r="AC48" s="59"/>
      <c r="AD48" s="59"/>
      <c r="AE48" s="59"/>
      <c r="AF48" s="28"/>
      <c r="AG48" s="28"/>
      <c r="AH48" s="28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</row>
    <row r="49" spans="1:79" ht="13.5" customHeight="1" x14ac:dyDescent="0.15">
      <c r="A49" s="339"/>
      <c r="B49" s="348"/>
      <c r="C49" s="292"/>
      <c r="D49" s="336"/>
      <c r="E49" s="338"/>
      <c r="F49" s="361"/>
      <c r="G49" s="290"/>
      <c r="H49" s="291"/>
      <c r="I49" s="292"/>
      <c r="J49" s="336"/>
      <c r="K49" s="338"/>
      <c r="L49" s="361"/>
      <c r="M49" s="290"/>
      <c r="N49" s="292"/>
      <c r="O49" s="336"/>
      <c r="P49" s="207" t="str">
        <f>IF(D34="","",MIN(E34,K34,P34,E48,K48))</f>
        <v/>
      </c>
      <c r="Q49" s="307"/>
      <c r="R49" s="59"/>
      <c r="S49" s="99">
        <f>IF(D28="",0,SQRT(((((K23*H23+K24*H24+K25*H25+K26*H26+K27*H27+K28*H28)*0.001/SUM(H23:H28))*((SUM(H23:H28))^0.55)+0.012+Y51)*47)^2+(M23*H23+M24*H24+M25*H25+M26*H26+M27*H27+M28*H28+16.9646*(((K23*H23+K24*H24+K25*H25+K26*H26+K27*H27+K28*H28)*0.001/SUM(H23:H28))*((SUM(H23:H28))^0.55)+0.006)+Z47)^2))</f>
        <v>0</v>
      </c>
      <c r="T49" s="99">
        <f>IF(D29="",0,SQRT(((((K24*H24+K25*H25+K26*H26+K27*H27+K28*H28+K29*H29)*0.001/SUM(H24:H29))*((SUM(H24:H29))^0.55)+0.012+Y48)*50)^2+(M24*H24+M25*H25+M26*H26+M27*H27+M28*H28+M29*H29+16.9646*(((K24*H24+K25*H25+K26*H26+K27*H27+K28*H28+K29*H29)*0.001/SUM(H24:H29))*((SUM(H24:H29))^0.55)+0.006)+Z48)^2))</f>
        <v>0</v>
      </c>
      <c r="U49" s="103" t="s">
        <v>134</v>
      </c>
      <c r="V49" s="3"/>
      <c r="W49" s="3"/>
      <c r="X49" s="59"/>
      <c r="Y49" s="99">
        <f>IF(I25="---〃---",0,IF(OR(I25=AH3,I25=AH4,I25=AH5,I25=AH6,I25=AH7,I25=AH8,I25=AH9,I25=AH10),S25*0.001+0.012,0))</f>
        <v>0</v>
      </c>
      <c r="Z49" s="99">
        <f>IF(I25="---〃---",0,IF(OR(I25=AH3,I25=AH4,I25=AH5,I25=AH6,I25=AH7,I25=AH8,I25=AH9,I25=AH10),U25+1.884955592*(S25*0.001+0.006)*0.9,0))</f>
        <v>0</v>
      </c>
      <c r="AA49" s="59"/>
      <c r="AB49" s="59"/>
      <c r="AC49" s="59"/>
      <c r="AD49" s="59"/>
      <c r="AE49" s="59"/>
      <c r="AF49" s="28"/>
      <c r="AG49" s="28"/>
      <c r="AH49" s="28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</row>
    <row r="50" spans="1:79" ht="13.5" customHeight="1" x14ac:dyDescent="0.15">
      <c r="A50" s="339"/>
      <c r="B50" s="366" t="s">
        <v>14</v>
      </c>
      <c r="C50" s="295"/>
      <c r="D50" s="314" t="str">
        <f>IF(B46="","",IF(B26="使用電線-4",BR91*H26*J26,IF(B27="使用電線-4",BR91*H27*J27,IF(B28="使用電線-4",BR91*H28*J28,IF(B29="使用電線-4",BR91*H29*J29,"")))))</f>
        <v/>
      </c>
      <c r="E50" s="333" t="str">
        <f>IF(D50="","",BR90)</f>
        <v/>
      </c>
      <c r="F50" s="302" t="str">
        <f>IF(D50="","",IF(B26="使用電線-4",N26*H26*J26/D50,IF(B27="使用電線-4",N27*H27*J27/D50,IF(B28="使用電線-4",N28*H28*J28/D50,IF(B29="使用電線-4",N29*H29*J29/D50)))))</f>
        <v/>
      </c>
      <c r="G50" s="293" t="s">
        <v>14</v>
      </c>
      <c r="H50" s="294"/>
      <c r="I50" s="295"/>
      <c r="J50" s="314" t="str">
        <f>IF(G46="","",IF(B27="使用電線-5",CA91*H27*J27,IF(B28="使用電線-5",CA91*H28*J28,IF(B29="使用電線-5",CA91*H29*J29,""))))</f>
        <v/>
      </c>
      <c r="K50" s="333" t="str">
        <f>IF(J50="","",CA90)</f>
        <v/>
      </c>
      <c r="L50" s="302" t="str">
        <f>IF(J50="","",IF(B27="使用電線-5",N27*H27*J27/J50,IF(B28="使用電線-5",N28*H28*J28/J50,IF(B29="使用電線-5",N29*H29*J29/J50))))</f>
        <v/>
      </c>
      <c r="M50" s="293" t="s">
        <v>14</v>
      </c>
      <c r="N50" s="295"/>
      <c r="O50" s="314" t="str">
        <f>IF(D34="","",SUM(J62:N62))</f>
        <v/>
      </c>
      <c r="P50" s="208" t="str">
        <f>IF(D36="","",MAX(E36,K36,P36,E50,K50))</f>
        <v/>
      </c>
      <c r="Q50" s="358" t="str">
        <f>IF(D36="","",MIN(F36,L36,Q36,F50,L50))</f>
        <v/>
      </c>
      <c r="R50" s="59"/>
      <c r="S50" s="99">
        <f>IF(D27="",0,SQRT(((((K23*H23+K24*H24+K25*H25+K26*H26+K27*H27)*0.001/SUM(H23:H27))*((SUM(H23:H27))^0.55)+0.012+Y47)*50)^2+(M23*H23+M24*H24+M25*H25+M26*H26+M27*H27+16.9646*(((K23*H23+K24*H24+K25*H25+K26*H26+K27*H27)*0.001/SUM(H23:H27))*((SUM(H23:H27))^0.55)+0.006)+Z47)^2))</f>
        <v>0</v>
      </c>
      <c r="T50" s="99">
        <f>IF(D28="",0,SQRT(((((K24*H24+K25*H25+K26*H26+K27*H27+K28*H28)*0.001/SUM(H24:H28))*((SUM(H24:H28))^0.55)+0.012+Y48)*50)^2+(M24*H24+M25*H25+M26*H26+M27*H27+M28*H28+16.9646*(((K24*H24+K25*H25+K26*H26+K27*H27+K28*H28)*0.001/SUM(H24:H28))*((SUM(H24:H28))^0.55)+0.006)+Z48)^2))</f>
        <v>0</v>
      </c>
      <c r="U50" s="99">
        <f>IF(D29="",0,SQRT(((((K25*H25+K26*H26+K27*H27+K28*H28+K29*H29)*0.001/SUM(H25:H29))*((SUM(H25:H29))^0.55)+0.012+Y49)*50)^2+(M25*H25+M26*H26+M27*H27+M28*H28+M29*H29+16.9646*(((K25*H25+K26*H26+K27*H27+K28*H28+K29*H29)*0.001/SUM(H25:H29))*((SUM(H25:H29))^0.55)+0.006)+Z49)^2))</f>
        <v>0</v>
      </c>
      <c r="V50" s="103" t="s">
        <v>135</v>
      </c>
      <c r="W50" s="3"/>
      <c r="X50" s="3"/>
      <c r="Y50" s="99">
        <f>IF(I26="---〃---",0,IF(OR(I26=AH3,I26=AH4,I26=AH5,I26=AH6,I26=AH7,I26=AH8,I26=AH9,I26=AH10),S26*0.001+0.012,0))</f>
        <v>0</v>
      </c>
      <c r="Z50" s="99">
        <f>IF(I26="---〃---",0,IF(OR(I26=AH3,I26=AH4,I26=AH5,I26=AH6,I26=AH7,I26=AH8,I26=AH9,I26=AH10),U26+1.884955592*(S26*0.001+0.006)*0.9,0))</f>
        <v>0</v>
      </c>
      <c r="AA50" s="59"/>
      <c r="AB50" s="59"/>
      <c r="AC50" s="59"/>
      <c r="AD50" s="59"/>
      <c r="AE50" s="59"/>
      <c r="AF50" s="28"/>
      <c r="AG50" s="28"/>
      <c r="AH50" s="28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</row>
    <row r="51" spans="1:79" ht="13.5" customHeight="1" x14ac:dyDescent="0.15">
      <c r="A51" s="339"/>
      <c r="B51" s="348"/>
      <c r="C51" s="292"/>
      <c r="D51" s="315"/>
      <c r="E51" s="334"/>
      <c r="F51" s="303"/>
      <c r="G51" s="290"/>
      <c r="H51" s="291"/>
      <c r="I51" s="292"/>
      <c r="J51" s="315"/>
      <c r="K51" s="334"/>
      <c r="L51" s="303"/>
      <c r="M51" s="290"/>
      <c r="N51" s="292"/>
      <c r="O51" s="315"/>
      <c r="P51" s="207" t="str">
        <f>IF(D36="","",MIN(E36,K36,P36,E50,K50))</f>
        <v/>
      </c>
      <c r="Q51" s="359"/>
      <c r="R51" s="59"/>
      <c r="S51" s="99">
        <f>IF(D26="",0,SQRT(((((K23*H23+K24*H24+K25*H25+K26*H26)*0.001/SUM(H23:H26))*((SUM(H23:H26))^0.55)+0.012+Y47)*50)^2+(M23*H23+M24*H24+M25*H25+M26*H26+16.9646*(((K23*H23+K24*H24+K25*H25+K26*H26)*0.001/SUM(H23:H26))*((SUM(H23:H26))^0.55)+0.006)+Z47)^2))</f>
        <v>0</v>
      </c>
      <c r="T51" s="99">
        <f>IF(D27="",0,SQRT(((((K24*H24+K25*H25+K26*H26+K27*H27)*0.001/SUM(H24:H27))*((SUM(H24:H27))^0.55)+0.012+Y48)*50)^2+(M24*H24+M25*H25+M26*H26+M27*H27+16.9646*(((K24*H24+K25*H25+K26*H26+K27*H27)*0.001/SUM(H24:H27))*((SUM(H24:H27))^0.55)+0.006)+Z48)^2))</f>
        <v>0</v>
      </c>
      <c r="U51" s="99">
        <f>IF(D28="",0,SQRT(((((K25*H25+K26*H26+K27*H27+K28*H28)*0.001/SUM(H25:H28))*((SUM(H25:H28))^0.55)+0.012+Y49)*50)^2+(M25*H25+M26*H26+M27*H27+M28*H28+16.9646*(((K25*H25+K26*H26+K27*H27+K28*H28)*0.001/SUM(H25:H28))*((SUM(H25:H28))^0.55)+0.006)+Z49)^2))</f>
        <v>0</v>
      </c>
      <c r="V51" s="99">
        <f>IF(D29="",0,SQRT(((((K26*H26+K27*H27+K28*H28+K29*H29)*0.001/SUM(H26:H29))*((SUM(H26:H29))^0.55)+0.012+Y50)*50)^2+(M26*H26+M27*H27+M28*H28+M29*H29+16.9646*(((K26*H26+K27*H27+K28*H28+K29*H29)*0.001/SUM(H26:H29))*((SUM(H26:H29))^0.55)+0.006)+Z50)^2))</f>
        <v>0</v>
      </c>
      <c r="W51" s="103" t="s">
        <v>136</v>
      </c>
      <c r="X51" s="3"/>
      <c r="Y51" s="99">
        <f>IF(I27="---〃---",0,IF(OR(I27=AH3,I27=AH4,I27=AH5,I27=AH6,I27=AH7,I27=AH8,I27=AH9,I27=AH10),S27*0.001+0.012,0))</f>
        <v>0</v>
      </c>
      <c r="Z51" s="99">
        <f>IF(I27="---〃---",0,IF(OR(I27=AH3,I27=AH4,I27=AH5,I27=AH6,I27=AH7,I27=AH8,I27=AH9,I27=AH10),U27+1.884955592*(S27*0.001+0.006)*0.9,0))</f>
        <v>0</v>
      </c>
      <c r="AA51" s="59"/>
      <c r="AB51" s="59"/>
      <c r="AC51" s="59"/>
      <c r="AD51" s="59"/>
      <c r="AE51" s="59"/>
      <c r="AF51" s="28"/>
      <c r="AG51" s="28"/>
      <c r="AH51" s="28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BV51" s="168"/>
    </row>
    <row r="52" spans="1:79" ht="17.25" customHeight="1" x14ac:dyDescent="0.15">
      <c r="A52" s="339"/>
      <c r="B52" s="366" t="s">
        <v>15</v>
      </c>
      <c r="C52" s="295"/>
      <c r="D52" s="314" t="str">
        <f>IF(B46="","",IF(B26="使用電線-4",BR111*H26*J26,IF(B27="使用電線-4",BR111*H27*J27,IF(B28="使用電線-4",BR111*H28*J28,IF(B29="使用電線-4",BR111*H29*J29,"")))))</f>
        <v/>
      </c>
      <c r="E52" s="333" t="str">
        <f>IF(D52="","",BR110)</f>
        <v/>
      </c>
      <c r="F52" s="302" t="str">
        <f>IF(D52="","",IF(B26="使用電線-4",N26*H26*J26/D52,IF(B27="使用電線-4",N27*H27*J27/D52,IF(B28="使用電線-4",N28*H28*J28/D52,IF(B29="使用電線-4",N29*H29*J29/D52)))))</f>
        <v/>
      </c>
      <c r="G52" s="293" t="s">
        <v>15</v>
      </c>
      <c r="H52" s="294"/>
      <c r="I52" s="295"/>
      <c r="J52" s="314" t="str">
        <f>IF(G46="","",IF(B27="使用電線-5",CA111*H27*J27,IF(B28="使用電線-5",CA111*H28*J28,IF(B29="使用電線-5",CA111*H29*J29,""))))</f>
        <v/>
      </c>
      <c r="K52" s="333" t="str">
        <f>IF(J52="","",CA110)</f>
        <v/>
      </c>
      <c r="L52" s="302" t="str">
        <f>IF(J52="","",IF(B27="使用電線-5",N27*H27*J27/J52,IF(B28="使用電線-5",N28*H28*J28/J52,IF(B29="使用電線-5",N29*H29*J29/J52))))</f>
        <v/>
      </c>
      <c r="M52" s="293" t="s">
        <v>15</v>
      </c>
      <c r="N52" s="295"/>
      <c r="O52" s="336" t="str">
        <f>IF(D34="","",SUM(J63:N63))</f>
        <v/>
      </c>
      <c r="P52" s="209" t="str">
        <f>IF(D38="","",MAX(E38,K38,P38,E52,K52))</f>
        <v/>
      </c>
      <c r="Q52" s="358" t="str">
        <f>IF(D38="","",MIN(F38,L38,Q38,F52,L52))</f>
        <v/>
      </c>
      <c r="R52" s="59"/>
      <c r="S52" s="99">
        <f>IF(D25="",0,SQRT(((((K23*H23+K24*H24+K25*H25)*0.001/SUM(H23:H25))*((SUM(H23:H25))^0.55)+0.012+Y47)*50)^2+(M23*H23+M24*H24+M25*H25+16.9646*(((K23*H23+K24*H24+K25*H25)*0.001/SUM(H23:H25))*((SUM(H23:H25))^0.55)+0.006)+Z47)^2))</f>
        <v>0</v>
      </c>
      <c r="T52" s="99">
        <f>IF(D26="",0,SQRT(((((K24*H24+K25*H25+K26*H26)*0.001/SUM(H24:H26))*((SUM(H24:H26))^0.55)+0.012+Y48)*50)^2+(M24*H24+M25*H25+M26*H26+16.9646*(((K24*H24+K25*H25+K26*H26)*0.001/SUM(H24:H26))*((SUM(H24:H26))^0.55)+0.006)+Z48)^2))</f>
        <v>0</v>
      </c>
      <c r="U52" s="99">
        <f>IF(D27="",0,SQRT(((((K25*H25+K26*H26+K27*H27)*0.001/SUM(H25:H27))*((SUM(H25:H27))^0.55)+0.012+Y49)*50)^2+(M25*H25+M26*H26+M27*H27+16.9646*(((K25*H25+K26*H26+K27*H27)*0.001/SUM(H25:H27))*((SUM(H25:H27))^0.55)+0.006)+Z49)^2))</f>
        <v>0</v>
      </c>
      <c r="V52" s="99">
        <f>IF(D28="",0,SQRT(((((K26*H26+K27*H27+K28*H28)*0.001/SUM(H26:H28))*((SUM(H26:H28))^0.55)+0.012+Y50)*50)^2+(M26*H26+M27*H27+M28*H28+16.9646*(((K26*H26+K27*H27+K28*H28)*0.001/SUM(H26:H28))*((SUM(H26:H28))^0.55)+0.006)+Z50)^2))</f>
        <v>0</v>
      </c>
      <c r="W52" s="99">
        <f>IF(D29="",0,SQRT(((((K27*H27+K28*H28+K29*H29)*0.001/SUM(H27:H29))*((SUM(H27:H29))^0.55)+0.012+Y51)*50)^2+(M27*H27+M28*H28+M29*H29+16.9646*(((K27*H27+K28*H28+K29*H29)*0.001/SUM(H27:H29))*((SUM(H27:H29))^0.55)+0.006)+Z51)^2))</f>
        <v>0</v>
      </c>
      <c r="X52" s="103" t="s">
        <v>137</v>
      </c>
      <c r="Y52" s="99">
        <f>IF(I28="---〃---",0,IF(OR(I28=AH3,I28=AH4,I28=AH5,I28=AH6,I28=AH7,I28=AH8,I28=AH9,I28=AH10),S28*0.001+0.012,0))</f>
        <v>0</v>
      </c>
      <c r="Z52" s="99">
        <f>IF(I28="---〃---",0,IF(OR(I28=AH3,I28=AH4,I28=AH5,I28=AH6,I28=AH7,I28=AH8,I28=AH9,I28=AH10),U28+1.884955592*(S28*0.001+0.006)*0.9,0))</f>
        <v>0</v>
      </c>
      <c r="AA52" s="59"/>
      <c r="AB52" s="59"/>
      <c r="AC52" s="59"/>
      <c r="AD52" s="59"/>
      <c r="AE52" s="59"/>
      <c r="AF52" s="28"/>
      <c r="AG52" s="28"/>
      <c r="AH52" s="28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</row>
    <row r="53" spans="1:79" ht="17.25" customHeight="1" x14ac:dyDescent="0.15">
      <c r="A53" s="339"/>
      <c r="B53" s="348"/>
      <c r="C53" s="292"/>
      <c r="D53" s="315"/>
      <c r="E53" s="334"/>
      <c r="F53" s="303"/>
      <c r="G53" s="290"/>
      <c r="H53" s="291"/>
      <c r="I53" s="292"/>
      <c r="J53" s="315"/>
      <c r="K53" s="334"/>
      <c r="L53" s="303"/>
      <c r="M53" s="290"/>
      <c r="N53" s="292"/>
      <c r="O53" s="336"/>
      <c r="P53" s="210" t="str">
        <f>IF(D38="","",MIN(E38,K38,P38,E52,K52))</f>
        <v/>
      </c>
      <c r="Q53" s="359"/>
      <c r="R53" s="59"/>
      <c r="S53" s="99">
        <f>IF(D24="",0,SQRT(((((K23*H23+K24*H24)*0.001/SUM(H23:H24))*((SUM(H23:H24))^0.55)+0.012+Y47)*50)^2+(M23*H23+M24*H24+16.9646*(((K23*H23+K24*H24)*0.001/SUM(H23:H24))*((SUM(H23:H24))^0.55)+0.006)+Z47)^2))</f>
        <v>0</v>
      </c>
      <c r="T53" s="99">
        <f>IF(D25="",0,SQRT(((((K24*H24+K25*H25)*0.001/SUM(H24:H25))*((SUM(H24:H25))^0.55)+0.012+Y48)*50)^2+(M24*H24+M25*H25+16.9646*(((K24*H24+K25*H25)*0.001/SUM(H24:H25))*((SUM(H24:H25))^0.55)+0.006)+Z48)^2))</f>
        <v>0</v>
      </c>
      <c r="U53" s="99">
        <f>IF(D26="",0,SQRT(((((K25*H25+K26*H26)*0.001/SUM(H25:H26))*((SUM(H25:H26))^0.55)+0.012+Y49)*50)^2+(M25*H25+M26*H26+16.9646*(((K25*H25+K26*H26)*0.001/SUM(H25:H26))*((SUM(H25:H26))^0.55)+0.006)+Z49)^2))</f>
        <v>0</v>
      </c>
      <c r="V53" s="99">
        <f>IF(D27="",0,SQRT(((((K26*H26+K27*H27)*0.001/SUM(H26:H27))*((SUM(H26:H27))^0.55)+0.012+Y50)*50)^2+(M26*H26+M27*H27+16.9646*(((K26*H26+K27*H27)*0.001/SUM(H26:H27))*((SUM(H26:H27))^0.55)+0.006)+Z50)^2))</f>
        <v>0</v>
      </c>
      <c r="W53" s="99">
        <f>IF(D28="",0,SQRT(((((K27*H27+K28*H28)*0.001/SUM(H27:H28))*((SUM(H27:H28))^0.55)+0.012+Y51)*50)^2+(M27*H27+M28*H28+16.9646*(((K27*H27+K28*H28)*0.001/SUM(H27:H28))*((SUM(H27:H28))^0.55)+0.006)+Z51)^2))</f>
        <v>0</v>
      </c>
      <c r="X53" s="99">
        <f>IF(D29="",0,SQRT(((((K28*H28+K29*H29)*0.001/SUM(H28:H29))*((SUM(H28:H29))^0.55)+0.012+Y52)*50)^2+(M28*H28+M29*H29+16.9646*(((K28*H28+K29*H29)*0.001/SUM(H28:H29))*((SUM(H28:H29))^0.55)+0.006)+Z52)^2))</f>
        <v>0</v>
      </c>
      <c r="Y53" s="99">
        <f>IF(I29="---〃---",0,IF(OR(I29=AH3,I29=AH4,I29=AH5,I29=AH6,I29=AH7,I29=AH8,I29=AH9,I29=AH10),S29*0.001+0.012,0))</f>
        <v>0</v>
      </c>
      <c r="Z53" s="99">
        <f>IF(I29="---〃---",0,IF(OR(I29=AH3,I29=AH4,I29=AH5,I29=AH6,I29=AH7,I29=AH8,I29=AH9,I29=AH10),U29+1.884955592*(S29*0.001+0.006)*0.9,0))</f>
        <v>0</v>
      </c>
      <c r="AA53" s="59"/>
      <c r="AB53" s="59"/>
      <c r="AC53" s="59"/>
      <c r="AD53" s="59"/>
      <c r="AE53" s="59"/>
      <c r="AF53" s="28"/>
      <c r="AG53" s="28"/>
      <c r="AH53" s="28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</row>
    <row r="54" spans="1:79" ht="15" customHeight="1" x14ac:dyDescent="0.15">
      <c r="A54" s="339"/>
      <c r="B54" s="388" t="s">
        <v>16</v>
      </c>
      <c r="C54" s="298"/>
      <c r="D54" s="198" t="str">
        <f>IF(B46="","",IF(B26="使用電線-4",BR131*H26*J26,IF(B27="使用電線-4",BR131*H27*J27,IF(B28="使用電線-4",BR131*H28*J28,IF(B29="使用電線-4",BR131*H29*J29,"")))))</f>
        <v/>
      </c>
      <c r="E54" s="199" t="str">
        <f>IF(D54="","",BR130)</f>
        <v/>
      </c>
      <c r="F54" s="200" t="str">
        <f>IF(D54="","",IF(B26="使用電線-4",N26*H26*J26/D54,IF(B27="使用電線-4",N27*H27*J27/D54,IF(B28="使用電線-4",N28*H28*J28/D54,IF(B29="使用電線-4",N29*H29*J29/D54)))))</f>
        <v/>
      </c>
      <c r="G54" s="296" t="s">
        <v>16</v>
      </c>
      <c r="H54" s="297"/>
      <c r="I54" s="298"/>
      <c r="J54" s="198" t="str">
        <f>IF(G46="","",IF(B27="使用電線-5",CA131*H27*J27,IF(B28="使用電線-5",CA131*H28*J28,IF(B29="使用電線-5",CA131*H29*J29,""))))</f>
        <v/>
      </c>
      <c r="K54" s="199" t="str">
        <f>IF(J54="","",CA130)</f>
        <v/>
      </c>
      <c r="L54" s="200" t="str">
        <f>IF(J54="","",IF(B27="使用電線-5",N27*H27*J27/J54,IF(B28="使用電線-5",N28*H28*J28/J54,IF(B29="使用電線-5",N29*H29*J29/J54))))</f>
        <v/>
      </c>
      <c r="M54" s="296" t="s">
        <v>16</v>
      </c>
      <c r="N54" s="298"/>
      <c r="O54" s="198" t="str">
        <f>IF(D34="","",SUM(J64:N64))</f>
        <v/>
      </c>
      <c r="P54" s="189" t="str">
        <f>IF(D40="","",MAX(E40,K40,P40,E54,K54))</f>
        <v/>
      </c>
      <c r="Q54" s="203" t="str">
        <f>IF(D40="","",MIN(F40,L40,Q40,F54,L54))</f>
        <v/>
      </c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3"/>
      <c r="AG54" s="3"/>
      <c r="AH54" s="3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</row>
    <row r="55" spans="1:79" ht="15" customHeight="1" x14ac:dyDescent="0.15">
      <c r="A55" s="339"/>
      <c r="B55" s="389" t="s">
        <v>17</v>
      </c>
      <c r="C55" s="301"/>
      <c r="D55" s="249" t="str">
        <f>IF(B46="","",IF(B26="使用電線-4",BR151*H26*J26,IF(B27="使用電線-4",BR151*H27*J27,IF(B28="使用電線-4",BR151*H28*J28,IF(B29="使用電線-4",BR151*H29*J29,"")))))</f>
        <v/>
      </c>
      <c r="E55" s="250" t="str">
        <f>IF(D55="","",BR150)</f>
        <v/>
      </c>
      <c r="F55" s="251" t="str">
        <f>IF(D55="","",IF(B26="使用電線-4",N26*H26*J26/D55,IF(B27="使用電線-4",N27*H27*J27/D55,IF(B28="使用電線-4",N28*H28*J28/D55,IF(B29="使用電線-4",N29*H29*J29/D55)))))</f>
        <v/>
      </c>
      <c r="G55" s="299" t="s">
        <v>17</v>
      </c>
      <c r="H55" s="300"/>
      <c r="I55" s="301"/>
      <c r="J55" s="249" t="str">
        <f>IF(G46="","",IF(B27="使用電線-5",CA151*H27*J27,IF(B28="使用電線-5",CA151*H28*J28,IF(B29="使用電線-5",CA151*H29*J29,""))))</f>
        <v/>
      </c>
      <c r="K55" s="250" t="str">
        <f>IF(J55="","",CA150)</f>
        <v/>
      </c>
      <c r="L55" s="251" t="str">
        <f>IF(J55="","",IF(B27="使用電線-5",N27*H27*J27/J55,IF(B28="使用電線-5",N28*H28*J28/J55,IF(B29="使用電線-5",N29*H29*J29/J55))))</f>
        <v/>
      </c>
      <c r="M55" s="299" t="s">
        <v>17</v>
      </c>
      <c r="N55" s="301"/>
      <c r="O55" s="249" t="str">
        <f>IF(D34="","",SUM(J65:N65))</f>
        <v/>
      </c>
      <c r="P55" s="253" t="str">
        <f>IF(D41="","",MAX(E41,K41,P41,E55,K55))</f>
        <v/>
      </c>
      <c r="Q55" s="252" t="str">
        <f>IF(D41="","",MIN(F41,L41,Q41,F55,L55))</f>
        <v/>
      </c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3"/>
      <c r="AG55" s="3"/>
      <c r="AH55" s="3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</row>
    <row r="56" spans="1:79" ht="15" customHeight="1" x14ac:dyDescent="0.15">
      <c r="A56" s="339"/>
      <c r="B56" s="388" t="s">
        <v>18</v>
      </c>
      <c r="C56" s="298"/>
      <c r="D56" s="198" t="str">
        <f>IF(B46="","",IF(B26="使用電線-4",BR171*H26*J26,IF(B27="使用電線-4",BR171*H27*J27,IF(B28="使用電線-4",BR171*H28*J28,IF(B29="使用電線-4",BR171*H29*J29,"")))))</f>
        <v/>
      </c>
      <c r="E56" s="199" t="str">
        <f>IF(D56="","",BR170)</f>
        <v/>
      </c>
      <c r="F56" s="200" t="str">
        <f>IF(D56="","",IF(B26="使用電線-4",N26*H26*J26/D56,IF(B27="使用電線-4",N27*H27*J27/D56,IF(B28="使用電線-4",N28*H28*J28/D56,IF(B29="使用電線-4",N29*H29*J29/D56)))))</f>
        <v/>
      </c>
      <c r="G56" s="296" t="s">
        <v>18</v>
      </c>
      <c r="H56" s="297"/>
      <c r="I56" s="298"/>
      <c r="J56" s="198" t="str">
        <f>IF(G46="","",IF(B27="使用電線-5",CA171*H27*J27,IF(B28="使用電線-5",CA171*H28*J28,IF(B29="使用電線-5",CA171*H29*J29,""))))</f>
        <v/>
      </c>
      <c r="K56" s="199" t="str">
        <f>IF(J56="","",CA170)</f>
        <v/>
      </c>
      <c r="L56" s="200" t="str">
        <f>IF(J56="","",IF(B27="使用電線-5",N27*H27*J27/J56,IF(B28="使用電線-5",N28*H28*J28/J56,IF(B29="使用電線-5",N29*H29*J29/J56))))</f>
        <v/>
      </c>
      <c r="M56" s="296" t="s">
        <v>18</v>
      </c>
      <c r="N56" s="298"/>
      <c r="O56" s="198" t="str">
        <f>IF(D34="","",SUM(J66:N66))</f>
        <v/>
      </c>
      <c r="P56" s="189" t="str">
        <f>IF(D42="","",MAX(E42,K42,P42,E56,K56))</f>
        <v/>
      </c>
      <c r="Q56" s="203" t="str">
        <f>IF(D42="","",MIN(F42,L42,Q42,F56,L56))</f>
        <v/>
      </c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265">
        <f>IF(AF57="入力完了",1,0)</f>
        <v>0</v>
      </c>
      <c r="AG56" s="3"/>
      <c r="AH56" s="3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</row>
    <row r="57" spans="1:79" ht="15" customHeight="1" x14ac:dyDescent="0.15">
      <c r="A57" s="339"/>
      <c r="B57" s="388" t="s">
        <v>19</v>
      </c>
      <c r="C57" s="298"/>
      <c r="D57" s="198" t="str">
        <f>IF(B46="","",IF(B26="使用電線-4",BR191*H26*J26,IF(B27="使用電線-4",BR191*H27*J27,IF(B28="使用電線-4",BR191*H28*J28,IF(B29="使用電線-4",BR191*H29*J29,"")))))</f>
        <v/>
      </c>
      <c r="E57" s="199" t="str">
        <f>IF(D57="","",BR190)</f>
        <v/>
      </c>
      <c r="F57" s="200" t="str">
        <f>IF(D57="","",IF(B26="使用電線-4",N26*H26*J26/D57,IF(B27="使用電線-4",N27*H27*J27/D57,IF(B28="使用電線-4",N28*H28*J28/D57,IF(B29="使用電線-4",N29*H29*J29/D57)))))</f>
        <v/>
      </c>
      <c r="G57" s="296" t="s">
        <v>19</v>
      </c>
      <c r="H57" s="297"/>
      <c r="I57" s="298"/>
      <c r="J57" s="198" t="str">
        <f>IF(G46="","",IF(B27="使用電線-5",CA191*H27*J27,IF(B28="使用電線-5",CA191*H28*J28,IF(B29="使用電線-5",CA191*H29*J29,""))))</f>
        <v/>
      </c>
      <c r="K57" s="199" t="str">
        <f>IF(J57="","",CA190)</f>
        <v/>
      </c>
      <c r="L57" s="200" t="str">
        <f>IF(J57="","",IF(B27="使用電線-5",N27*H27*J27/J57,IF(B28="使用電線-5",N28*H28*J28/J57,IF(B29="使用電線-5",N29*H29*J29/J57))))</f>
        <v/>
      </c>
      <c r="M57" s="296" t="s">
        <v>19</v>
      </c>
      <c r="N57" s="298"/>
      <c r="O57" s="198" t="str">
        <f>IF(D34="","",SUM(J67:N67))</f>
        <v/>
      </c>
      <c r="P57" s="189" t="str">
        <f>IF(D43="","",MAX(E43,K43,P43,E57,K57))</f>
        <v/>
      </c>
      <c r="Q57" s="203" t="str">
        <f>IF(D43="","",MIN(F43,L43,Q43,F57,L57))</f>
        <v/>
      </c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396" t="str">
        <f>IF(OR(C2="",C4="",P4="",B23=""),"入力未完","入力完了")</f>
        <v>入力未完</v>
      </c>
      <c r="AG57" s="3"/>
      <c r="AH57" s="3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</row>
    <row r="58" spans="1:79" ht="15" customHeight="1" x14ac:dyDescent="0.15">
      <c r="A58" s="339"/>
      <c r="B58" s="385" t="s">
        <v>20</v>
      </c>
      <c r="C58" s="309"/>
      <c r="D58" s="201" t="str">
        <f>IF(B46="","",IF(BR211=0,"",IF(B26="使用電線-4",BR211*H26*J26,IF(B27="使用電線-4",BR211*H27*J27,IF(B28="使用電線-4",BR211*H28*J28,IF(B29="使用電線-4",BR211*H29*J29,""))))))</f>
        <v/>
      </c>
      <c r="E58" s="205" t="str">
        <f>IF(D58="","",BR210)</f>
        <v/>
      </c>
      <c r="F58" s="202" t="str">
        <f>IF(D58="","",IF(B26="使用電線-4",N26*H26*J26/D58,IF(B27="使用電線-4",N27*H27*J27/D58,IF(B28="使用電線-4",N28*H28*J28/D58,IF(B29="使用電線-4",N29*H29*J29/D58)))))</f>
        <v/>
      </c>
      <c r="G58" s="308" t="s">
        <v>20</v>
      </c>
      <c r="H58" s="332"/>
      <c r="I58" s="309"/>
      <c r="J58" s="201" t="str">
        <f>IF(G46="","",IF(CA211=0,"",IF(B27="使用電線-5",CA211*H27*J27,IF(B28="使用電線-5",CA211*H28*J28,IF(B29="使用電線-5",CA211*H29*J29,"")))))</f>
        <v/>
      </c>
      <c r="K58" s="205" t="str">
        <f>IF(J58="","",CA210)</f>
        <v/>
      </c>
      <c r="L58" s="202" t="str">
        <f>IF(J58="","",IF(B27="使用電線-5",N27*H27*J27/J58,IF(B28="使用電線-5",N28*H28*J28/J58,IF(B29="使用電線-5",N29*H29*J29/J58))))</f>
        <v/>
      </c>
      <c r="M58" s="308" t="s">
        <v>20</v>
      </c>
      <c r="N58" s="309"/>
      <c r="O58" s="201" t="str">
        <f>IF(SUM(J68:N68)=0,"",SUM(J68:N68))</f>
        <v/>
      </c>
      <c r="P58" s="211" t="str">
        <f>IF(O58="","",IF(MAX(E44,K44,P44,E58,K58)=0,"",MAX(E44,K44,P44,E58,K58)))</f>
        <v/>
      </c>
      <c r="Q58" s="204" t="str">
        <f>IF(O58="","",IF(MIN(F44,L44,Q44,F58,L58)=0,"",MIN(F44,L44,Q44,F58,L58)))</f>
        <v/>
      </c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397"/>
      <c r="AG58" s="3"/>
      <c r="AH58" s="3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</row>
    <row r="59" spans="1:79" ht="3.75" customHeight="1" thickBot="1" x14ac:dyDescent="0.2">
      <c r="A59" s="339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79" ht="18" hidden="1" customHeight="1" thickBot="1" x14ac:dyDescent="0.2">
      <c r="B60" s="36"/>
      <c r="C60" s="36"/>
      <c r="D60" s="102"/>
      <c r="E60" s="102"/>
      <c r="F60" s="59"/>
      <c r="G60" s="59"/>
      <c r="S60" s="103" t="s">
        <v>138</v>
      </c>
      <c r="T60" s="36"/>
      <c r="U60" s="102"/>
      <c r="V60" s="102"/>
      <c r="W60" s="59"/>
      <c r="X60" s="59"/>
    </row>
    <row r="61" spans="1:79" ht="18" hidden="1" customHeight="1" x14ac:dyDescent="0.15">
      <c r="J61" s="53">
        <f>IF(D34="",0,D34)</f>
        <v>0</v>
      </c>
      <c r="K61" s="53">
        <f>IF(J34="",0,J34)</f>
        <v>0</v>
      </c>
      <c r="L61" s="53">
        <f>IF(O34="",0,O34)</f>
        <v>0</v>
      </c>
      <c r="M61" s="53">
        <f>IF(D48="",0,D48)</f>
        <v>0</v>
      </c>
      <c r="N61" s="53">
        <f>IF(J48="",0,J48)</f>
        <v>0</v>
      </c>
      <c r="S61" s="99">
        <f>IF(D29="",0,SQRT(((((K23*H23+K24*H24+K25*H25+K26*H26+K27*H27+K28*H28+K29*H29)*0.001/SUM(H23:H29))*((SUM(H23:H29))^0.55)+S23*0.001)*50)^2+(M23*H23+M24*H24+M25*H25+M26*H26+M27*H27+M28*H28+M29*H29+U23)^2))</f>
        <v>0</v>
      </c>
      <c r="T61" s="103" t="s">
        <v>335</v>
      </c>
      <c r="U61" s="102"/>
      <c r="V61" s="102"/>
      <c r="W61" s="59"/>
      <c r="X61" s="59"/>
      <c r="AJ61" s="2" t="s">
        <v>336</v>
      </c>
      <c r="AK61" s="111" t="s">
        <v>337</v>
      </c>
      <c r="AL61" s="12" t="s">
        <v>338</v>
      </c>
      <c r="AM61" s="12" t="s">
        <v>339</v>
      </c>
      <c r="AN61" s="12" t="s">
        <v>340</v>
      </c>
      <c r="AO61" s="12" t="s">
        <v>341</v>
      </c>
      <c r="AP61" s="12" t="s">
        <v>342</v>
      </c>
      <c r="AQ61" s="13" t="s">
        <v>343</v>
      </c>
      <c r="AS61" s="2" t="s">
        <v>336</v>
      </c>
      <c r="AT61" s="111" t="s">
        <v>337</v>
      </c>
      <c r="AU61" s="12" t="s">
        <v>338</v>
      </c>
      <c r="AV61" s="12" t="s">
        <v>339</v>
      </c>
      <c r="AW61" s="12" t="s">
        <v>340</v>
      </c>
      <c r="AX61" s="12" t="s">
        <v>341</v>
      </c>
      <c r="AY61" s="12" t="s">
        <v>342</v>
      </c>
      <c r="AZ61" s="13" t="s">
        <v>343</v>
      </c>
      <c r="BB61" s="2" t="s">
        <v>336</v>
      </c>
      <c r="BC61" s="111" t="s">
        <v>337</v>
      </c>
      <c r="BD61" s="12" t="s">
        <v>338</v>
      </c>
      <c r="BE61" s="12" t="s">
        <v>339</v>
      </c>
      <c r="BF61" s="12" t="s">
        <v>340</v>
      </c>
      <c r="BG61" s="12" t="s">
        <v>341</v>
      </c>
      <c r="BH61" s="12" t="s">
        <v>342</v>
      </c>
      <c r="BI61" s="13" t="s">
        <v>343</v>
      </c>
      <c r="BK61" s="2" t="s">
        <v>336</v>
      </c>
      <c r="BL61" s="111" t="s">
        <v>337</v>
      </c>
      <c r="BM61" s="12" t="s">
        <v>338</v>
      </c>
      <c r="BN61" s="12" t="s">
        <v>339</v>
      </c>
      <c r="BO61" s="12" t="s">
        <v>340</v>
      </c>
      <c r="BP61" s="12" t="s">
        <v>341</v>
      </c>
      <c r="BQ61" s="12" t="s">
        <v>342</v>
      </c>
      <c r="BR61" s="13" t="s">
        <v>343</v>
      </c>
      <c r="BT61" s="2" t="s">
        <v>336</v>
      </c>
      <c r="BU61" s="111" t="s">
        <v>337</v>
      </c>
      <c r="BV61" s="12" t="s">
        <v>338</v>
      </c>
      <c r="BW61" s="12" t="s">
        <v>339</v>
      </c>
      <c r="BX61" s="12" t="s">
        <v>340</v>
      </c>
      <c r="BY61" s="12" t="s">
        <v>341</v>
      </c>
      <c r="BZ61" s="12" t="s">
        <v>342</v>
      </c>
      <c r="CA61" s="13" t="s">
        <v>343</v>
      </c>
    </row>
    <row r="62" spans="1:79" ht="18" hidden="1" customHeight="1" x14ac:dyDescent="0.15">
      <c r="J62" s="53">
        <f>IF(D36="",0,D36)</f>
        <v>0</v>
      </c>
      <c r="K62" s="53">
        <f>IF(J36="",0,J36)</f>
        <v>0</v>
      </c>
      <c r="L62" s="53">
        <f>IF(O36="",0,O36)</f>
        <v>0</v>
      </c>
      <c r="M62" s="53">
        <f>IF(D50="",0,D50)</f>
        <v>0</v>
      </c>
      <c r="N62" s="53">
        <f>IF(J50="",0,J50)</f>
        <v>0</v>
      </c>
      <c r="S62" s="99">
        <f>IF(D28="",0,SQRT(((((K23*H23+K24*H24+K25*H25+K26*H26+K27*H27+K28*H28)*0.001/SUM(H23:H28))*((SUM(H23:H28))^0.55)+S23*0.001)*50)^2+(M23*H23+M24*H24+M25*H25+M26*H26+M27*H27+M28*H28+U23)^2))</f>
        <v>0</v>
      </c>
      <c r="T62" s="99">
        <f>IF(D29="",0,SQRT(((((K24*H24+K25*H25+K26*H26+K27*H27+K28*H28+K29*H29)*0.001/SUM(H24:H29))*((SUM(H24:H29))^0.55)+S24*0.001)*50)^2+(M24*H24+M25*H25+M26*H26+M27*H27+M28*H28+M29*H29+U24)^2))</f>
        <v>0</v>
      </c>
      <c r="U62" s="103" t="s">
        <v>344</v>
      </c>
      <c r="V62" s="102"/>
      <c r="W62" s="59"/>
      <c r="X62" s="59"/>
      <c r="AJ62" s="16" t="e">
        <f>-AJ65+AJ68</f>
        <v>#VALUE!</v>
      </c>
      <c r="AK62" s="17" t="e">
        <f>-AJ71</f>
        <v>#VALUE!</v>
      </c>
      <c r="AL62" s="18" t="e">
        <f>IF(AND(AP65&lt;0,AQ65&lt;0),AQ62*1.2,IF(AND(AP65&gt;0,AQ65&gt;0),AP62*0.8,10))</f>
        <v>#VALUE!</v>
      </c>
      <c r="AM62" s="18" t="e">
        <f>AL62^3+AJ62*AL62+AK62</f>
        <v>#VALUE!</v>
      </c>
      <c r="AN62" s="18" t="e">
        <f>3*AL62^2+AJ62</f>
        <v>#VALUE!</v>
      </c>
      <c r="AO62" s="18" t="e">
        <f t="shared" ref="AO62:AO76" si="8">AL62-AM62/AN62</f>
        <v>#VALUE!</v>
      </c>
      <c r="AP62" s="18" t="e">
        <f>-SQRT(ABS(-4*3*AJ62))/6</f>
        <v>#VALUE!</v>
      </c>
      <c r="AQ62" s="19" t="e">
        <f>SQRT(ABS(-4*3*AJ62))/6</f>
        <v>#VALUE!</v>
      </c>
      <c r="AS62" s="16" t="e">
        <f>-AS65+AS68</f>
        <v>#VALUE!</v>
      </c>
      <c r="AT62" s="17" t="e">
        <f>-AS71</f>
        <v>#VALUE!</v>
      </c>
      <c r="AU62" s="18" t="e">
        <f>IF(AND(AY65&lt;0,AZ65&lt;0),AZ62*1.2,IF(AND(AY65&gt;0,AZ65&gt;0),AY62*0.8,10))</f>
        <v>#VALUE!</v>
      </c>
      <c r="AV62" s="18" t="e">
        <f>AU62^3+AS62*AU62+AT62</f>
        <v>#VALUE!</v>
      </c>
      <c r="AW62" s="18" t="e">
        <f>3*AU62^2+AS62</f>
        <v>#VALUE!</v>
      </c>
      <c r="AX62" s="18" t="e">
        <f t="shared" ref="AX62:AX76" si="9">AU62-AV62/AW62</f>
        <v>#VALUE!</v>
      </c>
      <c r="AY62" s="18" t="e">
        <f>-SQRT(ABS(-4*3*AS62))/6</f>
        <v>#VALUE!</v>
      </c>
      <c r="AZ62" s="19" t="e">
        <f>SQRT(ABS(-4*3*AS62))/6</f>
        <v>#VALUE!</v>
      </c>
      <c r="BB62" s="16" t="e">
        <f>-BB65+BB68</f>
        <v>#VALUE!</v>
      </c>
      <c r="BC62" s="17" t="e">
        <f>-BB71</f>
        <v>#VALUE!</v>
      </c>
      <c r="BD62" s="18" t="e">
        <f>IF(AND(BH65&lt;0,BI65&lt;0),BI62*1.2,IF(AND(BH65&gt;0,BI65&gt;0),BH62*0.8,10))</f>
        <v>#VALUE!</v>
      </c>
      <c r="BE62" s="18" t="e">
        <f>BD62^3+BB62*BD62+BC62</f>
        <v>#VALUE!</v>
      </c>
      <c r="BF62" s="18" t="e">
        <f>3*BD62^2+BB62</f>
        <v>#VALUE!</v>
      </c>
      <c r="BG62" s="18" t="e">
        <f t="shared" ref="BG62:BG76" si="10">BD62-BE62/BF62</f>
        <v>#VALUE!</v>
      </c>
      <c r="BH62" s="18" t="e">
        <f>-SQRT(ABS(-4*3*BB62))/6</f>
        <v>#VALUE!</v>
      </c>
      <c r="BI62" s="19" t="e">
        <f>SQRT(ABS(-4*3*BB62))/6</f>
        <v>#VALUE!</v>
      </c>
      <c r="BK62" s="16" t="e">
        <f>-BK65+BK68</f>
        <v>#VALUE!</v>
      </c>
      <c r="BL62" s="17" t="e">
        <f>-BK71</f>
        <v>#VALUE!</v>
      </c>
      <c r="BM62" s="18" t="e">
        <f>IF(AND(BQ65&lt;0,BR65&lt;0),BR62*1.2,IF(AND(BQ65&gt;0,BR65&gt;0),BQ62*0.8,10))</f>
        <v>#VALUE!</v>
      </c>
      <c r="BN62" s="18" t="e">
        <f>BM62^3+BK62*BM62+BL62</f>
        <v>#VALUE!</v>
      </c>
      <c r="BO62" s="18" t="e">
        <f>3*BM62^2+BK62</f>
        <v>#VALUE!</v>
      </c>
      <c r="BP62" s="18" t="e">
        <f t="shared" ref="BP62:BP76" si="11">BM62-BN62/BO62</f>
        <v>#VALUE!</v>
      </c>
      <c r="BQ62" s="18" t="e">
        <f>-SQRT(ABS(-4*3*BK62))/6</f>
        <v>#VALUE!</v>
      </c>
      <c r="BR62" s="19" t="e">
        <f>SQRT(ABS(-4*3*BK62))/6</f>
        <v>#VALUE!</v>
      </c>
      <c r="BT62" s="16" t="e">
        <f>-BT65+BT68</f>
        <v>#VALUE!</v>
      </c>
      <c r="BU62" s="17" t="e">
        <f>-BT71</f>
        <v>#VALUE!</v>
      </c>
      <c r="BV62" s="18" t="e">
        <f>IF(AND(BZ65&lt;0,CA65&lt;0),CA62*1.2,IF(AND(BZ65&gt;0,CA65&gt;0),BZ62*0.8,10))</f>
        <v>#VALUE!</v>
      </c>
      <c r="BW62" s="18" t="e">
        <f>BV62^3+BT62*BV62+BU62</f>
        <v>#VALUE!</v>
      </c>
      <c r="BX62" s="18" t="e">
        <f>3*BV62^2+BT62</f>
        <v>#VALUE!</v>
      </c>
      <c r="BY62" s="18" t="e">
        <f t="shared" ref="BY62:BY76" si="12">BV62-BW62/BX62</f>
        <v>#VALUE!</v>
      </c>
      <c r="BZ62" s="18" t="e">
        <f>-SQRT(ABS(-4*3*BT62))/6</f>
        <v>#VALUE!</v>
      </c>
      <c r="CA62" s="19" t="e">
        <f>SQRT(ABS(-4*3*BT62))/6</f>
        <v>#VALUE!</v>
      </c>
    </row>
    <row r="63" spans="1:79" ht="18" hidden="1" customHeight="1" x14ac:dyDescent="0.15">
      <c r="J63" s="53">
        <f>IF(D38="",0,D38)</f>
        <v>0</v>
      </c>
      <c r="K63" s="53">
        <f>IF(J38="",0,J38)</f>
        <v>0</v>
      </c>
      <c r="L63" s="53">
        <f>IF(O38="",0,O38)</f>
        <v>0</v>
      </c>
      <c r="M63" s="53">
        <f>IF(D52="",0,D52)</f>
        <v>0</v>
      </c>
      <c r="N63" s="53">
        <f>IF(J52="",0,J52)</f>
        <v>0</v>
      </c>
      <c r="S63" s="99">
        <f>IF(D27="",0,SQRT(((((K23*H23+K24*H24+K25*H25+K26*H26+K27*H27)*0.001/SUM(H23:H27))*((SUM(H23:H27))^0.55)+S23*0.001)*50)^2+(M23*H23+M24*H24+M25*H25+M26*H26+M27*H27+U23)^2))</f>
        <v>0</v>
      </c>
      <c r="T63" s="99">
        <f>IF(D28="",0,SQRT(((((K24*H24+K25*H25+K26*H26+K27*H27+K28*H28)*0.001/SUM(H24:H28))*((SUM(H24:H28))^0.55)+S24*0.001)*50)^2+(M24*H24+M25*H25+M26*H26+M27*H27+M28*H28+U24)^2))</f>
        <v>0</v>
      </c>
      <c r="U63" s="99">
        <f>IF(D29="",0,SQRT(((((K25*H25+K26*H26+K27*H27+K28*H28+K29*H29)*0.001/SUM(H25:H29))*((SUM(H25:H29))^0.55)+S25*0.001)*50)^2+(M25*H25+M26*H26+M27*H27+M28*H28+M29*H29+U25)^2))</f>
        <v>0</v>
      </c>
      <c r="V63" s="103" t="s">
        <v>345</v>
      </c>
      <c r="W63" s="59"/>
      <c r="X63" s="59"/>
      <c r="AJ63" s="267"/>
      <c r="AK63" s="268"/>
      <c r="AL63" s="18" t="e">
        <f t="shared" ref="AL63:AL76" si="13">AO62</f>
        <v>#VALUE!</v>
      </c>
      <c r="AM63" s="18" t="e">
        <f>AL63^3+AJ62*AL63+AK62</f>
        <v>#VALUE!</v>
      </c>
      <c r="AN63" s="18" t="e">
        <f>3*AL63^2+AJ62</f>
        <v>#VALUE!</v>
      </c>
      <c r="AO63" s="18" t="e">
        <f t="shared" si="8"/>
        <v>#VALUE!</v>
      </c>
      <c r="AP63" s="6"/>
      <c r="AQ63" s="7"/>
      <c r="AS63" s="267"/>
      <c r="AT63" s="268"/>
      <c r="AU63" s="18" t="e">
        <f t="shared" ref="AU63:AU76" si="14">AX62</f>
        <v>#VALUE!</v>
      </c>
      <c r="AV63" s="18" t="e">
        <f>AU63^3+AS62*AU63+AT62</f>
        <v>#VALUE!</v>
      </c>
      <c r="AW63" s="18" t="e">
        <f>3*AU63^2+AS62</f>
        <v>#VALUE!</v>
      </c>
      <c r="AX63" s="18" t="e">
        <f t="shared" si="9"/>
        <v>#VALUE!</v>
      </c>
      <c r="AY63" s="6"/>
      <c r="AZ63" s="7"/>
      <c r="BB63" s="267"/>
      <c r="BC63" s="268"/>
      <c r="BD63" s="18" t="e">
        <f t="shared" ref="BD63:BD76" si="15">BG62</f>
        <v>#VALUE!</v>
      </c>
      <c r="BE63" s="18" t="e">
        <f>BD63^3+BB62*BD63+BC62</f>
        <v>#VALUE!</v>
      </c>
      <c r="BF63" s="18" t="e">
        <f>3*BD63^2+BB62</f>
        <v>#VALUE!</v>
      </c>
      <c r="BG63" s="18" t="e">
        <f t="shared" si="10"/>
        <v>#VALUE!</v>
      </c>
      <c r="BH63" s="6"/>
      <c r="BI63" s="7"/>
      <c r="BK63" s="267"/>
      <c r="BL63" s="268"/>
      <c r="BM63" s="18" t="e">
        <f t="shared" ref="BM63:BM76" si="16">BP62</f>
        <v>#VALUE!</v>
      </c>
      <c r="BN63" s="18" t="e">
        <f>BM63^3+BK62*BM63+BL62</f>
        <v>#VALUE!</v>
      </c>
      <c r="BO63" s="18" t="e">
        <f>3*BM63^2+BK62</f>
        <v>#VALUE!</v>
      </c>
      <c r="BP63" s="18" t="e">
        <f t="shared" si="11"/>
        <v>#VALUE!</v>
      </c>
      <c r="BQ63" s="6"/>
      <c r="BR63" s="7"/>
      <c r="BT63" s="267"/>
      <c r="BU63" s="268"/>
      <c r="BV63" s="18" t="e">
        <f t="shared" ref="BV63:BV76" si="17">BY62</f>
        <v>#VALUE!</v>
      </c>
      <c r="BW63" s="18" t="e">
        <f>BV63^3+BT62*BV63+BU62</f>
        <v>#VALUE!</v>
      </c>
      <c r="BX63" s="18" t="e">
        <f>3*BV63^2+BT62</f>
        <v>#VALUE!</v>
      </c>
      <c r="BY63" s="18" t="e">
        <f t="shared" si="12"/>
        <v>#VALUE!</v>
      </c>
      <c r="BZ63" s="6"/>
      <c r="CA63" s="7"/>
    </row>
    <row r="64" spans="1:79" ht="18" hidden="1" customHeight="1" x14ac:dyDescent="0.15">
      <c r="J64" s="53">
        <f>IF(D40="",0,D40)</f>
        <v>0</v>
      </c>
      <c r="K64" s="53">
        <f>IF(J40="",0,J40)</f>
        <v>0</v>
      </c>
      <c r="L64" s="53">
        <f>IF(O40="",0,O40)</f>
        <v>0</v>
      </c>
      <c r="M64" s="53">
        <f>IF(D54="",0,D54)</f>
        <v>0</v>
      </c>
      <c r="N64" s="53">
        <f>IF(J54="",0,J54)</f>
        <v>0</v>
      </c>
      <c r="S64" s="99">
        <f>IF(D26="",0,SQRT(((((K23*H23+K24*H24+K25*H25+K26*H26)*0.001/SUM(H23:H26))*((SUM(H23:H26))^0.55)+S23*0.001)*50)^2+(M23*H23+M24*H24+M25*H25+M26*H26+U23)^2))</f>
        <v>0</v>
      </c>
      <c r="T64" s="99">
        <f>IF(D27="",0,SQRT(((((K24*H24+K25*H25+K26*H26+K27*H27)*0.001/SUM(H24:H27))*((SUM(H24:H27))^0.55)+S24*0.001)*50)^2+(M24*H24+M25*H25+M26*H26+M27*H27+U24)^2))</f>
        <v>0</v>
      </c>
      <c r="U64" s="99">
        <f>IF(D28="",0,SQRT(((((K25*H25+K26*H26+K27*H27+K28*H28)*0.001/SUM(H25:H28))*((SUM(H25:H28))^0.55)+S25*0.001)*50)^2+(M25*H25+M26*H26+M27*H27+M28*H28+U25)^2))</f>
        <v>0</v>
      </c>
      <c r="V64" s="99">
        <f>IF(D29="",0,SQRT(((((K26*H26+K27*H27+K28*H28+K29*H29)*0.001/SUM(H26:H29))*((SUM(H26:H29))^0.55)+S26*0.001)*50)^2+(M26*H26+M27*H27+M28*H28+M29*H29+U26)^2))</f>
        <v>0</v>
      </c>
      <c r="W64" s="103" t="s">
        <v>346</v>
      </c>
      <c r="X64" s="59"/>
      <c r="AJ64" s="269" t="s">
        <v>347</v>
      </c>
      <c r="AK64" s="270"/>
      <c r="AL64" s="18" t="e">
        <f t="shared" si="13"/>
        <v>#VALUE!</v>
      </c>
      <c r="AM64" s="18" t="e">
        <f>AL64^3+AJ62*AL64+AK62</f>
        <v>#VALUE!</v>
      </c>
      <c r="AN64" s="18" t="e">
        <f>3*AL64^2+AJ62</f>
        <v>#VALUE!</v>
      </c>
      <c r="AO64" s="18" t="e">
        <f t="shared" si="8"/>
        <v>#VALUE!</v>
      </c>
      <c r="AP64" s="14" t="s">
        <v>348</v>
      </c>
      <c r="AQ64" s="15" t="s">
        <v>349</v>
      </c>
      <c r="AS64" s="269" t="s">
        <v>347</v>
      </c>
      <c r="AT64" s="270"/>
      <c r="AU64" s="18" t="e">
        <f t="shared" si="14"/>
        <v>#VALUE!</v>
      </c>
      <c r="AV64" s="18" t="e">
        <f>AU64^3+AS62*AU64+AT62</f>
        <v>#VALUE!</v>
      </c>
      <c r="AW64" s="18" t="e">
        <f>3*AU64^2+AS62</f>
        <v>#VALUE!</v>
      </c>
      <c r="AX64" s="18" t="e">
        <f t="shared" si="9"/>
        <v>#VALUE!</v>
      </c>
      <c r="AY64" s="14" t="s">
        <v>348</v>
      </c>
      <c r="AZ64" s="15" t="s">
        <v>349</v>
      </c>
      <c r="BB64" s="269" t="s">
        <v>347</v>
      </c>
      <c r="BC64" s="270"/>
      <c r="BD64" s="18" t="e">
        <f t="shared" si="15"/>
        <v>#VALUE!</v>
      </c>
      <c r="BE64" s="18" t="e">
        <f>BD64^3+BB62*BD64+BC62</f>
        <v>#VALUE!</v>
      </c>
      <c r="BF64" s="18" t="e">
        <f>3*BD64^2+BB62</f>
        <v>#VALUE!</v>
      </c>
      <c r="BG64" s="18" t="e">
        <f t="shared" si="10"/>
        <v>#VALUE!</v>
      </c>
      <c r="BH64" s="14" t="s">
        <v>348</v>
      </c>
      <c r="BI64" s="15" t="s">
        <v>349</v>
      </c>
      <c r="BK64" s="269" t="s">
        <v>347</v>
      </c>
      <c r="BL64" s="270"/>
      <c r="BM64" s="18" t="e">
        <f t="shared" si="16"/>
        <v>#VALUE!</v>
      </c>
      <c r="BN64" s="18" t="e">
        <f>BM64^3+BK62*BM64+BL62</f>
        <v>#VALUE!</v>
      </c>
      <c r="BO64" s="18" t="e">
        <f>3*BM64^2+BK62</f>
        <v>#VALUE!</v>
      </c>
      <c r="BP64" s="18" t="e">
        <f t="shared" si="11"/>
        <v>#VALUE!</v>
      </c>
      <c r="BQ64" s="14" t="s">
        <v>348</v>
      </c>
      <c r="BR64" s="15" t="s">
        <v>349</v>
      </c>
      <c r="BT64" s="269" t="s">
        <v>347</v>
      </c>
      <c r="BU64" s="270"/>
      <c r="BV64" s="18" t="e">
        <f t="shared" si="17"/>
        <v>#VALUE!</v>
      </c>
      <c r="BW64" s="18" t="e">
        <f>BV64^3+BT62*BV64+BU62</f>
        <v>#VALUE!</v>
      </c>
      <c r="BX64" s="18" t="e">
        <f>3*BV64^2+BT62</f>
        <v>#VALUE!</v>
      </c>
      <c r="BY64" s="18" t="e">
        <f t="shared" si="12"/>
        <v>#VALUE!</v>
      </c>
      <c r="BZ64" s="14" t="s">
        <v>348</v>
      </c>
      <c r="CA64" s="15" t="s">
        <v>349</v>
      </c>
    </row>
    <row r="65" spans="10:79" ht="18" hidden="1" customHeight="1" x14ac:dyDescent="0.15">
      <c r="J65" s="53">
        <f>IF(D41="",0,D41)</f>
        <v>0</v>
      </c>
      <c r="K65" s="53">
        <f>IF(J41="",0,J41)</f>
        <v>0</v>
      </c>
      <c r="L65" s="53">
        <f>IF(O41="",0,O41)</f>
        <v>0</v>
      </c>
      <c r="M65" s="53">
        <f>IF(D55="",0,D55)</f>
        <v>0</v>
      </c>
      <c r="N65" s="53">
        <f>IF(J55="",0,J55)</f>
        <v>0</v>
      </c>
      <c r="S65" s="99">
        <f>IF(D25="",0,SQRT(((((K23*H23+K24*H24+K25*H25)*0.001/SUM(H23:H25))*((SUM(H23:H25))^0.55)+S23*0.001)*50)^2+(M23*H23+M24*H24+M25*H25+U23)^2))</f>
        <v>0</v>
      </c>
      <c r="T65" s="99">
        <f>IF(D26="",0,SQRT(((((K24*H24+K25*H25+K26*H26)*0.001/SUM(H24:H26))*((SUM(H24:H26))^0.55)+S24*0.001)*50)^2+(M24*H24+M25*H25+M26*H26+U24)^2))</f>
        <v>0</v>
      </c>
      <c r="U65" s="99">
        <f>IF(D27="",0,SQRT(((((K25*H25+K26*H26+K27*H27)*0.001/SUM(H25:H27))*((SUM(H25:H27))^0.55)+S25*0.001)*50)^2+(M25*H25+M26*H26+M27*H27+U25)^2))</f>
        <v>0</v>
      </c>
      <c r="V65" s="99">
        <f>IF(D28="",0,SQRT(((((K26*H26+K27*H27+K28*H28)*0.001/SUM(H26:H28))*((SUM(H26:H28))^0.55)+S26*0.001)*50)^2+(M26*H26+M27*H27+M28*H28+U26)^2))</f>
        <v>0</v>
      </c>
      <c r="W65" s="99">
        <f>IF(D29="",0,SQRT(((((K27*H27+K28*H28+K29*H29)*0.001/SUM(H27:H29))*((SUM(H27:H29))^0.55)+S27*0.001)*50)^2+(M27*H27+M28*H28+M29*H29+U27)^2))</f>
        <v>0</v>
      </c>
      <c r="X65" s="103" t="s">
        <v>350</v>
      </c>
      <c r="AJ65" s="269">
        <f>(AL78^2)+3*(AM78^2)*AQ78*(AQ73-15)/(8*10^7)</f>
        <v>0</v>
      </c>
      <c r="AK65" s="270"/>
      <c r="AL65" s="18" t="e">
        <f t="shared" si="13"/>
        <v>#VALUE!</v>
      </c>
      <c r="AM65" s="18" t="e">
        <f>AL65^3+AJ62*AL65+AK62</f>
        <v>#VALUE!</v>
      </c>
      <c r="AN65" s="18" t="e">
        <f>3*AL65^2+AJ62</f>
        <v>#VALUE!</v>
      </c>
      <c r="AO65" s="18" t="e">
        <f t="shared" si="8"/>
        <v>#VALUE!</v>
      </c>
      <c r="AP65" s="18" t="e">
        <f>AP62^3+AJ62*AP62+AK62</f>
        <v>#VALUE!</v>
      </c>
      <c r="AQ65" s="19" t="e">
        <f>AQ62^3+AJ62*AQ62+AK62</f>
        <v>#VALUE!</v>
      </c>
      <c r="AS65" s="269" t="e">
        <f>(AU78^2)+3*(AV78^2)*AZ78*(AZ73-15)/(8*10^7)</f>
        <v>#VALUE!</v>
      </c>
      <c r="AT65" s="270"/>
      <c r="AU65" s="18" t="e">
        <f t="shared" si="14"/>
        <v>#VALUE!</v>
      </c>
      <c r="AV65" s="18" t="e">
        <f>AU65^3+AS62*AU65+AT62</f>
        <v>#VALUE!</v>
      </c>
      <c r="AW65" s="18" t="e">
        <f>3*AU65^2+AS62</f>
        <v>#VALUE!</v>
      </c>
      <c r="AX65" s="18" t="e">
        <f t="shared" si="9"/>
        <v>#VALUE!</v>
      </c>
      <c r="AY65" s="18" t="e">
        <f>AY62^3+AS62*AY62+AT62</f>
        <v>#VALUE!</v>
      </c>
      <c r="AZ65" s="19" t="e">
        <f>AZ62^3+AS62*AZ62+AT62</f>
        <v>#VALUE!</v>
      </c>
      <c r="BB65" s="269" t="e">
        <f>(BD78^2)+3*(BE78^2)*BI78*(BI73-15)/(8*10^7)</f>
        <v>#VALUE!</v>
      </c>
      <c r="BC65" s="270"/>
      <c r="BD65" s="18" t="e">
        <f t="shared" si="15"/>
        <v>#VALUE!</v>
      </c>
      <c r="BE65" s="18" t="e">
        <f>BD65^3+BB62*BD65+BC62</f>
        <v>#VALUE!</v>
      </c>
      <c r="BF65" s="18" t="e">
        <f>3*BD65^2+BB62</f>
        <v>#VALUE!</v>
      </c>
      <c r="BG65" s="18" t="e">
        <f t="shared" si="10"/>
        <v>#VALUE!</v>
      </c>
      <c r="BH65" s="18" t="e">
        <f>BH62^3+BB62*BH62+BC62</f>
        <v>#VALUE!</v>
      </c>
      <c r="BI65" s="19" t="e">
        <f>BI62^3+BB62*BI62+BC62</f>
        <v>#VALUE!</v>
      </c>
      <c r="BK65" s="269" t="e">
        <f>(BM78^2)+3*(BN78^2)*BR78*(BR73-15)/(8*10^7)</f>
        <v>#VALUE!</v>
      </c>
      <c r="BL65" s="270"/>
      <c r="BM65" s="18" t="e">
        <f t="shared" si="16"/>
        <v>#VALUE!</v>
      </c>
      <c r="BN65" s="18" t="e">
        <f>BM65^3+BK62*BM65+BL62</f>
        <v>#VALUE!</v>
      </c>
      <c r="BO65" s="18" t="e">
        <f>3*BM65^2+BK62</f>
        <v>#VALUE!</v>
      </c>
      <c r="BP65" s="18" t="e">
        <f t="shared" si="11"/>
        <v>#VALUE!</v>
      </c>
      <c r="BQ65" s="18" t="e">
        <f>BQ62^3+BK62*BQ62+BL62</f>
        <v>#VALUE!</v>
      </c>
      <c r="BR65" s="19" t="e">
        <f>BR62^3+BK62*BR62+BL62</f>
        <v>#VALUE!</v>
      </c>
      <c r="BT65" s="269" t="e">
        <f>(BV78^2)+3*(BW78^2)*CA78*(CA73-15)/(8*10^7)</f>
        <v>#VALUE!</v>
      </c>
      <c r="BU65" s="270"/>
      <c r="BV65" s="18" t="e">
        <f t="shared" si="17"/>
        <v>#VALUE!</v>
      </c>
      <c r="BW65" s="18" t="e">
        <f>BV65^3+BT62*BV65+BU62</f>
        <v>#VALUE!</v>
      </c>
      <c r="BX65" s="18" t="e">
        <f>3*BV65^2+BT62</f>
        <v>#VALUE!</v>
      </c>
      <c r="BY65" s="18" t="e">
        <f t="shared" si="12"/>
        <v>#VALUE!</v>
      </c>
      <c r="BZ65" s="18" t="e">
        <f>BZ62^3+BT62*BZ62+BU62</f>
        <v>#VALUE!</v>
      </c>
      <c r="CA65" s="19" t="e">
        <f>CA62^3+BT62*CA62+BU62</f>
        <v>#VALUE!</v>
      </c>
    </row>
    <row r="66" spans="10:79" ht="18" hidden="1" customHeight="1" x14ac:dyDescent="0.15">
      <c r="J66" s="53">
        <f>IF(D42="",0,D42)</f>
        <v>0</v>
      </c>
      <c r="K66" s="53">
        <f>IF(J42="",0,J42)</f>
        <v>0</v>
      </c>
      <c r="L66" s="53">
        <f>IF(O42="",0,O42)</f>
        <v>0</v>
      </c>
      <c r="M66" s="53">
        <f>IF(D56="",0,D56)</f>
        <v>0</v>
      </c>
      <c r="N66" s="53">
        <f>IF(J56="",0,J56)</f>
        <v>0</v>
      </c>
      <c r="S66" s="99">
        <f>IF(D24="",0,SQRT(((((K23*H23+K24*H24)*0.001/SUM(H23:H24))*((SUM(H23:H24))^0.55)+S23*0.001)*50)^2+(M23*H23+M24*H24+U23)^2))</f>
        <v>0</v>
      </c>
      <c r="T66" s="99">
        <f>IF(D25="",0,SQRT(((((K24*H24+K25*H25)*0.001/SUM(H24:H25))*((SUM(H24:H25))^0.55)+S24*0.001)*50)^2+(M24*H24+M25*H25+U24)^2))</f>
        <v>0</v>
      </c>
      <c r="U66" s="99">
        <f>IF(D26="",0,SQRT(((((K25*H25+K26*H26)*0.001/SUM(H25:H26))*((SUM(H25:H26))^0.55)+S25*0.001)*50)^2+(M25*H25+M26*H26+U25)^2))</f>
        <v>0</v>
      </c>
      <c r="V66" s="99">
        <f>IF(D27="",0,SQRT(((((K26*H26+K27*H27)*0.001/SUM(H26:H27))*((SUM(H26:H27))^0.55)+S26*0.001)*50)^2+(M26*H26+M27*H27+U26)^2))</f>
        <v>0</v>
      </c>
      <c r="W66" s="99">
        <f>IF(D28="",0,SQRT(((((K27*H27+K28*H28)*0.001/SUM(H27:H28))*((SUM(H27:H28))^0.55)+S27*0.001)*50)^2+(M27*H27+M28*H28+U27)^2))</f>
        <v>0</v>
      </c>
      <c r="X66" s="99">
        <f>IF(D29="",0,SQRT(((((K28*H28+K29*H29)*0.001/SUM(H28:H29))*((SUM(H28:H29))^0.55)+S28*0.001)*50)^2+(M28*H28+M29*H29+U28)^2))</f>
        <v>0</v>
      </c>
      <c r="AJ66" s="267"/>
      <c r="AK66" s="268"/>
      <c r="AL66" s="18" t="e">
        <f t="shared" si="13"/>
        <v>#VALUE!</v>
      </c>
      <c r="AM66" s="18" t="e">
        <f>AL66^3+AJ62*AL66+AK62</f>
        <v>#VALUE!</v>
      </c>
      <c r="AN66" s="18" t="e">
        <f>3*AL66^2+AJ62</f>
        <v>#VALUE!</v>
      </c>
      <c r="AO66" s="18" t="e">
        <f t="shared" si="8"/>
        <v>#VALUE!</v>
      </c>
      <c r="AP66" s="31"/>
      <c r="AQ66" s="32"/>
      <c r="AS66" s="267"/>
      <c r="AT66" s="268"/>
      <c r="AU66" s="18" t="e">
        <f t="shared" si="14"/>
        <v>#VALUE!</v>
      </c>
      <c r="AV66" s="18" t="e">
        <f>AU66^3+AS62*AU66+AT62</f>
        <v>#VALUE!</v>
      </c>
      <c r="AW66" s="18" t="e">
        <f>3*AU66^2+AS62</f>
        <v>#VALUE!</v>
      </c>
      <c r="AX66" s="18" t="e">
        <f t="shared" si="9"/>
        <v>#VALUE!</v>
      </c>
      <c r="AY66" s="31"/>
      <c r="AZ66" s="32"/>
      <c r="BB66" s="267"/>
      <c r="BC66" s="268"/>
      <c r="BD66" s="18" t="e">
        <f t="shared" si="15"/>
        <v>#VALUE!</v>
      </c>
      <c r="BE66" s="18" t="e">
        <f>BD66^3+BB62*BD66+BC62</f>
        <v>#VALUE!</v>
      </c>
      <c r="BF66" s="18" t="e">
        <f>3*BD66^2+BB62</f>
        <v>#VALUE!</v>
      </c>
      <c r="BG66" s="18" t="e">
        <f t="shared" si="10"/>
        <v>#VALUE!</v>
      </c>
      <c r="BH66" s="31"/>
      <c r="BI66" s="32"/>
      <c r="BK66" s="267"/>
      <c r="BL66" s="268"/>
      <c r="BM66" s="18" t="e">
        <f t="shared" si="16"/>
        <v>#VALUE!</v>
      </c>
      <c r="BN66" s="18" t="e">
        <f>BM66^3+BK62*BM66+BL62</f>
        <v>#VALUE!</v>
      </c>
      <c r="BO66" s="18" t="e">
        <f>3*BM66^2+BK62</f>
        <v>#VALUE!</v>
      </c>
      <c r="BP66" s="18" t="e">
        <f t="shared" si="11"/>
        <v>#VALUE!</v>
      </c>
      <c r="BQ66" s="31"/>
      <c r="BR66" s="32"/>
      <c r="BT66" s="267"/>
      <c r="BU66" s="268"/>
      <c r="BV66" s="18" t="e">
        <f t="shared" si="17"/>
        <v>#VALUE!</v>
      </c>
      <c r="BW66" s="18" t="e">
        <f>BV66^3+BT62*BV66+BU62</f>
        <v>#VALUE!</v>
      </c>
      <c r="BX66" s="18" t="e">
        <f>3*BV66^2+BT62</f>
        <v>#VALUE!</v>
      </c>
      <c r="BY66" s="18" t="e">
        <f t="shared" si="12"/>
        <v>#VALUE!</v>
      </c>
      <c r="BZ66" s="31"/>
      <c r="CA66" s="32"/>
    </row>
    <row r="67" spans="10:79" ht="18" hidden="1" customHeight="1" x14ac:dyDescent="0.15">
      <c r="J67" s="53">
        <f>IF(D43="",0,D43)</f>
        <v>0</v>
      </c>
      <c r="K67" s="53">
        <f>IF(J43="",0,J43)</f>
        <v>0</v>
      </c>
      <c r="L67" s="53">
        <f>IF(O43="",0,O43)</f>
        <v>0</v>
      </c>
      <c r="M67" s="53">
        <f>IF(D57="",0,D57)</f>
        <v>0</v>
      </c>
      <c r="N67" s="53">
        <f>IF(J57="",0,J57)</f>
        <v>0</v>
      </c>
      <c r="AJ67" s="269" t="s">
        <v>351</v>
      </c>
      <c r="AK67" s="270"/>
      <c r="AL67" s="18" t="e">
        <f t="shared" si="13"/>
        <v>#VALUE!</v>
      </c>
      <c r="AM67" s="18" t="e">
        <f>AL67^3+AJ62*AL67+AK62</f>
        <v>#VALUE!</v>
      </c>
      <c r="AN67" s="18" t="e">
        <f>3*AL67^2+AJ62</f>
        <v>#VALUE!</v>
      </c>
      <c r="AO67" s="18" t="e">
        <f t="shared" si="8"/>
        <v>#VALUE!</v>
      </c>
      <c r="AP67" s="31"/>
      <c r="AQ67" s="32"/>
      <c r="AS67" s="269" t="s">
        <v>351</v>
      </c>
      <c r="AT67" s="270"/>
      <c r="AU67" s="18" t="e">
        <f t="shared" si="14"/>
        <v>#VALUE!</v>
      </c>
      <c r="AV67" s="18" t="e">
        <f>AU67^3+AS62*AU67+AT62</f>
        <v>#VALUE!</v>
      </c>
      <c r="AW67" s="18" t="e">
        <f>3*AU67^2+AS62</f>
        <v>#VALUE!</v>
      </c>
      <c r="AX67" s="18" t="e">
        <f t="shared" si="9"/>
        <v>#VALUE!</v>
      </c>
      <c r="AY67" s="31"/>
      <c r="AZ67" s="32"/>
      <c r="BB67" s="269" t="s">
        <v>351</v>
      </c>
      <c r="BC67" s="270"/>
      <c r="BD67" s="18" t="e">
        <f t="shared" si="15"/>
        <v>#VALUE!</v>
      </c>
      <c r="BE67" s="18" t="e">
        <f>BD67^3+BB62*BD67+BC62</f>
        <v>#VALUE!</v>
      </c>
      <c r="BF67" s="18" t="e">
        <f>3*BD67^2+BB62</f>
        <v>#VALUE!</v>
      </c>
      <c r="BG67" s="18" t="e">
        <f t="shared" si="10"/>
        <v>#VALUE!</v>
      </c>
      <c r="BH67" s="31"/>
      <c r="BI67" s="32"/>
      <c r="BK67" s="269" t="s">
        <v>351</v>
      </c>
      <c r="BL67" s="270"/>
      <c r="BM67" s="18" t="e">
        <f t="shared" si="16"/>
        <v>#VALUE!</v>
      </c>
      <c r="BN67" s="18" t="e">
        <f>BM67^3+BK62*BM67+BL62</f>
        <v>#VALUE!</v>
      </c>
      <c r="BO67" s="18" t="e">
        <f>3*BM67^2+BK62</f>
        <v>#VALUE!</v>
      </c>
      <c r="BP67" s="18" t="e">
        <f t="shared" si="11"/>
        <v>#VALUE!</v>
      </c>
      <c r="BQ67" s="31"/>
      <c r="BR67" s="32"/>
      <c r="BT67" s="269" t="s">
        <v>351</v>
      </c>
      <c r="BU67" s="270"/>
      <c r="BV67" s="18" t="e">
        <f t="shared" si="17"/>
        <v>#VALUE!</v>
      </c>
      <c r="BW67" s="18" t="e">
        <f>BV67^3+BT62*BV67+BU62</f>
        <v>#VALUE!</v>
      </c>
      <c r="BX67" s="18" t="e">
        <f>3*BV67^2+BT62</f>
        <v>#VALUE!</v>
      </c>
      <c r="BY67" s="18" t="e">
        <f t="shared" si="12"/>
        <v>#VALUE!</v>
      </c>
      <c r="BZ67" s="31"/>
      <c r="CA67" s="32"/>
    </row>
    <row r="68" spans="10:79" ht="18" hidden="1" customHeight="1" x14ac:dyDescent="0.15">
      <c r="J68" s="53">
        <f>IF(D44="",0,D44)</f>
        <v>0</v>
      </c>
      <c r="K68" s="53">
        <f>IF(J44="",0,J44)</f>
        <v>0</v>
      </c>
      <c r="L68" s="53">
        <f>IF(O44="",0,O44)</f>
        <v>0</v>
      </c>
      <c r="M68" s="53">
        <f>IF(D58="",0,D58)</f>
        <v>0</v>
      </c>
      <c r="N68" s="53">
        <f>IF(J58="",0,J58)</f>
        <v>0</v>
      </c>
      <c r="AJ68" s="277" t="e">
        <f>3*(AM78^2)*AN78/(8*AO78*AP78)</f>
        <v>#VALUE!</v>
      </c>
      <c r="AK68" s="278"/>
      <c r="AL68" s="118" t="e">
        <f t="shared" si="13"/>
        <v>#VALUE!</v>
      </c>
      <c r="AM68" s="118" t="e">
        <f>AL68^3+AJ62*AL68+AK62</f>
        <v>#VALUE!</v>
      </c>
      <c r="AN68" s="118" t="e">
        <f>3*AL68^2+AJ62</f>
        <v>#VALUE!</v>
      </c>
      <c r="AO68" s="118" t="e">
        <f t="shared" si="8"/>
        <v>#VALUE!</v>
      </c>
      <c r="AP68" s="116"/>
      <c r="AQ68" s="117"/>
      <c r="AS68" s="277" t="e">
        <f>3*(AV78^2)*AW78/(8*AX78*AY78)</f>
        <v>#VALUE!</v>
      </c>
      <c r="AT68" s="278"/>
      <c r="AU68" s="118" t="e">
        <f t="shared" si="14"/>
        <v>#VALUE!</v>
      </c>
      <c r="AV68" s="118" t="e">
        <f>AU68^3+AS62*AU68+AT62</f>
        <v>#VALUE!</v>
      </c>
      <c r="AW68" s="118" t="e">
        <f>3*AU68^2+AS62</f>
        <v>#VALUE!</v>
      </c>
      <c r="AX68" s="118" t="e">
        <f t="shared" si="9"/>
        <v>#VALUE!</v>
      </c>
      <c r="AY68" s="116"/>
      <c r="AZ68" s="117"/>
      <c r="BB68" s="277" t="e">
        <f>3*(BE78^2)*BF78/(8*BG78*BH78)</f>
        <v>#VALUE!</v>
      </c>
      <c r="BC68" s="278"/>
      <c r="BD68" s="118" t="e">
        <f t="shared" si="15"/>
        <v>#VALUE!</v>
      </c>
      <c r="BE68" s="118" t="e">
        <f>BD68^3+BB62*BD68+BC62</f>
        <v>#VALUE!</v>
      </c>
      <c r="BF68" s="118" t="e">
        <f>3*BD68^2+BB62</f>
        <v>#VALUE!</v>
      </c>
      <c r="BG68" s="118" t="e">
        <f t="shared" si="10"/>
        <v>#VALUE!</v>
      </c>
      <c r="BH68" s="116"/>
      <c r="BI68" s="117"/>
      <c r="BK68" s="277" t="e">
        <f>3*(BN78^2)*BO78/(8*BP78*BQ78)</f>
        <v>#VALUE!</v>
      </c>
      <c r="BL68" s="278"/>
      <c r="BM68" s="118" t="e">
        <f t="shared" si="16"/>
        <v>#VALUE!</v>
      </c>
      <c r="BN68" s="118" t="e">
        <f>BM68^3+BK62*BM68+BL62</f>
        <v>#VALUE!</v>
      </c>
      <c r="BO68" s="118" t="e">
        <f>3*BM68^2+BK62</f>
        <v>#VALUE!</v>
      </c>
      <c r="BP68" s="118" t="e">
        <f t="shared" si="11"/>
        <v>#VALUE!</v>
      </c>
      <c r="BQ68" s="116"/>
      <c r="BR68" s="117"/>
      <c r="BT68" s="277" t="e">
        <f>3*(BW78^2)*BX78/(8*BY78*BZ78)</f>
        <v>#VALUE!</v>
      </c>
      <c r="BU68" s="278"/>
      <c r="BV68" s="118" t="e">
        <f t="shared" si="17"/>
        <v>#VALUE!</v>
      </c>
      <c r="BW68" s="118" t="e">
        <f>BV68^3+BT62*BV68+BU62</f>
        <v>#VALUE!</v>
      </c>
      <c r="BX68" s="118" t="e">
        <f>3*BV68^2+BT62</f>
        <v>#VALUE!</v>
      </c>
      <c r="BY68" s="118" t="e">
        <f t="shared" si="12"/>
        <v>#VALUE!</v>
      </c>
      <c r="BZ68" s="116"/>
      <c r="CA68" s="117"/>
    </row>
    <row r="69" spans="10:79" ht="18" hidden="1" customHeight="1" x14ac:dyDescent="0.15">
      <c r="AJ69" s="121"/>
      <c r="AK69" s="122"/>
      <c r="AL69" s="118" t="e">
        <f t="shared" si="13"/>
        <v>#VALUE!</v>
      </c>
      <c r="AM69" s="118" t="e">
        <f>AL69^3+AJ62*AL69+AK62</f>
        <v>#VALUE!</v>
      </c>
      <c r="AN69" s="118" t="e">
        <f>3*AL69^2+AJ62</f>
        <v>#VALUE!</v>
      </c>
      <c r="AO69" s="118" t="e">
        <f t="shared" si="8"/>
        <v>#VALUE!</v>
      </c>
      <c r="AP69" s="119"/>
      <c r="AQ69" s="120"/>
      <c r="AS69" s="121"/>
      <c r="AT69" s="122"/>
      <c r="AU69" s="118" t="e">
        <f t="shared" si="14"/>
        <v>#VALUE!</v>
      </c>
      <c r="AV69" s="118" t="e">
        <f>AU69^3+AS62*AU69+AT62</f>
        <v>#VALUE!</v>
      </c>
      <c r="AW69" s="118" t="e">
        <f>3*AU69^2+AS62</f>
        <v>#VALUE!</v>
      </c>
      <c r="AX69" s="118" t="e">
        <f t="shared" si="9"/>
        <v>#VALUE!</v>
      </c>
      <c r="AY69" s="119"/>
      <c r="AZ69" s="120"/>
      <c r="BB69" s="121"/>
      <c r="BC69" s="122"/>
      <c r="BD69" s="118" t="e">
        <f t="shared" si="15"/>
        <v>#VALUE!</v>
      </c>
      <c r="BE69" s="118" t="e">
        <f>BD69^3+BB62*BD69+BC62</f>
        <v>#VALUE!</v>
      </c>
      <c r="BF69" s="118" t="e">
        <f>3*BD69^2+BB62</f>
        <v>#VALUE!</v>
      </c>
      <c r="BG69" s="118" t="e">
        <f t="shared" si="10"/>
        <v>#VALUE!</v>
      </c>
      <c r="BH69" s="119"/>
      <c r="BI69" s="120"/>
      <c r="BK69" s="121"/>
      <c r="BL69" s="122"/>
      <c r="BM69" s="118" t="e">
        <f t="shared" si="16"/>
        <v>#VALUE!</v>
      </c>
      <c r="BN69" s="118" t="e">
        <f>BM69^3+BK62*BM69+BL62</f>
        <v>#VALUE!</v>
      </c>
      <c r="BO69" s="118" t="e">
        <f>3*BM69^2+BK62</f>
        <v>#VALUE!</v>
      </c>
      <c r="BP69" s="118" t="e">
        <f t="shared" si="11"/>
        <v>#VALUE!</v>
      </c>
      <c r="BQ69" s="119"/>
      <c r="BR69" s="120"/>
      <c r="BT69" s="121"/>
      <c r="BU69" s="122"/>
      <c r="BV69" s="118" t="e">
        <f t="shared" si="17"/>
        <v>#VALUE!</v>
      </c>
      <c r="BW69" s="118" t="e">
        <f>BV69^3+BT62*BV69+BU62</f>
        <v>#VALUE!</v>
      </c>
      <c r="BX69" s="118" t="e">
        <f>3*BV69^2+BT62</f>
        <v>#VALUE!</v>
      </c>
      <c r="BY69" s="118" t="e">
        <f t="shared" si="12"/>
        <v>#VALUE!</v>
      </c>
      <c r="BZ69" s="119"/>
      <c r="CA69" s="120"/>
    </row>
    <row r="70" spans="10:79" ht="18" hidden="1" customHeight="1" x14ac:dyDescent="0.15">
      <c r="AJ70" s="269" t="s">
        <v>352</v>
      </c>
      <c r="AK70" s="270"/>
      <c r="AL70" s="118" t="e">
        <f t="shared" si="13"/>
        <v>#VALUE!</v>
      </c>
      <c r="AM70" s="118" t="e">
        <f>AL70^3+AJ62*AL70+AK62</f>
        <v>#VALUE!</v>
      </c>
      <c r="AN70" s="118" t="e">
        <f>3*AL70^2+AJ62</f>
        <v>#VALUE!</v>
      </c>
      <c r="AO70" s="118" t="e">
        <f t="shared" si="8"/>
        <v>#VALUE!</v>
      </c>
      <c r="AP70" s="14" t="s">
        <v>353</v>
      </c>
      <c r="AQ70" s="123" t="e">
        <f>AO76</f>
        <v>#VALUE!</v>
      </c>
      <c r="AS70" s="269" t="s">
        <v>352</v>
      </c>
      <c r="AT70" s="270"/>
      <c r="AU70" s="118" t="e">
        <f t="shared" si="14"/>
        <v>#VALUE!</v>
      </c>
      <c r="AV70" s="118" t="e">
        <f>AU70^3+AS62*AU70+AT62</f>
        <v>#VALUE!</v>
      </c>
      <c r="AW70" s="118" t="e">
        <f>3*AU70^2+AS62</f>
        <v>#VALUE!</v>
      </c>
      <c r="AX70" s="118" t="e">
        <f t="shared" si="9"/>
        <v>#VALUE!</v>
      </c>
      <c r="AY70" s="14" t="s">
        <v>353</v>
      </c>
      <c r="AZ70" s="123" t="e">
        <f>AX76</f>
        <v>#VALUE!</v>
      </c>
      <c r="BB70" s="269" t="s">
        <v>352</v>
      </c>
      <c r="BC70" s="270"/>
      <c r="BD70" s="118" t="e">
        <f t="shared" si="15"/>
        <v>#VALUE!</v>
      </c>
      <c r="BE70" s="118" t="e">
        <f>BD70^3+BB62*BD70+BC62</f>
        <v>#VALUE!</v>
      </c>
      <c r="BF70" s="118" t="e">
        <f>3*BD70^2+BB62</f>
        <v>#VALUE!</v>
      </c>
      <c r="BG70" s="118" t="e">
        <f t="shared" si="10"/>
        <v>#VALUE!</v>
      </c>
      <c r="BH70" s="14" t="s">
        <v>353</v>
      </c>
      <c r="BI70" s="123" t="e">
        <f>BG76</f>
        <v>#VALUE!</v>
      </c>
      <c r="BK70" s="269" t="s">
        <v>352</v>
      </c>
      <c r="BL70" s="270"/>
      <c r="BM70" s="118" t="e">
        <f t="shared" si="16"/>
        <v>#VALUE!</v>
      </c>
      <c r="BN70" s="118" t="e">
        <f>BM70^3+BK62*BM70+BL62</f>
        <v>#VALUE!</v>
      </c>
      <c r="BO70" s="118" t="e">
        <f>3*BM70^2+BK62</f>
        <v>#VALUE!</v>
      </c>
      <c r="BP70" s="118" t="e">
        <f t="shared" si="11"/>
        <v>#VALUE!</v>
      </c>
      <c r="BQ70" s="14" t="s">
        <v>353</v>
      </c>
      <c r="BR70" s="123" t="e">
        <f>BP76</f>
        <v>#VALUE!</v>
      </c>
      <c r="BT70" s="269" t="s">
        <v>352</v>
      </c>
      <c r="BU70" s="270"/>
      <c r="BV70" s="118" t="e">
        <f t="shared" si="17"/>
        <v>#VALUE!</v>
      </c>
      <c r="BW70" s="118" t="e">
        <f>BV70^3+BT62*BV70+BU62</f>
        <v>#VALUE!</v>
      </c>
      <c r="BX70" s="118" t="e">
        <f>3*BV70^2+BT62</f>
        <v>#VALUE!</v>
      </c>
      <c r="BY70" s="118" t="e">
        <f t="shared" si="12"/>
        <v>#VALUE!</v>
      </c>
      <c r="BZ70" s="14" t="s">
        <v>353</v>
      </c>
      <c r="CA70" s="123" t="e">
        <f>BY76</f>
        <v>#VALUE!</v>
      </c>
    </row>
    <row r="71" spans="10:79" ht="18" hidden="1" customHeight="1" x14ac:dyDescent="0.15">
      <c r="AJ71" s="271" t="e">
        <f>AJ68*AL78*AJ78/AK78</f>
        <v>#VALUE!</v>
      </c>
      <c r="AK71" s="272"/>
      <c r="AL71" s="118" t="e">
        <f t="shared" si="13"/>
        <v>#VALUE!</v>
      </c>
      <c r="AM71" s="118" t="e">
        <f>AL71^3+AJ62*AL71+AK62</f>
        <v>#VALUE!</v>
      </c>
      <c r="AN71" s="118" t="e">
        <f>3*AL71^2+AJ62</f>
        <v>#VALUE!</v>
      </c>
      <c r="AO71" s="118" t="e">
        <f t="shared" si="8"/>
        <v>#VALUE!</v>
      </c>
      <c r="AP71" s="14" t="s">
        <v>354</v>
      </c>
      <c r="AQ71" s="124" t="e">
        <f>AJ78*AM78^2/(8*AO76)</f>
        <v>#VALUE!</v>
      </c>
      <c r="AS71" s="271" t="e">
        <f>AS68*AU78*AS78/AT78</f>
        <v>#VALUE!</v>
      </c>
      <c r="AT71" s="272"/>
      <c r="AU71" s="118" t="e">
        <f t="shared" si="14"/>
        <v>#VALUE!</v>
      </c>
      <c r="AV71" s="118" t="e">
        <f>AU71^3+AS62*AU71+AT62</f>
        <v>#VALUE!</v>
      </c>
      <c r="AW71" s="118" t="e">
        <f>3*AU71^2+AS62</f>
        <v>#VALUE!</v>
      </c>
      <c r="AX71" s="118" t="e">
        <f t="shared" si="9"/>
        <v>#VALUE!</v>
      </c>
      <c r="AY71" s="14" t="s">
        <v>354</v>
      </c>
      <c r="AZ71" s="124" t="e">
        <f>AS78*AV78^2/(8*AX76)</f>
        <v>#VALUE!</v>
      </c>
      <c r="BB71" s="271" t="e">
        <f>BB68*BD78*BB78/BC78</f>
        <v>#VALUE!</v>
      </c>
      <c r="BC71" s="272"/>
      <c r="BD71" s="118" t="e">
        <f t="shared" si="15"/>
        <v>#VALUE!</v>
      </c>
      <c r="BE71" s="118" t="e">
        <f>BD71^3+BB62*BD71+BC62</f>
        <v>#VALUE!</v>
      </c>
      <c r="BF71" s="118" t="e">
        <f>3*BD71^2+BB62</f>
        <v>#VALUE!</v>
      </c>
      <c r="BG71" s="118" t="e">
        <f t="shared" si="10"/>
        <v>#VALUE!</v>
      </c>
      <c r="BH71" s="14" t="s">
        <v>354</v>
      </c>
      <c r="BI71" s="124" t="e">
        <f>BB78*BE78^2/(8*BG76)</f>
        <v>#VALUE!</v>
      </c>
      <c r="BK71" s="271" t="e">
        <f>BK68*BM78*BK78/BL78</f>
        <v>#VALUE!</v>
      </c>
      <c r="BL71" s="272"/>
      <c r="BM71" s="118" t="e">
        <f t="shared" si="16"/>
        <v>#VALUE!</v>
      </c>
      <c r="BN71" s="118" t="e">
        <f>BM71^3+BK62*BM71+BL62</f>
        <v>#VALUE!</v>
      </c>
      <c r="BO71" s="118" t="e">
        <f>3*BM71^2+BK62</f>
        <v>#VALUE!</v>
      </c>
      <c r="BP71" s="118" t="e">
        <f t="shared" si="11"/>
        <v>#VALUE!</v>
      </c>
      <c r="BQ71" s="14" t="s">
        <v>354</v>
      </c>
      <c r="BR71" s="124" t="e">
        <f>BK78*BN78^2/(8*BP76)</f>
        <v>#VALUE!</v>
      </c>
      <c r="BT71" s="271" t="e">
        <f>BT68*BV78*BT78/BU78</f>
        <v>#VALUE!</v>
      </c>
      <c r="BU71" s="272"/>
      <c r="BV71" s="118" t="e">
        <f t="shared" si="17"/>
        <v>#VALUE!</v>
      </c>
      <c r="BW71" s="118" t="e">
        <f>BV71^3+BT62*BV71+BU62</f>
        <v>#VALUE!</v>
      </c>
      <c r="BX71" s="118" t="e">
        <f>3*BV71^2+BT62</f>
        <v>#VALUE!</v>
      </c>
      <c r="BY71" s="118" t="e">
        <f t="shared" si="12"/>
        <v>#VALUE!</v>
      </c>
      <c r="BZ71" s="14" t="s">
        <v>354</v>
      </c>
      <c r="CA71" s="124" t="e">
        <f>BT78*BW78^2/(8*BY76)</f>
        <v>#VALUE!</v>
      </c>
    </row>
    <row r="72" spans="10:79" ht="18" hidden="1" customHeight="1" x14ac:dyDescent="0.15">
      <c r="AJ72" s="125"/>
      <c r="AK72" s="126"/>
      <c r="AL72" s="118" t="e">
        <f t="shared" si="13"/>
        <v>#VALUE!</v>
      </c>
      <c r="AM72" s="118" t="e">
        <f>AL72^3+AJ62*AL72+AK62</f>
        <v>#VALUE!</v>
      </c>
      <c r="AN72" s="118" t="e">
        <f>3*AL72^2+AJ62</f>
        <v>#VALUE!</v>
      </c>
      <c r="AO72" s="118" t="e">
        <f t="shared" si="8"/>
        <v>#VALUE!</v>
      </c>
      <c r="AP72" s="116"/>
      <c r="AQ72" s="117"/>
      <c r="AS72" s="125"/>
      <c r="AT72" s="126"/>
      <c r="AU72" s="118" t="e">
        <f t="shared" si="14"/>
        <v>#VALUE!</v>
      </c>
      <c r="AV72" s="118" t="e">
        <f>AU72^3+AS62*AU72+AT62</f>
        <v>#VALUE!</v>
      </c>
      <c r="AW72" s="118" t="e">
        <f>3*AU72^2+AS62</f>
        <v>#VALUE!</v>
      </c>
      <c r="AX72" s="118" t="e">
        <f t="shared" si="9"/>
        <v>#VALUE!</v>
      </c>
      <c r="AY72" s="116"/>
      <c r="AZ72" s="117"/>
      <c r="BB72" s="125"/>
      <c r="BC72" s="126"/>
      <c r="BD72" s="118" t="e">
        <f t="shared" si="15"/>
        <v>#VALUE!</v>
      </c>
      <c r="BE72" s="118" t="e">
        <f>BD72^3+BB62*BD72+BC62</f>
        <v>#VALUE!</v>
      </c>
      <c r="BF72" s="118" t="e">
        <f>3*BD72^2+BB62</f>
        <v>#VALUE!</v>
      </c>
      <c r="BG72" s="118" t="e">
        <f t="shared" si="10"/>
        <v>#VALUE!</v>
      </c>
      <c r="BH72" s="116"/>
      <c r="BI72" s="117"/>
      <c r="BK72" s="125"/>
      <c r="BL72" s="126"/>
      <c r="BM72" s="118" t="e">
        <f t="shared" si="16"/>
        <v>#VALUE!</v>
      </c>
      <c r="BN72" s="118" t="e">
        <f>BM72^3+BK62*BM72+BL62</f>
        <v>#VALUE!</v>
      </c>
      <c r="BO72" s="118" t="e">
        <f>3*BM72^2+BK62</f>
        <v>#VALUE!</v>
      </c>
      <c r="BP72" s="118" t="e">
        <f t="shared" si="11"/>
        <v>#VALUE!</v>
      </c>
      <c r="BQ72" s="116"/>
      <c r="BR72" s="117"/>
      <c r="BT72" s="125"/>
      <c r="BU72" s="126"/>
      <c r="BV72" s="118" t="e">
        <f t="shared" si="17"/>
        <v>#VALUE!</v>
      </c>
      <c r="BW72" s="118" t="e">
        <f>BV72^3+BT62*BV72+BU62</f>
        <v>#VALUE!</v>
      </c>
      <c r="BX72" s="118" t="e">
        <f>3*BV72^2+BT62</f>
        <v>#VALUE!</v>
      </c>
      <c r="BY72" s="118" t="e">
        <f t="shared" si="12"/>
        <v>#VALUE!</v>
      </c>
      <c r="BZ72" s="116"/>
      <c r="CA72" s="117"/>
    </row>
    <row r="73" spans="10:79" ht="18" hidden="1" customHeight="1" x14ac:dyDescent="0.15">
      <c r="AJ73" s="125"/>
      <c r="AK73" s="126"/>
      <c r="AL73" s="118" t="e">
        <f t="shared" si="13"/>
        <v>#VALUE!</v>
      </c>
      <c r="AM73" s="118" t="e">
        <f>AL73^3+AJ62*AL73+AK62</f>
        <v>#VALUE!</v>
      </c>
      <c r="AN73" s="118" t="e">
        <f>3*AL73^2+AJ62</f>
        <v>#VALUE!</v>
      </c>
      <c r="AO73" s="118" t="e">
        <f t="shared" si="8"/>
        <v>#VALUE!</v>
      </c>
      <c r="AP73" s="112" t="s">
        <v>147</v>
      </c>
      <c r="AQ73" s="113">
        <v>15</v>
      </c>
      <c r="AS73" s="125"/>
      <c r="AT73" s="126"/>
      <c r="AU73" s="118" t="e">
        <f t="shared" si="14"/>
        <v>#VALUE!</v>
      </c>
      <c r="AV73" s="118" t="e">
        <f>AU73^3+AS62*AU73+AT62</f>
        <v>#VALUE!</v>
      </c>
      <c r="AW73" s="118" t="e">
        <f>3*AU73^2+AS62</f>
        <v>#VALUE!</v>
      </c>
      <c r="AX73" s="118" t="e">
        <f t="shared" si="9"/>
        <v>#VALUE!</v>
      </c>
      <c r="AY73" s="112" t="s">
        <v>147</v>
      </c>
      <c r="AZ73" s="113">
        <v>15</v>
      </c>
      <c r="BB73" s="125"/>
      <c r="BC73" s="126"/>
      <c r="BD73" s="118" t="e">
        <f t="shared" si="15"/>
        <v>#VALUE!</v>
      </c>
      <c r="BE73" s="118" t="e">
        <f>BD73^3+BB62*BD73+BC62</f>
        <v>#VALUE!</v>
      </c>
      <c r="BF73" s="118" t="e">
        <f>3*BD73^2+BB62</f>
        <v>#VALUE!</v>
      </c>
      <c r="BG73" s="118" t="e">
        <f t="shared" si="10"/>
        <v>#VALUE!</v>
      </c>
      <c r="BH73" s="112" t="s">
        <v>147</v>
      </c>
      <c r="BI73" s="113">
        <v>15</v>
      </c>
      <c r="BK73" s="125"/>
      <c r="BL73" s="126"/>
      <c r="BM73" s="118" t="e">
        <f t="shared" si="16"/>
        <v>#VALUE!</v>
      </c>
      <c r="BN73" s="118" t="e">
        <f>BM73^3+BK62*BM73+BL62</f>
        <v>#VALUE!</v>
      </c>
      <c r="BO73" s="118" t="e">
        <f>3*BM73^2+BK62</f>
        <v>#VALUE!</v>
      </c>
      <c r="BP73" s="118" t="e">
        <f t="shared" si="11"/>
        <v>#VALUE!</v>
      </c>
      <c r="BQ73" s="112" t="s">
        <v>147</v>
      </c>
      <c r="BR73" s="113">
        <v>15</v>
      </c>
      <c r="BT73" s="125"/>
      <c r="BU73" s="126"/>
      <c r="BV73" s="118" t="e">
        <f t="shared" si="17"/>
        <v>#VALUE!</v>
      </c>
      <c r="BW73" s="118" t="e">
        <f>BV73^3+BT62*BV73+BU62</f>
        <v>#VALUE!</v>
      </c>
      <c r="BX73" s="118" t="e">
        <f>3*BV73^2+BT62</f>
        <v>#VALUE!</v>
      </c>
      <c r="BY73" s="118" t="e">
        <f t="shared" si="12"/>
        <v>#VALUE!</v>
      </c>
      <c r="BZ73" s="112" t="s">
        <v>147</v>
      </c>
      <c r="CA73" s="113">
        <v>15</v>
      </c>
    </row>
    <row r="74" spans="10:79" ht="18" hidden="1" customHeight="1" x14ac:dyDescent="0.15">
      <c r="AJ74" s="125"/>
      <c r="AK74" s="126"/>
      <c r="AL74" s="118" t="e">
        <f t="shared" si="13"/>
        <v>#VALUE!</v>
      </c>
      <c r="AM74" s="118" t="e">
        <f>AL74^3+AJ62*AL74+AK62</f>
        <v>#VALUE!</v>
      </c>
      <c r="AN74" s="118" t="e">
        <f>3*AL74^2+AJ62</f>
        <v>#VALUE!</v>
      </c>
      <c r="AO74" s="118" t="e">
        <f t="shared" si="8"/>
        <v>#VALUE!</v>
      </c>
      <c r="AP74" s="128" t="s">
        <v>218</v>
      </c>
      <c r="AQ74" s="32"/>
      <c r="AS74" s="125"/>
      <c r="AT74" s="126"/>
      <c r="AU74" s="118" t="e">
        <f t="shared" si="14"/>
        <v>#VALUE!</v>
      </c>
      <c r="AV74" s="118" t="e">
        <f>AU74^3+AS62*AU74+AT62</f>
        <v>#VALUE!</v>
      </c>
      <c r="AW74" s="118" t="e">
        <f>3*AU74^2+AS62</f>
        <v>#VALUE!</v>
      </c>
      <c r="AX74" s="118" t="e">
        <f t="shared" si="9"/>
        <v>#VALUE!</v>
      </c>
      <c r="AY74" s="128" t="s">
        <v>219</v>
      </c>
      <c r="AZ74" s="32"/>
      <c r="BB74" s="125"/>
      <c r="BC74" s="126"/>
      <c r="BD74" s="118" t="e">
        <f t="shared" si="15"/>
        <v>#VALUE!</v>
      </c>
      <c r="BE74" s="118" t="e">
        <f>BD74^3+BB62*BD74+BC62</f>
        <v>#VALUE!</v>
      </c>
      <c r="BF74" s="118" t="e">
        <f>3*BD74^2+BB62</f>
        <v>#VALUE!</v>
      </c>
      <c r="BG74" s="118" t="e">
        <f t="shared" si="10"/>
        <v>#VALUE!</v>
      </c>
      <c r="BH74" s="128" t="s">
        <v>220</v>
      </c>
      <c r="BI74" s="32"/>
      <c r="BK74" s="125"/>
      <c r="BL74" s="126"/>
      <c r="BM74" s="118" t="e">
        <f t="shared" si="16"/>
        <v>#VALUE!</v>
      </c>
      <c r="BN74" s="118" t="e">
        <f>BM74^3+BK62*BM74+BL62</f>
        <v>#VALUE!</v>
      </c>
      <c r="BO74" s="118" t="e">
        <f>3*BM74^2+BK62</f>
        <v>#VALUE!</v>
      </c>
      <c r="BP74" s="118" t="e">
        <f t="shared" si="11"/>
        <v>#VALUE!</v>
      </c>
      <c r="BQ74" s="128" t="s">
        <v>221</v>
      </c>
      <c r="BR74" s="32"/>
      <c r="BT74" s="125"/>
      <c r="BU74" s="126"/>
      <c r="BV74" s="118" t="e">
        <f t="shared" si="17"/>
        <v>#VALUE!</v>
      </c>
      <c r="BW74" s="118" t="e">
        <f>BV74^3+BT62*BV74+BU62</f>
        <v>#VALUE!</v>
      </c>
      <c r="BX74" s="118" t="e">
        <f>3*BV74^2+BT62</f>
        <v>#VALUE!</v>
      </c>
      <c r="BY74" s="118" t="e">
        <f t="shared" si="12"/>
        <v>#VALUE!</v>
      </c>
      <c r="BZ74" s="128" t="s">
        <v>222</v>
      </c>
      <c r="CA74" s="32"/>
    </row>
    <row r="75" spans="10:79" ht="18" hidden="1" customHeight="1" x14ac:dyDescent="0.15">
      <c r="AJ75" s="125"/>
      <c r="AK75" s="126"/>
      <c r="AL75" s="18" t="e">
        <f t="shared" si="13"/>
        <v>#VALUE!</v>
      </c>
      <c r="AM75" s="18" t="e">
        <f>AL75^3+AJ62*AL75+AK62</f>
        <v>#VALUE!</v>
      </c>
      <c r="AN75" s="18" t="e">
        <f>3*AL75^2+AJ62</f>
        <v>#VALUE!</v>
      </c>
      <c r="AO75" s="18" t="e">
        <f t="shared" si="8"/>
        <v>#VALUE!</v>
      </c>
      <c r="AP75" s="283" t="str">
        <f>M48</f>
        <v>高温季最悪条件時
15[℃],100[Kg/ｍ2]</v>
      </c>
      <c r="AQ75" s="284"/>
      <c r="AS75" s="125"/>
      <c r="AT75" s="126"/>
      <c r="AU75" s="18" t="e">
        <f t="shared" si="14"/>
        <v>#VALUE!</v>
      </c>
      <c r="AV75" s="18" t="e">
        <f>AU75^3+AS62*AU75+AT62</f>
        <v>#VALUE!</v>
      </c>
      <c r="AW75" s="18" t="e">
        <f>3*AU75^2+AS62</f>
        <v>#VALUE!</v>
      </c>
      <c r="AX75" s="18" t="e">
        <f t="shared" si="9"/>
        <v>#VALUE!</v>
      </c>
      <c r="AY75" s="283" t="str">
        <f>M48</f>
        <v>高温季最悪条件時
15[℃],100[Kg/ｍ2]</v>
      </c>
      <c r="AZ75" s="284"/>
      <c r="BB75" s="125"/>
      <c r="BC75" s="126"/>
      <c r="BD75" s="18" t="e">
        <f t="shared" si="15"/>
        <v>#VALUE!</v>
      </c>
      <c r="BE75" s="18" t="e">
        <f>BD75^3+BB62*BD75+BC62</f>
        <v>#VALUE!</v>
      </c>
      <c r="BF75" s="18" t="e">
        <f>3*BD75^2+BB62</f>
        <v>#VALUE!</v>
      </c>
      <c r="BG75" s="18" t="e">
        <f t="shared" si="10"/>
        <v>#VALUE!</v>
      </c>
      <c r="BH75" s="283" t="str">
        <f>M48</f>
        <v>高温季最悪条件時
15[℃],100[Kg/ｍ2]</v>
      </c>
      <c r="BI75" s="284"/>
      <c r="BK75" s="125"/>
      <c r="BL75" s="126"/>
      <c r="BM75" s="18" t="e">
        <f t="shared" si="16"/>
        <v>#VALUE!</v>
      </c>
      <c r="BN75" s="18" t="e">
        <f>BM75^3+BK62*BM75+BL62</f>
        <v>#VALUE!</v>
      </c>
      <c r="BO75" s="18" t="e">
        <f>3*BM75^2+BK62</f>
        <v>#VALUE!</v>
      </c>
      <c r="BP75" s="18" t="e">
        <f t="shared" si="11"/>
        <v>#VALUE!</v>
      </c>
      <c r="BQ75" s="283" t="str">
        <f>M48</f>
        <v>高温季最悪条件時
15[℃],100[Kg/ｍ2]</v>
      </c>
      <c r="BR75" s="284"/>
      <c r="BT75" s="125"/>
      <c r="BU75" s="126"/>
      <c r="BV75" s="18" t="e">
        <f t="shared" si="17"/>
        <v>#VALUE!</v>
      </c>
      <c r="BW75" s="18" t="e">
        <f>BV75^3+BT62*BV75+BU62</f>
        <v>#VALUE!</v>
      </c>
      <c r="BX75" s="18" t="e">
        <f>3*BV75^2+BT62</f>
        <v>#VALUE!</v>
      </c>
      <c r="BY75" s="18" t="e">
        <f t="shared" si="12"/>
        <v>#VALUE!</v>
      </c>
      <c r="BZ75" s="283" t="str">
        <f>M48</f>
        <v>高温季最悪条件時
15[℃],100[Kg/ｍ2]</v>
      </c>
      <c r="CA75" s="284"/>
    </row>
    <row r="76" spans="10:79" ht="18" hidden="1" customHeight="1" thickBot="1" x14ac:dyDescent="0.2">
      <c r="AJ76" s="125"/>
      <c r="AK76" s="126"/>
      <c r="AL76" s="114" t="e">
        <f t="shared" si="13"/>
        <v>#VALUE!</v>
      </c>
      <c r="AM76" s="115" t="e">
        <f>AL76^3+AJ62*AL76+AK62</f>
        <v>#VALUE!</v>
      </c>
      <c r="AN76" s="115" t="e">
        <f>3*AL76^2+AJ62</f>
        <v>#VALUE!</v>
      </c>
      <c r="AO76" s="115" t="e">
        <f t="shared" si="8"/>
        <v>#VALUE!</v>
      </c>
      <c r="AP76" s="285"/>
      <c r="AQ76" s="286"/>
      <c r="AS76" s="125"/>
      <c r="AT76" s="126"/>
      <c r="AU76" s="114" t="e">
        <f t="shared" si="14"/>
        <v>#VALUE!</v>
      </c>
      <c r="AV76" s="115" t="e">
        <f>AU76^3+AS62*AU76+AT62</f>
        <v>#VALUE!</v>
      </c>
      <c r="AW76" s="115" t="e">
        <f>3*AU76^2+AS62</f>
        <v>#VALUE!</v>
      </c>
      <c r="AX76" s="115" t="e">
        <f t="shared" si="9"/>
        <v>#VALUE!</v>
      </c>
      <c r="AY76" s="285"/>
      <c r="AZ76" s="286"/>
      <c r="BB76" s="125"/>
      <c r="BC76" s="126"/>
      <c r="BD76" s="114" t="e">
        <f t="shared" si="15"/>
        <v>#VALUE!</v>
      </c>
      <c r="BE76" s="115" t="e">
        <f>BD76^3+BB62*BD76+BC62</f>
        <v>#VALUE!</v>
      </c>
      <c r="BF76" s="115" t="e">
        <f>3*BD76^2+BB62</f>
        <v>#VALUE!</v>
      </c>
      <c r="BG76" s="115" t="e">
        <f t="shared" si="10"/>
        <v>#VALUE!</v>
      </c>
      <c r="BH76" s="285"/>
      <c r="BI76" s="286"/>
      <c r="BK76" s="125"/>
      <c r="BL76" s="126"/>
      <c r="BM76" s="114" t="e">
        <f t="shared" si="16"/>
        <v>#VALUE!</v>
      </c>
      <c r="BN76" s="115" t="e">
        <f>BM76^3+BK62*BM76+BL62</f>
        <v>#VALUE!</v>
      </c>
      <c r="BO76" s="115" t="e">
        <f>3*BM76^2+BK62</f>
        <v>#VALUE!</v>
      </c>
      <c r="BP76" s="115" t="e">
        <f t="shared" si="11"/>
        <v>#VALUE!</v>
      </c>
      <c r="BQ76" s="285"/>
      <c r="BR76" s="286"/>
      <c r="BT76" s="125"/>
      <c r="BU76" s="126"/>
      <c r="BV76" s="114" t="e">
        <f t="shared" si="17"/>
        <v>#VALUE!</v>
      </c>
      <c r="BW76" s="115" t="e">
        <f>BV76^3+BT62*BV76+BU62</f>
        <v>#VALUE!</v>
      </c>
      <c r="BX76" s="115" t="e">
        <f>3*BV76^2+BT62</f>
        <v>#VALUE!</v>
      </c>
      <c r="BY76" s="115" t="e">
        <f t="shared" si="12"/>
        <v>#VALUE!</v>
      </c>
      <c r="BZ76" s="285"/>
      <c r="CA76" s="286"/>
    </row>
    <row r="77" spans="10:79" ht="18" hidden="1" customHeight="1" x14ac:dyDescent="0.15">
      <c r="AJ77" s="62" t="s">
        <v>223</v>
      </c>
      <c r="AK77" s="12" t="s">
        <v>224</v>
      </c>
      <c r="AL77" s="12" t="s">
        <v>225</v>
      </c>
      <c r="AM77" s="12" t="s">
        <v>226</v>
      </c>
      <c r="AN77" s="12" t="s">
        <v>227</v>
      </c>
      <c r="AO77" s="63" t="s">
        <v>228</v>
      </c>
      <c r="AP77" s="12" t="s">
        <v>229</v>
      </c>
      <c r="AQ77" s="13" t="s">
        <v>230</v>
      </c>
      <c r="AS77" s="62" t="s">
        <v>223</v>
      </c>
      <c r="AT77" s="12" t="s">
        <v>224</v>
      </c>
      <c r="AU77" s="12" t="s">
        <v>225</v>
      </c>
      <c r="AV77" s="12" t="s">
        <v>226</v>
      </c>
      <c r="AW77" s="12" t="s">
        <v>227</v>
      </c>
      <c r="AX77" s="63" t="s">
        <v>228</v>
      </c>
      <c r="AY77" s="12" t="s">
        <v>229</v>
      </c>
      <c r="AZ77" s="13" t="s">
        <v>230</v>
      </c>
      <c r="BB77" s="62" t="s">
        <v>223</v>
      </c>
      <c r="BC77" s="12" t="s">
        <v>224</v>
      </c>
      <c r="BD77" s="12" t="s">
        <v>225</v>
      </c>
      <c r="BE77" s="12" t="s">
        <v>226</v>
      </c>
      <c r="BF77" s="12" t="s">
        <v>227</v>
      </c>
      <c r="BG77" s="63" t="s">
        <v>228</v>
      </c>
      <c r="BH77" s="12" t="s">
        <v>229</v>
      </c>
      <c r="BI77" s="13" t="s">
        <v>230</v>
      </c>
      <c r="BK77" s="62" t="s">
        <v>223</v>
      </c>
      <c r="BL77" s="12" t="s">
        <v>224</v>
      </c>
      <c r="BM77" s="12" t="s">
        <v>225</v>
      </c>
      <c r="BN77" s="12" t="s">
        <v>226</v>
      </c>
      <c r="BO77" s="12" t="s">
        <v>227</v>
      </c>
      <c r="BP77" s="63" t="s">
        <v>228</v>
      </c>
      <c r="BQ77" s="12" t="s">
        <v>229</v>
      </c>
      <c r="BR77" s="13" t="s">
        <v>230</v>
      </c>
      <c r="BT77" s="62" t="s">
        <v>223</v>
      </c>
      <c r="BU77" s="12" t="s">
        <v>224</v>
      </c>
      <c r="BV77" s="12" t="s">
        <v>225</v>
      </c>
      <c r="BW77" s="12" t="s">
        <v>226</v>
      </c>
      <c r="BX77" s="12" t="s">
        <v>227</v>
      </c>
      <c r="BY77" s="63" t="s">
        <v>228</v>
      </c>
      <c r="BZ77" s="12" t="s">
        <v>229</v>
      </c>
      <c r="CA77" s="13" t="s">
        <v>230</v>
      </c>
    </row>
    <row r="78" spans="10:79" ht="18" hidden="1" customHeight="1" thickBot="1" x14ac:dyDescent="0.2">
      <c r="AJ78" s="107" t="str">
        <f>O23</f>
        <v/>
      </c>
      <c r="AK78" s="108" t="e">
        <f>M23+U23</f>
        <v>#VALUE!</v>
      </c>
      <c r="AL78" s="108">
        <f>IF(C33="",L19*(F19/40)^2,C33)</f>
        <v>0</v>
      </c>
      <c r="AM78" s="108">
        <f>F19</f>
        <v>0</v>
      </c>
      <c r="AN78" s="108" t="e">
        <f>AK78*1600/(8*L19)</f>
        <v>#VALUE!</v>
      </c>
      <c r="AO78" s="109">
        <f>V23</f>
        <v>0</v>
      </c>
      <c r="AP78" s="108" t="str">
        <f>IF(I23="",L23,T23)</f>
        <v/>
      </c>
      <c r="AQ78" s="110">
        <f>W23</f>
        <v>0</v>
      </c>
      <c r="AS78" s="107" t="str">
        <f>IF(B24="使用電線-2",O24,IF(B25="使用電線-2",O25,IF(B26="使用電線-2",O26,IF(B27="使用電線-2",O27,IF(B28="使用電線-2",O28,IF(B29="使用電線-2",O29,""))))))</f>
        <v/>
      </c>
      <c r="AT78" s="108" t="str">
        <f>IF(B24="使用電線-2",M24+U24,IF(B25="使用電線-2",M25+U25,IF(B26="使用電線-2",M26+U26,IF(B27="使用電線-2",M27+U27,IF(B28="使用電線-2",M28+U28,IF(B29="使用電線-2",M29+U29,""))))))</f>
        <v/>
      </c>
      <c r="AU78" s="108">
        <f>IF(I33="",L19*(F19/40)^2,I33)</f>
        <v>0</v>
      </c>
      <c r="AV78" s="108">
        <f>F19</f>
        <v>0</v>
      </c>
      <c r="AW78" s="108" t="e">
        <f>AT78*1600/(8*L19)</f>
        <v>#VALUE!</v>
      </c>
      <c r="AX78" s="109" t="str">
        <f>IF(B24="使用電線-2",V24,IF(B25="使用電線-2",V25,IF(B26="使用電線-2",V26,IF(B27="使用電線-2",V27,IF(B28="使用電線-2",V28,IF(B29="使用電線-2",V29,""))))))</f>
        <v/>
      </c>
      <c r="AY78" s="108" t="str">
        <f>IF(B24="使用電線-2",L24,IF(B25="使用電線-2",L25,IF(B26="使用電線-2",L26,IF(B27="使用電線-2",L27,IF(B28="使用電線-2",L28,IF(B29="使用電線-2",L29,""))))))</f>
        <v/>
      </c>
      <c r="AZ78" s="110" t="str">
        <f>IF(B24="使用電線-2",W24,IF(B25="使用電線-2",W25,IF(B26="使用電線-2",W26,IF(B27="使用電線-2",W27,IF(B28="使用電線-2",W28,IF(B29="使用電線-2",W29,""))))))</f>
        <v/>
      </c>
      <c r="BB78" s="107" t="str">
        <f>IF(B25="使用電線-3",O25,IF(B26="使用電線-3",O26,IF(B27="使用電線-3",O27,IF(B28="使用電線-3",O28,IF(B29="使用電線-3",O29,"")))))</f>
        <v/>
      </c>
      <c r="BC78" s="108" t="str">
        <f>IF(B25="使用電線-3",M25+U25,IF(B26="使用電線-3",M26+U26,IF(B27="使用電線-3",M27+U27,IF(B28="使用電線-3",M28+U28,IF(B29="使用電線-3",M29+U29,"")))))</f>
        <v/>
      </c>
      <c r="BD78" s="108">
        <f>IF(N33="",L19*(F19/40)^2,N33)</f>
        <v>0</v>
      </c>
      <c r="BE78" s="108">
        <f>F19</f>
        <v>0</v>
      </c>
      <c r="BF78" s="108" t="e">
        <f>BC78*1600/(8*L19)</f>
        <v>#VALUE!</v>
      </c>
      <c r="BG78" s="109" t="str">
        <f>IF(B25="使用電線-3",V25,IF(B26="使用電線-3",V26,IF(B27="使用電線-3",V27,IF(B28="使用電線-3",V28,IF(B29="使用電線-3",V29,"")))))</f>
        <v/>
      </c>
      <c r="BH78" s="108" t="str">
        <f>IF(B25="使用電線-3",L25,IF(B26="使用電線-3",L26,IF(B27="使用電線-3",L27,IF(B28="使用電線-3",L28,IF(B29="使用電線-3",L29,"")))))</f>
        <v/>
      </c>
      <c r="BI78" s="110" t="str">
        <f>IF(B25="使用電線-3",W25,IF(B26="使用電線-3",W26,IF(B27="使用電線-3",W27,IF(B28="使用電線-3",W28,IF(B29="使用電線-3",W29,"")))))</f>
        <v/>
      </c>
      <c r="BK78" s="107" t="str">
        <f>IF(B26="使用電線-4",O26,IF(B27="使用電線-4",O27,IF(B28="使用電線-4",O28,IF(B29="使用電線-4",O29,""))))</f>
        <v/>
      </c>
      <c r="BL78" s="108" t="str">
        <f>IF(B26="使用電線-4",M26+U26,IF(B27="使用電線-4",M27+U27,IF(B28="使用電線-4",M28+U28,IF(B29="使用電線-4",M29+U29,""))))</f>
        <v/>
      </c>
      <c r="BM78" s="108">
        <f>IF(C47="",L19*(F19/40)^2,C47)</f>
        <v>0</v>
      </c>
      <c r="BN78" s="108">
        <f>F19</f>
        <v>0</v>
      </c>
      <c r="BO78" s="127" t="e">
        <f>BL78*1600/(8*L19)</f>
        <v>#VALUE!</v>
      </c>
      <c r="BP78" s="109" t="str">
        <f>IF(B26="使用電線-4",V26,IF(B27="使用電線-4",V27,IF(B28="使用電線-4",V28,IF(B29="使用電線-4",V29,""))))</f>
        <v/>
      </c>
      <c r="BQ78" s="108" t="str">
        <f>IF(B26="使用電線-4",L26,IF(B27="使用電線-4",L27,IF(B28="使用電線-4",L28,IF(B29="使用電線-4",L29,""))))</f>
        <v/>
      </c>
      <c r="BR78" s="110" t="str">
        <f>IF(B26="使用電線-4",W26,IF(B27="使用電線-4",W27,IF(B28="使用電線-4",W28,IF(B29="使用電線-4",W29,""))))</f>
        <v/>
      </c>
      <c r="BT78" s="107" t="str">
        <f>IF(B27="使用電線-5",O27,IF(B28="使用電線-5",O28,IF(B29="使用電線-5",O29,"")))</f>
        <v/>
      </c>
      <c r="BU78" s="108" t="str">
        <f>IF(B27="使用電線-5",M27+U27,IF(B28="使用電線-5",M28+U28,IF(B29="使用電線-5",M29+U29,"")))</f>
        <v/>
      </c>
      <c r="BV78" s="108">
        <f>IF(I47="",L19*(F19/40)^2,I47)</f>
        <v>0</v>
      </c>
      <c r="BW78" s="108">
        <f>F19</f>
        <v>0</v>
      </c>
      <c r="BX78" s="127" t="e">
        <f>BU78*1600/(8*L19)</f>
        <v>#VALUE!</v>
      </c>
      <c r="BY78" s="109" t="str">
        <f>IF(B27="使用電線-5",V27,IF(B28="使用電線-5",V28,IF(B29="使用電線-5",V29,"")))</f>
        <v/>
      </c>
      <c r="BZ78" s="108" t="str">
        <f>IF(B27="使用電線-5",L27,IF(B28="使用電線-5",L28,IF(B29="使用電線-5",L29,"")))</f>
        <v/>
      </c>
      <c r="CA78" s="110" t="str">
        <f>IF(B27="使用電線-5",W27,IF(B28="使用電線-5",W28,IF(B29="使用電線-5",W29,"")))</f>
        <v/>
      </c>
    </row>
    <row r="79" spans="10:79" ht="18" hidden="1" customHeight="1" x14ac:dyDescent="0.15">
      <c r="AH79" s="1" t="s">
        <v>231</v>
      </c>
    </row>
    <row r="80" spans="10:79" ht="18" hidden="1" customHeight="1" thickBot="1" x14ac:dyDescent="0.2"/>
    <row r="81" spans="36:79" ht="18" hidden="1" customHeight="1" x14ac:dyDescent="0.15">
      <c r="AJ81" s="2" t="s">
        <v>232</v>
      </c>
      <c r="AK81" s="111" t="s">
        <v>233</v>
      </c>
      <c r="AL81" s="12" t="s">
        <v>234</v>
      </c>
      <c r="AM81" s="12" t="s">
        <v>235</v>
      </c>
      <c r="AN81" s="12" t="s">
        <v>236</v>
      </c>
      <c r="AO81" s="12" t="s">
        <v>237</v>
      </c>
      <c r="AP81" s="12" t="s">
        <v>238</v>
      </c>
      <c r="AQ81" s="13" t="s">
        <v>239</v>
      </c>
      <c r="AS81" s="2" t="s">
        <v>232</v>
      </c>
      <c r="AT81" s="111" t="s">
        <v>233</v>
      </c>
      <c r="AU81" s="12" t="s">
        <v>234</v>
      </c>
      <c r="AV81" s="12" t="s">
        <v>235</v>
      </c>
      <c r="AW81" s="12" t="s">
        <v>236</v>
      </c>
      <c r="AX81" s="12" t="s">
        <v>237</v>
      </c>
      <c r="AY81" s="12" t="s">
        <v>238</v>
      </c>
      <c r="AZ81" s="13" t="s">
        <v>239</v>
      </c>
      <c r="BB81" s="2" t="s">
        <v>232</v>
      </c>
      <c r="BC81" s="111" t="s">
        <v>233</v>
      </c>
      <c r="BD81" s="12" t="s">
        <v>234</v>
      </c>
      <c r="BE81" s="12" t="s">
        <v>235</v>
      </c>
      <c r="BF81" s="12" t="s">
        <v>236</v>
      </c>
      <c r="BG81" s="12" t="s">
        <v>237</v>
      </c>
      <c r="BH81" s="12" t="s">
        <v>238</v>
      </c>
      <c r="BI81" s="13" t="s">
        <v>239</v>
      </c>
      <c r="BK81" s="2" t="s">
        <v>232</v>
      </c>
      <c r="BL81" s="111" t="s">
        <v>233</v>
      </c>
      <c r="BM81" s="12" t="s">
        <v>234</v>
      </c>
      <c r="BN81" s="12" t="s">
        <v>235</v>
      </c>
      <c r="BO81" s="12" t="s">
        <v>236</v>
      </c>
      <c r="BP81" s="12" t="s">
        <v>237</v>
      </c>
      <c r="BQ81" s="12" t="s">
        <v>238</v>
      </c>
      <c r="BR81" s="13" t="s">
        <v>239</v>
      </c>
      <c r="BT81" s="2" t="s">
        <v>232</v>
      </c>
      <c r="BU81" s="111" t="s">
        <v>233</v>
      </c>
      <c r="BV81" s="12" t="s">
        <v>234</v>
      </c>
      <c r="BW81" s="12" t="s">
        <v>235</v>
      </c>
      <c r="BX81" s="12" t="s">
        <v>236</v>
      </c>
      <c r="BY81" s="12" t="s">
        <v>237</v>
      </c>
      <c r="BZ81" s="12" t="s">
        <v>238</v>
      </c>
      <c r="CA81" s="13" t="s">
        <v>239</v>
      </c>
    </row>
    <row r="82" spans="36:79" ht="18" hidden="1" customHeight="1" x14ac:dyDescent="0.15">
      <c r="AJ82" s="16" t="e">
        <f>-AJ85+AJ88</f>
        <v>#VALUE!</v>
      </c>
      <c r="AK82" s="17" t="e">
        <f>-AJ91</f>
        <v>#VALUE!</v>
      </c>
      <c r="AL82" s="18" t="e">
        <f>IF(AND(AP85&lt;0,AQ85&lt;0),AQ82*1.2,IF(AND(AP85&gt;0,AQ85&gt;0),AP82*0.8,10))</f>
        <v>#VALUE!</v>
      </c>
      <c r="AM82" s="18" t="e">
        <f>AL82^3+AJ82*AL82+AK82</f>
        <v>#VALUE!</v>
      </c>
      <c r="AN82" s="18" t="e">
        <f>3*AL82^2+AJ82</f>
        <v>#VALUE!</v>
      </c>
      <c r="AO82" s="18" t="e">
        <f t="shared" ref="AO82:AO96" si="18">AL82-AM82/AN82</f>
        <v>#VALUE!</v>
      </c>
      <c r="AP82" s="18" t="e">
        <f>-SQRT(ABS(-4*3*AJ82))/6</f>
        <v>#VALUE!</v>
      </c>
      <c r="AQ82" s="19" t="e">
        <f>SQRT(ABS(-4*3*AJ82))/6</f>
        <v>#VALUE!</v>
      </c>
      <c r="AS82" s="16" t="e">
        <f>-AS85+AS88</f>
        <v>#VALUE!</v>
      </c>
      <c r="AT82" s="17" t="e">
        <f>-AS91</f>
        <v>#VALUE!</v>
      </c>
      <c r="AU82" s="18" t="e">
        <f>IF(AND(AY85&lt;0,AZ85&lt;0),AZ82*1.2,IF(AND(AY85&gt;0,AZ85&gt;0),AY82*0.8,10))</f>
        <v>#VALUE!</v>
      </c>
      <c r="AV82" s="18" t="e">
        <f>AU82^3+AS82*AU82+AT82</f>
        <v>#VALUE!</v>
      </c>
      <c r="AW82" s="18" t="e">
        <f>3*AU82^2+AS82</f>
        <v>#VALUE!</v>
      </c>
      <c r="AX82" s="18" t="e">
        <f t="shared" ref="AX82:AX96" si="19">AU82-AV82/AW82</f>
        <v>#VALUE!</v>
      </c>
      <c r="AY82" s="18" t="e">
        <f>-SQRT(ABS(-4*3*AS82))/6</f>
        <v>#VALUE!</v>
      </c>
      <c r="AZ82" s="19" t="e">
        <f>SQRT(ABS(-4*3*AS82))/6</f>
        <v>#VALUE!</v>
      </c>
      <c r="BB82" s="16" t="e">
        <f>-BB85+BB88</f>
        <v>#VALUE!</v>
      </c>
      <c r="BC82" s="17" t="e">
        <f>-BB91</f>
        <v>#VALUE!</v>
      </c>
      <c r="BD82" s="18" t="e">
        <f>IF(AND(BH85&lt;0,BI85&lt;0),BI82*1.2,IF(AND(BH85&gt;0,BI85&gt;0),BH82*0.8,10))</f>
        <v>#VALUE!</v>
      </c>
      <c r="BE82" s="18" t="e">
        <f>BD82^3+BB82*BD82+BC82</f>
        <v>#VALUE!</v>
      </c>
      <c r="BF82" s="18" t="e">
        <f>3*BD82^2+BB82</f>
        <v>#VALUE!</v>
      </c>
      <c r="BG82" s="18" t="e">
        <f t="shared" ref="BG82:BG96" si="20">BD82-BE82/BF82</f>
        <v>#VALUE!</v>
      </c>
      <c r="BH82" s="18" t="e">
        <f>-SQRT(ABS(-4*3*BB82))/6</f>
        <v>#VALUE!</v>
      </c>
      <c r="BI82" s="19" t="e">
        <f>SQRT(ABS(-4*3*BB82))/6</f>
        <v>#VALUE!</v>
      </c>
      <c r="BK82" s="16" t="e">
        <f>-BK85+BK88</f>
        <v>#VALUE!</v>
      </c>
      <c r="BL82" s="17" t="e">
        <f>-BK91</f>
        <v>#VALUE!</v>
      </c>
      <c r="BM82" s="18" t="e">
        <f>IF(AND(BQ85&lt;0,BR85&lt;0),BR82*1.2,IF(AND(BQ85&gt;0,BR85&gt;0),BQ82*0.8,10))</f>
        <v>#VALUE!</v>
      </c>
      <c r="BN82" s="18" t="e">
        <f>BM82^3+BK82*BM82+BL82</f>
        <v>#VALUE!</v>
      </c>
      <c r="BO82" s="18" t="e">
        <f>3*BM82^2+BK82</f>
        <v>#VALUE!</v>
      </c>
      <c r="BP82" s="18" t="e">
        <f t="shared" ref="BP82:BP96" si="21">BM82-BN82/BO82</f>
        <v>#VALUE!</v>
      </c>
      <c r="BQ82" s="18" t="e">
        <f>-SQRT(ABS(-4*3*BK82))/6</f>
        <v>#VALUE!</v>
      </c>
      <c r="BR82" s="19" t="e">
        <f>SQRT(ABS(-4*3*BK82))/6</f>
        <v>#VALUE!</v>
      </c>
      <c r="BT82" s="16" t="e">
        <f>-BT85+BT88</f>
        <v>#VALUE!</v>
      </c>
      <c r="BU82" s="17" t="e">
        <f>-BT91</f>
        <v>#VALUE!</v>
      </c>
      <c r="BV82" s="18" t="e">
        <f>IF(AND(BZ85&lt;0,CA85&lt;0),CA82*1.2,IF(AND(BZ85&gt;0,CA85&gt;0),BZ82*0.8,10))</f>
        <v>#VALUE!</v>
      </c>
      <c r="BW82" s="18" t="e">
        <f>BV82^3+BT82*BV82+BU82</f>
        <v>#VALUE!</v>
      </c>
      <c r="BX82" s="18" t="e">
        <f>3*BV82^2+BT82</f>
        <v>#VALUE!</v>
      </c>
      <c r="BY82" s="18" t="e">
        <f t="shared" ref="BY82:BY96" si="22">BV82-BW82/BX82</f>
        <v>#VALUE!</v>
      </c>
      <c r="BZ82" s="18" t="e">
        <f>-SQRT(ABS(-4*3*BT82))/6</f>
        <v>#VALUE!</v>
      </c>
      <c r="CA82" s="19" t="e">
        <f>SQRT(ABS(-4*3*BT82))/6</f>
        <v>#VALUE!</v>
      </c>
    </row>
    <row r="83" spans="36:79" ht="18" hidden="1" customHeight="1" x14ac:dyDescent="0.15">
      <c r="AJ83" s="267"/>
      <c r="AK83" s="268"/>
      <c r="AL83" s="18" t="e">
        <f t="shared" ref="AL83:AL96" si="23">AO82</f>
        <v>#VALUE!</v>
      </c>
      <c r="AM83" s="18" t="e">
        <f>AL83^3+AJ82*AL83+AK82</f>
        <v>#VALUE!</v>
      </c>
      <c r="AN83" s="18" t="e">
        <f>3*AL83^2+AJ82</f>
        <v>#VALUE!</v>
      </c>
      <c r="AO83" s="18" t="e">
        <f t="shared" si="18"/>
        <v>#VALUE!</v>
      </c>
      <c r="AP83" s="6"/>
      <c r="AQ83" s="7"/>
      <c r="AS83" s="267"/>
      <c r="AT83" s="268"/>
      <c r="AU83" s="18" t="e">
        <f t="shared" ref="AU83:AU96" si="24">AX82</f>
        <v>#VALUE!</v>
      </c>
      <c r="AV83" s="18" t="e">
        <f>AU83^3+AS82*AU83+AT82</f>
        <v>#VALUE!</v>
      </c>
      <c r="AW83" s="18" t="e">
        <f>3*AU83^2+AS82</f>
        <v>#VALUE!</v>
      </c>
      <c r="AX83" s="18" t="e">
        <f t="shared" si="19"/>
        <v>#VALUE!</v>
      </c>
      <c r="AY83" s="6"/>
      <c r="AZ83" s="7"/>
      <c r="BB83" s="267"/>
      <c r="BC83" s="268"/>
      <c r="BD83" s="18" t="e">
        <f t="shared" ref="BD83:BD96" si="25">BG82</f>
        <v>#VALUE!</v>
      </c>
      <c r="BE83" s="18" t="e">
        <f>BD83^3+BB82*BD83+BC82</f>
        <v>#VALUE!</v>
      </c>
      <c r="BF83" s="18" t="e">
        <f>3*BD83^2+BB82</f>
        <v>#VALUE!</v>
      </c>
      <c r="BG83" s="18" t="e">
        <f t="shared" si="20"/>
        <v>#VALUE!</v>
      </c>
      <c r="BH83" s="6"/>
      <c r="BI83" s="7"/>
      <c r="BK83" s="267"/>
      <c r="BL83" s="268"/>
      <c r="BM83" s="18" t="e">
        <f t="shared" ref="BM83:BM96" si="26">BP82</f>
        <v>#VALUE!</v>
      </c>
      <c r="BN83" s="18" t="e">
        <f>BM83^3+BK82*BM83+BL82</f>
        <v>#VALUE!</v>
      </c>
      <c r="BO83" s="18" t="e">
        <f>3*BM83^2+BK82</f>
        <v>#VALUE!</v>
      </c>
      <c r="BP83" s="18" t="e">
        <f t="shared" si="21"/>
        <v>#VALUE!</v>
      </c>
      <c r="BQ83" s="6"/>
      <c r="BR83" s="7"/>
      <c r="BT83" s="267"/>
      <c r="BU83" s="268"/>
      <c r="BV83" s="18" t="e">
        <f t="shared" ref="BV83:BV96" si="27">BY82</f>
        <v>#VALUE!</v>
      </c>
      <c r="BW83" s="18" t="e">
        <f>BV83^3+BT82*BV83+BU82</f>
        <v>#VALUE!</v>
      </c>
      <c r="BX83" s="18" t="e">
        <f>3*BV83^2+BT82</f>
        <v>#VALUE!</v>
      </c>
      <c r="BY83" s="18" t="e">
        <f t="shared" si="22"/>
        <v>#VALUE!</v>
      </c>
      <c r="BZ83" s="6"/>
      <c r="CA83" s="7"/>
    </row>
    <row r="84" spans="36:79" ht="18" hidden="1" customHeight="1" x14ac:dyDescent="0.15">
      <c r="AJ84" s="269" t="s">
        <v>240</v>
      </c>
      <c r="AK84" s="270"/>
      <c r="AL84" s="18" t="e">
        <f t="shared" si="23"/>
        <v>#VALUE!</v>
      </c>
      <c r="AM84" s="18" t="e">
        <f>AL84^3+AJ82*AL84+AK82</f>
        <v>#VALUE!</v>
      </c>
      <c r="AN84" s="18" t="e">
        <f>3*AL84^2+AJ82</f>
        <v>#VALUE!</v>
      </c>
      <c r="AO84" s="18" t="e">
        <f t="shared" si="18"/>
        <v>#VALUE!</v>
      </c>
      <c r="AP84" s="14" t="s">
        <v>241</v>
      </c>
      <c r="AQ84" s="15" t="s">
        <v>242</v>
      </c>
      <c r="AS84" s="269" t="s">
        <v>240</v>
      </c>
      <c r="AT84" s="270"/>
      <c r="AU84" s="18" t="e">
        <f t="shared" si="24"/>
        <v>#VALUE!</v>
      </c>
      <c r="AV84" s="18" t="e">
        <f>AU84^3+AS82*AU84+AT82</f>
        <v>#VALUE!</v>
      </c>
      <c r="AW84" s="18" t="e">
        <f>3*AU84^2+AS82</f>
        <v>#VALUE!</v>
      </c>
      <c r="AX84" s="18" t="e">
        <f t="shared" si="19"/>
        <v>#VALUE!</v>
      </c>
      <c r="AY84" s="14" t="s">
        <v>241</v>
      </c>
      <c r="AZ84" s="15" t="s">
        <v>242</v>
      </c>
      <c r="BB84" s="269" t="s">
        <v>240</v>
      </c>
      <c r="BC84" s="270"/>
      <c r="BD84" s="18" t="e">
        <f t="shared" si="25"/>
        <v>#VALUE!</v>
      </c>
      <c r="BE84" s="18" t="e">
        <f>BD84^3+BB82*BD84+BC82</f>
        <v>#VALUE!</v>
      </c>
      <c r="BF84" s="18" t="e">
        <f>3*BD84^2+BB82</f>
        <v>#VALUE!</v>
      </c>
      <c r="BG84" s="18" t="e">
        <f t="shared" si="20"/>
        <v>#VALUE!</v>
      </c>
      <c r="BH84" s="14" t="s">
        <v>241</v>
      </c>
      <c r="BI84" s="15" t="s">
        <v>242</v>
      </c>
      <c r="BK84" s="269" t="s">
        <v>240</v>
      </c>
      <c r="BL84" s="270"/>
      <c r="BM84" s="18" t="e">
        <f t="shared" si="26"/>
        <v>#VALUE!</v>
      </c>
      <c r="BN84" s="18" t="e">
        <f>BM84^3+BK82*BM84+BL82</f>
        <v>#VALUE!</v>
      </c>
      <c r="BO84" s="18" t="e">
        <f>3*BM84^2+BK82</f>
        <v>#VALUE!</v>
      </c>
      <c r="BP84" s="18" t="e">
        <f t="shared" si="21"/>
        <v>#VALUE!</v>
      </c>
      <c r="BQ84" s="14" t="s">
        <v>241</v>
      </c>
      <c r="BR84" s="15" t="s">
        <v>242</v>
      </c>
      <c r="BT84" s="269" t="s">
        <v>240</v>
      </c>
      <c r="BU84" s="270"/>
      <c r="BV84" s="18" t="e">
        <f t="shared" si="27"/>
        <v>#VALUE!</v>
      </c>
      <c r="BW84" s="18" t="e">
        <f>BV84^3+BT82*BV84+BU82</f>
        <v>#VALUE!</v>
      </c>
      <c r="BX84" s="18" t="e">
        <f>3*BV84^2+BT82</f>
        <v>#VALUE!</v>
      </c>
      <c r="BY84" s="18" t="e">
        <f t="shared" si="22"/>
        <v>#VALUE!</v>
      </c>
      <c r="BZ84" s="14" t="s">
        <v>241</v>
      </c>
      <c r="CA84" s="15" t="s">
        <v>242</v>
      </c>
    </row>
    <row r="85" spans="36:79" ht="18" hidden="1" customHeight="1" x14ac:dyDescent="0.15">
      <c r="AJ85" s="269">
        <f>(AL98^2)+3*(AM98^2)*AQ98*(AQ93-15)/(8*10^7)</f>
        <v>0</v>
      </c>
      <c r="AK85" s="270"/>
      <c r="AL85" s="18" t="e">
        <f t="shared" si="23"/>
        <v>#VALUE!</v>
      </c>
      <c r="AM85" s="18" t="e">
        <f>AL85^3+AJ82*AL85+AK82</f>
        <v>#VALUE!</v>
      </c>
      <c r="AN85" s="18" t="e">
        <f>3*AL85^2+AJ82</f>
        <v>#VALUE!</v>
      </c>
      <c r="AO85" s="18" t="e">
        <f t="shared" si="18"/>
        <v>#VALUE!</v>
      </c>
      <c r="AP85" s="18" t="e">
        <f>AP82^3+AJ82*AP82+AK82</f>
        <v>#VALUE!</v>
      </c>
      <c r="AQ85" s="19" t="e">
        <f>AQ82^3+AJ82*AQ82+AK82</f>
        <v>#VALUE!</v>
      </c>
      <c r="AS85" s="269" t="e">
        <f>(AU98^2)+3*(AV98^2)*AZ98*(AZ93-15)/(8*10^7)</f>
        <v>#VALUE!</v>
      </c>
      <c r="AT85" s="270"/>
      <c r="AU85" s="18" t="e">
        <f t="shared" si="24"/>
        <v>#VALUE!</v>
      </c>
      <c r="AV85" s="18" t="e">
        <f>AU85^3+AS82*AU85+AT82</f>
        <v>#VALUE!</v>
      </c>
      <c r="AW85" s="18" t="e">
        <f>3*AU85^2+AS82</f>
        <v>#VALUE!</v>
      </c>
      <c r="AX85" s="18" t="e">
        <f t="shared" si="19"/>
        <v>#VALUE!</v>
      </c>
      <c r="AY85" s="18" t="e">
        <f>AY82^3+AS82*AY82+AT82</f>
        <v>#VALUE!</v>
      </c>
      <c r="AZ85" s="19" t="e">
        <f>AZ82^3+AS82*AZ82+AT82</f>
        <v>#VALUE!</v>
      </c>
      <c r="BB85" s="269" t="e">
        <f>(BD98^2)+3*(BE98^2)*BI98*(BI93-15)/(8*10^7)</f>
        <v>#VALUE!</v>
      </c>
      <c r="BC85" s="270"/>
      <c r="BD85" s="18" t="e">
        <f t="shared" si="25"/>
        <v>#VALUE!</v>
      </c>
      <c r="BE85" s="18" t="e">
        <f>BD85^3+BB82*BD85+BC82</f>
        <v>#VALUE!</v>
      </c>
      <c r="BF85" s="18" t="e">
        <f>3*BD85^2+BB82</f>
        <v>#VALUE!</v>
      </c>
      <c r="BG85" s="18" t="e">
        <f t="shared" si="20"/>
        <v>#VALUE!</v>
      </c>
      <c r="BH85" s="18" t="e">
        <f>BH82^3+BB82*BH82+BC82</f>
        <v>#VALUE!</v>
      </c>
      <c r="BI85" s="19" t="e">
        <f>BI82^3+BB82*BI82+BC82</f>
        <v>#VALUE!</v>
      </c>
      <c r="BK85" s="269" t="e">
        <f>(BM98^2)+3*(BN98^2)*BR98*(BR93-15)/(8*10^7)</f>
        <v>#VALUE!</v>
      </c>
      <c r="BL85" s="270"/>
      <c r="BM85" s="18" t="e">
        <f t="shared" si="26"/>
        <v>#VALUE!</v>
      </c>
      <c r="BN85" s="18" t="e">
        <f>BM85^3+BK82*BM85+BL82</f>
        <v>#VALUE!</v>
      </c>
      <c r="BO85" s="18" t="e">
        <f>3*BM85^2+BK82</f>
        <v>#VALUE!</v>
      </c>
      <c r="BP85" s="18" t="e">
        <f t="shared" si="21"/>
        <v>#VALUE!</v>
      </c>
      <c r="BQ85" s="18" t="e">
        <f>BQ82^3+BK82*BQ82+BL82</f>
        <v>#VALUE!</v>
      </c>
      <c r="BR85" s="19" t="e">
        <f>BR82^3+BK82*BR82+BL82</f>
        <v>#VALUE!</v>
      </c>
      <c r="BT85" s="269" t="e">
        <f>(BV98^2)+3*(BW98^2)*CA98*(CA93-15)/(8*10^7)</f>
        <v>#VALUE!</v>
      </c>
      <c r="BU85" s="270"/>
      <c r="BV85" s="18" t="e">
        <f t="shared" si="27"/>
        <v>#VALUE!</v>
      </c>
      <c r="BW85" s="18" t="e">
        <f>BV85^3+BT82*BV85+BU82</f>
        <v>#VALUE!</v>
      </c>
      <c r="BX85" s="18" t="e">
        <f>3*BV85^2+BT82</f>
        <v>#VALUE!</v>
      </c>
      <c r="BY85" s="18" t="e">
        <f t="shared" si="22"/>
        <v>#VALUE!</v>
      </c>
      <c r="BZ85" s="18" t="e">
        <f>BZ82^3+BT82*BZ82+BU82</f>
        <v>#VALUE!</v>
      </c>
      <c r="CA85" s="19" t="e">
        <f>CA82^3+BT82*CA82+BU82</f>
        <v>#VALUE!</v>
      </c>
    </row>
    <row r="86" spans="36:79" ht="18" hidden="1" customHeight="1" x14ac:dyDescent="0.15">
      <c r="AJ86" s="267"/>
      <c r="AK86" s="268"/>
      <c r="AL86" s="18" t="e">
        <f t="shared" si="23"/>
        <v>#VALUE!</v>
      </c>
      <c r="AM86" s="18" t="e">
        <f>AL86^3+AJ82*AL86+AK82</f>
        <v>#VALUE!</v>
      </c>
      <c r="AN86" s="18" t="e">
        <f>3*AL86^2+AJ82</f>
        <v>#VALUE!</v>
      </c>
      <c r="AO86" s="18" t="e">
        <f t="shared" si="18"/>
        <v>#VALUE!</v>
      </c>
      <c r="AP86" s="31"/>
      <c r="AQ86" s="32"/>
      <c r="AS86" s="267"/>
      <c r="AT86" s="268"/>
      <c r="AU86" s="18" t="e">
        <f t="shared" si="24"/>
        <v>#VALUE!</v>
      </c>
      <c r="AV86" s="18" t="e">
        <f>AU86^3+AS82*AU86+AT82</f>
        <v>#VALUE!</v>
      </c>
      <c r="AW86" s="18" t="e">
        <f>3*AU86^2+AS82</f>
        <v>#VALUE!</v>
      </c>
      <c r="AX86" s="18" t="e">
        <f t="shared" si="19"/>
        <v>#VALUE!</v>
      </c>
      <c r="AY86" s="31"/>
      <c r="AZ86" s="32"/>
      <c r="BB86" s="267"/>
      <c r="BC86" s="268"/>
      <c r="BD86" s="18" t="e">
        <f t="shared" si="25"/>
        <v>#VALUE!</v>
      </c>
      <c r="BE86" s="18" t="e">
        <f>BD86^3+BB82*BD86+BC82</f>
        <v>#VALUE!</v>
      </c>
      <c r="BF86" s="18" t="e">
        <f>3*BD86^2+BB82</f>
        <v>#VALUE!</v>
      </c>
      <c r="BG86" s="18" t="e">
        <f t="shared" si="20"/>
        <v>#VALUE!</v>
      </c>
      <c r="BH86" s="31"/>
      <c r="BI86" s="32"/>
      <c r="BK86" s="267"/>
      <c r="BL86" s="268"/>
      <c r="BM86" s="18" t="e">
        <f t="shared" si="26"/>
        <v>#VALUE!</v>
      </c>
      <c r="BN86" s="18" t="e">
        <f>BM86^3+BK82*BM86+BL82</f>
        <v>#VALUE!</v>
      </c>
      <c r="BO86" s="18" t="e">
        <f>3*BM86^2+BK82</f>
        <v>#VALUE!</v>
      </c>
      <c r="BP86" s="18" t="e">
        <f t="shared" si="21"/>
        <v>#VALUE!</v>
      </c>
      <c r="BQ86" s="31"/>
      <c r="BR86" s="32"/>
      <c r="BT86" s="267"/>
      <c r="BU86" s="268"/>
      <c r="BV86" s="18" t="e">
        <f t="shared" si="27"/>
        <v>#VALUE!</v>
      </c>
      <c r="BW86" s="18" t="e">
        <f>BV86^3+BT82*BV86+BU82</f>
        <v>#VALUE!</v>
      </c>
      <c r="BX86" s="18" t="e">
        <f>3*BV86^2+BT82</f>
        <v>#VALUE!</v>
      </c>
      <c r="BY86" s="18" t="e">
        <f t="shared" si="22"/>
        <v>#VALUE!</v>
      </c>
      <c r="BZ86" s="31"/>
      <c r="CA86" s="32"/>
    </row>
    <row r="87" spans="36:79" ht="18" hidden="1" customHeight="1" x14ac:dyDescent="0.15">
      <c r="AJ87" s="269" t="s">
        <v>243</v>
      </c>
      <c r="AK87" s="270"/>
      <c r="AL87" s="18" t="e">
        <f t="shared" si="23"/>
        <v>#VALUE!</v>
      </c>
      <c r="AM87" s="18" t="e">
        <f>AL87^3+AJ82*AL87+AK82</f>
        <v>#VALUE!</v>
      </c>
      <c r="AN87" s="18" t="e">
        <f>3*AL87^2+AJ82</f>
        <v>#VALUE!</v>
      </c>
      <c r="AO87" s="18" t="e">
        <f t="shared" si="18"/>
        <v>#VALUE!</v>
      </c>
      <c r="AP87" s="31"/>
      <c r="AQ87" s="32"/>
      <c r="AS87" s="269" t="s">
        <v>243</v>
      </c>
      <c r="AT87" s="270"/>
      <c r="AU87" s="18" t="e">
        <f t="shared" si="24"/>
        <v>#VALUE!</v>
      </c>
      <c r="AV87" s="18" t="e">
        <f>AU87^3+AS82*AU87+AT82</f>
        <v>#VALUE!</v>
      </c>
      <c r="AW87" s="18" t="e">
        <f>3*AU87^2+AS82</f>
        <v>#VALUE!</v>
      </c>
      <c r="AX87" s="18" t="e">
        <f t="shared" si="19"/>
        <v>#VALUE!</v>
      </c>
      <c r="AY87" s="31"/>
      <c r="AZ87" s="32"/>
      <c r="BB87" s="269" t="s">
        <v>243</v>
      </c>
      <c r="BC87" s="270"/>
      <c r="BD87" s="18" t="e">
        <f t="shared" si="25"/>
        <v>#VALUE!</v>
      </c>
      <c r="BE87" s="18" t="e">
        <f>BD87^3+BB82*BD87+BC82</f>
        <v>#VALUE!</v>
      </c>
      <c r="BF87" s="18" t="e">
        <f>3*BD87^2+BB82</f>
        <v>#VALUE!</v>
      </c>
      <c r="BG87" s="18" t="e">
        <f t="shared" si="20"/>
        <v>#VALUE!</v>
      </c>
      <c r="BH87" s="31"/>
      <c r="BI87" s="32"/>
      <c r="BK87" s="269" t="s">
        <v>243</v>
      </c>
      <c r="BL87" s="270"/>
      <c r="BM87" s="18" t="e">
        <f t="shared" si="26"/>
        <v>#VALUE!</v>
      </c>
      <c r="BN87" s="18" t="e">
        <f>BM87^3+BK82*BM87+BL82</f>
        <v>#VALUE!</v>
      </c>
      <c r="BO87" s="18" t="e">
        <f>3*BM87^2+BK82</f>
        <v>#VALUE!</v>
      </c>
      <c r="BP87" s="18" t="e">
        <f t="shared" si="21"/>
        <v>#VALUE!</v>
      </c>
      <c r="BQ87" s="31"/>
      <c r="BR87" s="32"/>
      <c r="BT87" s="269" t="s">
        <v>243</v>
      </c>
      <c r="BU87" s="270"/>
      <c r="BV87" s="18" t="e">
        <f t="shared" si="27"/>
        <v>#VALUE!</v>
      </c>
      <c r="BW87" s="18" t="e">
        <f>BV87^3+BT82*BV87+BU82</f>
        <v>#VALUE!</v>
      </c>
      <c r="BX87" s="18" t="e">
        <f>3*BV87^2+BT82</f>
        <v>#VALUE!</v>
      </c>
      <c r="BY87" s="18" t="e">
        <f t="shared" si="22"/>
        <v>#VALUE!</v>
      </c>
      <c r="BZ87" s="31"/>
      <c r="CA87" s="32"/>
    </row>
    <row r="88" spans="36:79" ht="18" hidden="1" customHeight="1" x14ac:dyDescent="0.15">
      <c r="AJ88" s="277" t="e">
        <f>3*(AM98^2)*AN98/(8*AO98*AP98)</f>
        <v>#VALUE!</v>
      </c>
      <c r="AK88" s="278"/>
      <c r="AL88" s="118" t="e">
        <f t="shared" si="23"/>
        <v>#VALUE!</v>
      </c>
      <c r="AM88" s="118" t="e">
        <f>AL88^3+AJ82*AL88+AK82</f>
        <v>#VALUE!</v>
      </c>
      <c r="AN88" s="118" t="e">
        <f>3*AL88^2+AJ82</f>
        <v>#VALUE!</v>
      </c>
      <c r="AO88" s="118" t="e">
        <f t="shared" si="18"/>
        <v>#VALUE!</v>
      </c>
      <c r="AP88" s="116"/>
      <c r="AQ88" s="117"/>
      <c r="AS88" s="277" t="e">
        <f>3*(AV98^2)*AW98/(8*AX98*AY98)</f>
        <v>#VALUE!</v>
      </c>
      <c r="AT88" s="278"/>
      <c r="AU88" s="118" t="e">
        <f t="shared" si="24"/>
        <v>#VALUE!</v>
      </c>
      <c r="AV88" s="118" t="e">
        <f>AU88^3+AS82*AU88+AT82</f>
        <v>#VALUE!</v>
      </c>
      <c r="AW88" s="118" t="e">
        <f>3*AU88^2+AS82</f>
        <v>#VALUE!</v>
      </c>
      <c r="AX88" s="118" t="e">
        <f t="shared" si="19"/>
        <v>#VALUE!</v>
      </c>
      <c r="AY88" s="116"/>
      <c r="AZ88" s="117"/>
      <c r="BB88" s="277" t="e">
        <f>3*(BE98^2)*BF98/(8*BG98*BH98)</f>
        <v>#VALUE!</v>
      </c>
      <c r="BC88" s="278"/>
      <c r="BD88" s="118" t="e">
        <f t="shared" si="25"/>
        <v>#VALUE!</v>
      </c>
      <c r="BE88" s="118" t="e">
        <f>BD88^3+BB82*BD88+BC82</f>
        <v>#VALUE!</v>
      </c>
      <c r="BF88" s="118" t="e">
        <f>3*BD88^2+BB82</f>
        <v>#VALUE!</v>
      </c>
      <c r="BG88" s="118" t="e">
        <f t="shared" si="20"/>
        <v>#VALUE!</v>
      </c>
      <c r="BH88" s="116"/>
      <c r="BI88" s="117"/>
      <c r="BK88" s="277" t="e">
        <f>3*(BN98^2)*BO98/(8*BP98*BQ98)</f>
        <v>#VALUE!</v>
      </c>
      <c r="BL88" s="278"/>
      <c r="BM88" s="118" t="e">
        <f t="shared" si="26"/>
        <v>#VALUE!</v>
      </c>
      <c r="BN88" s="118" t="e">
        <f>BM88^3+BK82*BM88+BL82</f>
        <v>#VALUE!</v>
      </c>
      <c r="BO88" s="118" t="e">
        <f>3*BM88^2+BK82</f>
        <v>#VALUE!</v>
      </c>
      <c r="BP88" s="118" t="e">
        <f t="shared" si="21"/>
        <v>#VALUE!</v>
      </c>
      <c r="BQ88" s="116"/>
      <c r="BR88" s="117"/>
      <c r="BT88" s="277" t="e">
        <f>3*(BW98^2)*BX98/(8*BY98*BZ98)</f>
        <v>#VALUE!</v>
      </c>
      <c r="BU88" s="278"/>
      <c r="BV88" s="118" t="e">
        <f t="shared" si="27"/>
        <v>#VALUE!</v>
      </c>
      <c r="BW88" s="118" t="e">
        <f>BV88^3+BT82*BV88+BU82</f>
        <v>#VALUE!</v>
      </c>
      <c r="BX88" s="118" t="e">
        <f>3*BV88^2+BT82</f>
        <v>#VALUE!</v>
      </c>
      <c r="BY88" s="118" t="e">
        <f t="shared" si="22"/>
        <v>#VALUE!</v>
      </c>
      <c r="BZ88" s="116"/>
      <c r="CA88" s="117"/>
    </row>
    <row r="89" spans="36:79" ht="18" hidden="1" customHeight="1" x14ac:dyDescent="0.15">
      <c r="AJ89" s="121"/>
      <c r="AK89" s="122"/>
      <c r="AL89" s="118" t="e">
        <f t="shared" si="23"/>
        <v>#VALUE!</v>
      </c>
      <c r="AM89" s="118" t="e">
        <f>AL89^3+AJ82*AL89+AK82</f>
        <v>#VALUE!</v>
      </c>
      <c r="AN89" s="118" t="e">
        <f>3*AL89^2+AJ82</f>
        <v>#VALUE!</v>
      </c>
      <c r="AO89" s="118" t="e">
        <f t="shared" si="18"/>
        <v>#VALUE!</v>
      </c>
      <c r="AP89" s="119"/>
      <c r="AQ89" s="120"/>
      <c r="AS89" s="121"/>
      <c r="AT89" s="122"/>
      <c r="AU89" s="118" t="e">
        <f t="shared" si="24"/>
        <v>#VALUE!</v>
      </c>
      <c r="AV89" s="118" t="e">
        <f>AU89^3+AS82*AU89+AT82</f>
        <v>#VALUE!</v>
      </c>
      <c r="AW89" s="118" t="e">
        <f>3*AU89^2+AS82</f>
        <v>#VALUE!</v>
      </c>
      <c r="AX89" s="118" t="e">
        <f t="shared" si="19"/>
        <v>#VALUE!</v>
      </c>
      <c r="AY89" s="119"/>
      <c r="AZ89" s="120"/>
      <c r="BB89" s="121"/>
      <c r="BC89" s="122"/>
      <c r="BD89" s="118" t="e">
        <f t="shared" si="25"/>
        <v>#VALUE!</v>
      </c>
      <c r="BE89" s="118" t="e">
        <f>BD89^3+BB82*BD89+BC82</f>
        <v>#VALUE!</v>
      </c>
      <c r="BF89" s="118" t="e">
        <f>3*BD89^2+BB82</f>
        <v>#VALUE!</v>
      </c>
      <c r="BG89" s="118" t="e">
        <f t="shared" si="20"/>
        <v>#VALUE!</v>
      </c>
      <c r="BH89" s="119"/>
      <c r="BI89" s="120"/>
      <c r="BK89" s="121"/>
      <c r="BL89" s="122"/>
      <c r="BM89" s="118" t="e">
        <f t="shared" si="26"/>
        <v>#VALUE!</v>
      </c>
      <c r="BN89" s="118" t="e">
        <f>BM89^3+BK82*BM89+BL82</f>
        <v>#VALUE!</v>
      </c>
      <c r="BO89" s="118" t="e">
        <f>3*BM89^2+BK82</f>
        <v>#VALUE!</v>
      </c>
      <c r="BP89" s="118" t="e">
        <f t="shared" si="21"/>
        <v>#VALUE!</v>
      </c>
      <c r="BQ89" s="119"/>
      <c r="BR89" s="120"/>
      <c r="BT89" s="121"/>
      <c r="BU89" s="122"/>
      <c r="BV89" s="118" t="e">
        <f t="shared" si="27"/>
        <v>#VALUE!</v>
      </c>
      <c r="BW89" s="118" t="e">
        <f>BV89^3+BT82*BV89+BU82</f>
        <v>#VALUE!</v>
      </c>
      <c r="BX89" s="118" t="e">
        <f>3*BV89^2+BT82</f>
        <v>#VALUE!</v>
      </c>
      <c r="BY89" s="118" t="e">
        <f t="shared" si="22"/>
        <v>#VALUE!</v>
      </c>
      <c r="BZ89" s="119"/>
      <c r="CA89" s="120"/>
    </row>
    <row r="90" spans="36:79" ht="18" hidden="1" customHeight="1" x14ac:dyDescent="0.15">
      <c r="AJ90" s="269" t="s">
        <v>244</v>
      </c>
      <c r="AK90" s="270"/>
      <c r="AL90" s="118" t="e">
        <f t="shared" si="23"/>
        <v>#VALUE!</v>
      </c>
      <c r="AM90" s="118" t="e">
        <f>AL90^3+AJ82*AL90+AK82</f>
        <v>#VALUE!</v>
      </c>
      <c r="AN90" s="118" t="e">
        <f>3*AL90^2+AJ82</f>
        <v>#VALUE!</v>
      </c>
      <c r="AO90" s="118" t="e">
        <f t="shared" si="18"/>
        <v>#VALUE!</v>
      </c>
      <c r="AP90" s="14" t="s">
        <v>245</v>
      </c>
      <c r="AQ90" s="123" t="e">
        <f>AO96</f>
        <v>#VALUE!</v>
      </c>
      <c r="AS90" s="269" t="s">
        <v>244</v>
      </c>
      <c r="AT90" s="270"/>
      <c r="AU90" s="118" t="e">
        <f t="shared" si="24"/>
        <v>#VALUE!</v>
      </c>
      <c r="AV90" s="118" t="e">
        <f>AU90^3+AS82*AU90+AT82</f>
        <v>#VALUE!</v>
      </c>
      <c r="AW90" s="118" t="e">
        <f>3*AU90^2+AS82</f>
        <v>#VALUE!</v>
      </c>
      <c r="AX90" s="118" t="e">
        <f t="shared" si="19"/>
        <v>#VALUE!</v>
      </c>
      <c r="AY90" s="14" t="s">
        <v>245</v>
      </c>
      <c r="AZ90" s="123" t="e">
        <f>AX96</f>
        <v>#VALUE!</v>
      </c>
      <c r="BB90" s="269" t="s">
        <v>244</v>
      </c>
      <c r="BC90" s="270"/>
      <c r="BD90" s="118" t="e">
        <f t="shared" si="25"/>
        <v>#VALUE!</v>
      </c>
      <c r="BE90" s="118" t="e">
        <f>BD90^3+BB82*BD90+BC82</f>
        <v>#VALUE!</v>
      </c>
      <c r="BF90" s="118" t="e">
        <f>3*BD90^2+BB82</f>
        <v>#VALUE!</v>
      </c>
      <c r="BG90" s="118" t="e">
        <f t="shared" si="20"/>
        <v>#VALUE!</v>
      </c>
      <c r="BH90" s="14" t="s">
        <v>245</v>
      </c>
      <c r="BI90" s="123" t="e">
        <f>BG96</f>
        <v>#VALUE!</v>
      </c>
      <c r="BK90" s="269" t="s">
        <v>244</v>
      </c>
      <c r="BL90" s="270"/>
      <c r="BM90" s="118" t="e">
        <f t="shared" si="26"/>
        <v>#VALUE!</v>
      </c>
      <c r="BN90" s="118" t="e">
        <f>BM90^3+BK82*BM90+BL82</f>
        <v>#VALUE!</v>
      </c>
      <c r="BO90" s="118" t="e">
        <f>3*BM90^2+BK82</f>
        <v>#VALUE!</v>
      </c>
      <c r="BP90" s="118" t="e">
        <f t="shared" si="21"/>
        <v>#VALUE!</v>
      </c>
      <c r="BQ90" s="14" t="s">
        <v>245</v>
      </c>
      <c r="BR90" s="123" t="e">
        <f>BP96</f>
        <v>#VALUE!</v>
      </c>
      <c r="BT90" s="269" t="s">
        <v>244</v>
      </c>
      <c r="BU90" s="270"/>
      <c r="BV90" s="118" t="e">
        <f t="shared" si="27"/>
        <v>#VALUE!</v>
      </c>
      <c r="BW90" s="118" t="e">
        <f>BV90^3+BT82*BV90+BU82</f>
        <v>#VALUE!</v>
      </c>
      <c r="BX90" s="118" t="e">
        <f>3*BV90^2+BT82</f>
        <v>#VALUE!</v>
      </c>
      <c r="BY90" s="118" t="e">
        <f t="shared" si="22"/>
        <v>#VALUE!</v>
      </c>
      <c r="BZ90" s="14" t="s">
        <v>245</v>
      </c>
      <c r="CA90" s="123" t="e">
        <f>BY96</f>
        <v>#VALUE!</v>
      </c>
    </row>
    <row r="91" spans="36:79" ht="18" hidden="1" customHeight="1" x14ac:dyDescent="0.15">
      <c r="AJ91" s="271" t="e">
        <f>AJ88*AL98*AJ98/AK98</f>
        <v>#VALUE!</v>
      </c>
      <c r="AK91" s="272"/>
      <c r="AL91" s="118" t="e">
        <f t="shared" si="23"/>
        <v>#VALUE!</v>
      </c>
      <c r="AM91" s="118" t="e">
        <f>AL91^3+AJ82*AL91+AK82</f>
        <v>#VALUE!</v>
      </c>
      <c r="AN91" s="118" t="e">
        <f>3*AL91^2+AJ82</f>
        <v>#VALUE!</v>
      </c>
      <c r="AO91" s="118" t="e">
        <f t="shared" si="18"/>
        <v>#VALUE!</v>
      </c>
      <c r="AP91" s="14" t="s">
        <v>246</v>
      </c>
      <c r="AQ91" s="124" t="e">
        <f>AJ98*AM98^2/(8*AO96)</f>
        <v>#VALUE!</v>
      </c>
      <c r="AS91" s="271" t="e">
        <f>AS88*AU98*AS98/AT98</f>
        <v>#VALUE!</v>
      </c>
      <c r="AT91" s="272"/>
      <c r="AU91" s="118" t="e">
        <f t="shared" si="24"/>
        <v>#VALUE!</v>
      </c>
      <c r="AV91" s="118" t="e">
        <f>AU91^3+AS82*AU91+AT82</f>
        <v>#VALUE!</v>
      </c>
      <c r="AW91" s="118" t="e">
        <f>3*AU91^2+AS82</f>
        <v>#VALUE!</v>
      </c>
      <c r="AX91" s="118" t="e">
        <f t="shared" si="19"/>
        <v>#VALUE!</v>
      </c>
      <c r="AY91" s="14" t="s">
        <v>246</v>
      </c>
      <c r="AZ91" s="124" t="e">
        <f>AS98*AV98^2/(8*AX96)</f>
        <v>#VALUE!</v>
      </c>
      <c r="BB91" s="271" t="e">
        <f>BB88*BD98*BB98/BC98</f>
        <v>#VALUE!</v>
      </c>
      <c r="BC91" s="272"/>
      <c r="BD91" s="118" t="e">
        <f t="shared" si="25"/>
        <v>#VALUE!</v>
      </c>
      <c r="BE91" s="118" t="e">
        <f>BD91^3+BB82*BD91+BC82</f>
        <v>#VALUE!</v>
      </c>
      <c r="BF91" s="118" t="e">
        <f>3*BD91^2+BB82</f>
        <v>#VALUE!</v>
      </c>
      <c r="BG91" s="118" t="e">
        <f t="shared" si="20"/>
        <v>#VALUE!</v>
      </c>
      <c r="BH91" s="14" t="s">
        <v>246</v>
      </c>
      <c r="BI91" s="124" t="e">
        <f>BB98*BE98^2/(8*BG96)</f>
        <v>#VALUE!</v>
      </c>
      <c r="BK91" s="271" t="e">
        <f>BK88*BM98*BK98/BL98</f>
        <v>#VALUE!</v>
      </c>
      <c r="BL91" s="272"/>
      <c r="BM91" s="118" t="e">
        <f t="shared" si="26"/>
        <v>#VALUE!</v>
      </c>
      <c r="BN91" s="118" t="e">
        <f>BM91^3+BK82*BM91+BL82</f>
        <v>#VALUE!</v>
      </c>
      <c r="BO91" s="118" t="e">
        <f>3*BM91^2+BK82</f>
        <v>#VALUE!</v>
      </c>
      <c r="BP91" s="118" t="e">
        <f t="shared" si="21"/>
        <v>#VALUE!</v>
      </c>
      <c r="BQ91" s="14" t="s">
        <v>246</v>
      </c>
      <c r="BR91" s="124" t="e">
        <f>BK98*BN98^2/(8*BP96)</f>
        <v>#VALUE!</v>
      </c>
      <c r="BT91" s="271" t="e">
        <f>BT88*BV98*BT98/BU98</f>
        <v>#VALUE!</v>
      </c>
      <c r="BU91" s="272"/>
      <c r="BV91" s="118" t="e">
        <f t="shared" si="27"/>
        <v>#VALUE!</v>
      </c>
      <c r="BW91" s="118" t="e">
        <f>BV91^3+BT82*BV91+BU82</f>
        <v>#VALUE!</v>
      </c>
      <c r="BX91" s="118" t="e">
        <f>3*BV91^2+BT82</f>
        <v>#VALUE!</v>
      </c>
      <c r="BY91" s="118" t="e">
        <f t="shared" si="22"/>
        <v>#VALUE!</v>
      </c>
      <c r="BZ91" s="14" t="s">
        <v>246</v>
      </c>
      <c r="CA91" s="124" t="e">
        <f>BT98*BW98^2/(8*BY96)</f>
        <v>#VALUE!</v>
      </c>
    </row>
    <row r="92" spans="36:79" ht="18" hidden="1" customHeight="1" x14ac:dyDescent="0.15">
      <c r="AJ92" s="125"/>
      <c r="AK92" s="126"/>
      <c r="AL92" s="118" t="e">
        <f t="shared" si="23"/>
        <v>#VALUE!</v>
      </c>
      <c r="AM92" s="118" t="e">
        <f>AL92^3+AJ82*AL92+AK82</f>
        <v>#VALUE!</v>
      </c>
      <c r="AN92" s="118" t="e">
        <f>3*AL92^2+AJ82</f>
        <v>#VALUE!</v>
      </c>
      <c r="AO92" s="118" t="e">
        <f t="shared" si="18"/>
        <v>#VALUE!</v>
      </c>
      <c r="AP92" s="116"/>
      <c r="AQ92" s="117"/>
      <c r="AS92" s="125"/>
      <c r="AT92" s="126"/>
      <c r="AU92" s="118" t="e">
        <f t="shared" si="24"/>
        <v>#VALUE!</v>
      </c>
      <c r="AV92" s="118" t="e">
        <f>AU92^3+AS82*AU92+AT82</f>
        <v>#VALUE!</v>
      </c>
      <c r="AW92" s="118" t="e">
        <f>3*AU92^2+AS82</f>
        <v>#VALUE!</v>
      </c>
      <c r="AX92" s="118" t="e">
        <f t="shared" si="19"/>
        <v>#VALUE!</v>
      </c>
      <c r="AY92" s="116"/>
      <c r="AZ92" s="117"/>
      <c r="BB92" s="125"/>
      <c r="BC92" s="126"/>
      <c r="BD92" s="118" t="e">
        <f t="shared" si="25"/>
        <v>#VALUE!</v>
      </c>
      <c r="BE92" s="118" t="e">
        <f>BD92^3+BB82*BD92+BC82</f>
        <v>#VALUE!</v>
      </c>
      <c r="BF92" s="118" t="e">
        <f>3*BD92^2+BB82</f>
        <v>#VALUE!</v>
      </c>
      <c r="BG92" s="118" t="e">
        <f t="shared" si="20"/>
        <v>#VALUE!</v>
      </c>
      <c r="BH92" s="116"/>
      <c r="BI92" s="117"/>
      <c r="BK92" s="125"/>
      <c r="BL92" s="126"/>
      <c r="BM92" s="118" t="e">
        <f t="shared" si="26"/>
        <v>#VALUE!</v>
      </c>
      <c r="BN92" s="118" t="e">
        <f>BM92^3+BK82*BM92+BL82</f>
        <v>#VALUE!</v>
      </c>
      <c r="BO92" s="118" t="e">
        <f>3*BM92^2+BK82</f>
        <v>#VALUE!</v>
      </c>
      <c r="BP92" s="118" t="e">
        <f t="shared" si="21"/>
        <v>#VALUE!</v>
      </c>
      <c r="BQ92" s="116"/>
      <c r="BR92" s="117"/>
      <c r="BT92" s="125"/>
      <c r="BU92" s="126"/>
      <c r="BV92" s="118" t="e">
        <f t="shared" si="27"/>
        <v>#VALUE!</v>
      </c>
      <c r="BW92" s="118" t="e">
        <f>BV92^3+BT82*BV92+BU82</f>
        <v>#VALUE!</v>
      </c>
      <c r="BX92" s="118" t="e">
        <f>3*BV92^2+BT82</f>
        <v>#VALUE!</v>
      </c>
      <c r="BY92" s="118" t="e">
        <f t="shared" si="22"/>
        <v>#VALUE!</v>
      </c>
      <c r="BZ92" s="116"/>
      <c r="CA92" s="117"/>
    </row>
    <row r="93" spans="36:79" ht="18" hidden="1" customHeight="1" x14ac:dyDescent="0.15">
      <c r="AJ93" s="125"/>
      <c r="AK93" s="126"/>
      <c r="AL93" s="118" t="e">
        <f t="shared" si="23"/>
        <v>#VALUE!</v>
      </c>
      <c r="AM93" s="118" t="e">
        <f>AL93^3+AJ82*AL93+AK82</f>
        <v>#VALUE!</v>
      </c>
      <c r="AN93" s="118" t="e">
        <f>3*AL93^2+AJ82</f>
        <v>#VALUE!</v>
      </c>
      <c r="AO93" s="118" t="e">
        <f t="shared" si="18"/>
        <v>#VALUE!</v>
      </c>
      <c r="AP93" s="112" t="s">
        <v>147</v>
      </c>
      <c r="AQ93" s="113">
        <v>-15</v>
      </c>
      <c r="AS93" s="125"/>
      <c r="AT93" s="126"/>
      <c r="AU93" s="118" t="e">
        <f t="shared" si="24"/>
        <v>#VALUE!</v>
      </c>
      <c r="AV93" s="118" t="e">
        <f>AU93^3+AS82*AU93+AT82</f>
        <v>#VALUE!</v>
      </c>
      <c r="AW93" s="118" t="e">
        <f>3*AU93^2+AS82</f>
        <v>#VALUE!</v>
      </c>
      <c r="AX93" s="118" t="e">
        <f t="shared" si="19"/>
        <v>#VALUE!</v>
      </c>
      <c r="AY93" s="112" t="s">
        <v>147</v>
      </c>
      <c r="AZ93" s="113">
        <v>-15</v>
      </c>
      <c r="BB93" s="125"/>
      <c r="BC93" s="126"/>
      <c r="BD93" s="118" t="e">
        <f t="shared" si="25"/>
        <v>#VALUE!</v>
      </c>
      <c r="BE93" s="118" t="e">
        <f>BD93^3+BB82*BD93+BC82</f>
        <v>#VALUE!</v>
      </c>
      <c r="BF93" s="118" t="e">
        <f>3*BD93^2+BB82</f>
        <v>#VALUE!</v>
      </c>
      <c r="BG93" s="118" t="e">
        <f t="shared" si="20"/>
        <v>#VALUE!</v>
      </c>
      <c r="BH93" s="112" t="s">
        <v>147</v>
      </c>
      <c r="BI93" s="113">
        <v>-15</v>
      </c>
      <c r="BK93" s="125"/>
      <c r="BL93" s="126"/>
      <c r="BM93" s="118" t="e">
        <f t="shared" si="26"/>
        <v>#VALUE!</v>
      </c>
      <c r="BN93" s="118" t="e">
        <f>BM93^3+BK82*BM93+BL82</f>
        <v>#VALUE!</v>
      </c>
      <c r="BO93" s="118" t="e">
        <f>3*BM93^2+BK82</f>
        <v>#VALUE!</v>
      </c>
      <c r="BP93" s="118" t="e">
        <f t="shared" si="21"/>
        <v>#VALUE!</v>
      </c>
      <c r="BQ93" s="112" t="s">
        <v>147</v>
      </c>
      <c r="BR93" s="113">
        <v>-15</v>
      </c>
      <c r="BT93" s="125"/>
      <c r="BU93" s="126"/>
      <c r="BV93" s="118" t="e">
        <f t="shared" si="27"/>
        <v>#VALUE!</v>
      </c>
      <c r="BW93" s="118" t="e">
        <f>BV93^3+BT82*BV93+BU82</f>
        <v>#VALUE!</v>
      </c>
      <c r="BX93" s="118" t="e">
        <f>3*BV93^2+BT82</f>
        <v>#VALUE!</v>
      </c>
      <c r="BY93" s="118" t="e">
        <f t="shared" si="22"/>
        <v>#VALUE!</v>
      </c>
      <c r="BZ93" s="112" t="s">
        <v>147</v>
      </c>
      <c r="CA93" s="113">
        <v>-15</v>
      </c>
    </row>
    <row r="94" spans="36:79" ht="18" hidden="1" customHeight="1" x14ac:dyDescent="0.15">
      <c r="AJ94" s="125"/>
      <c r="AK94" s="126"/>
      <c r="AL94" s="118" t="e">
        <f t="shared" si="23"/>
        <v>#VALUE!</v>
      </c>
      <c r="AM94" s="118" t="e">
        <f>AL94^3+AJ82*AL94+AK82</f>
        <v>#VALUE!</v>
      </c>
      <c r="AN94" s="118" t="e">
        <f>3*AL94^2+AJ82</f>
        <v>#VALUE!</v>
      </c>
      <c r="AO94" s="118" t="e">
        <f t="shared" si="18"/>
        <v>#VALUE!</v>
      </c>
      <c r="AP94" s="128" t="s">
        <v>218</v>
      </c>
      <c r="AQ94" s="32"/>
      <c r="AS94" s="125"/>
      <c r="AT94" s="126"/>
      <c r="AU94" s="118" t="e">
        <f t="shared" si="24"/>
        <v>#VALUE!</v>
      </c>
      <c r="AV94" s="118" t="e">
        <f>AU94^3+AS82*AU94+AT82</f>
        <v>#VALUE!</v>
      </c>
      <c r="AW94" s="118" t="e">
        <f>3*AU94^2+AS82</f>
        <v>#VALUE!</v>
      </c>
      <c r="AX94" s="118" t="e">
        <f t="shared" si="19"/>
        <v>#VALUE!</v>
      </c>
      <c r="AY94" s="128" t="s">
        <v>219</v>
      </c>
      <c r="AZ94" s="32"/>
      <c r="BB94" s="125"/>
      <c r="BC94" s="126"/>
      <c r="BD94" s="118" t="e">
        <f t="shared" si="25"/>
        <v>#VALUE!</v>
      </c>
      <c r="BE94" s="118" t="e">
        <f>BD94^3+BB82*BD94+BC82</f>
        <v>#VALUE!</v>
      </c>
      <c r="BF94" s="118" t="e">
        <f>3*BD94^2+BB82</f>
        <v>#VALUE!</v>
      </c>
      <c r="BG94" s="118" t="e">
        <f t="shared" si="20"/>
        <v>#VALUE!</v>
      </c>
      <c r="BH94" s="128" t="s">
        <v>220</v>
      </c>
      <c r="BI94" s="32"/>
      <c r="BK94" s="125"/>
      <c r="BL94" s="126"/>
      <c r="BM94" s="118" t="e">
        <f t="shared" si="26"/>
        <v>#VALUE!</v>
      </c>
      <c r="BN94" s="118" t="e">
        <f>BM94^3+BK82*BM94+BL82</f>
        <v>#VALUE!</v>
      </c>
      <c r="BO94" s="118" t="e">
        <f>3*BM94^2+BK82</f>
        <v>#VALUE!</v>
      </c>
      <c r="BP94" s="118" t="e">
        <f t="shared" si="21"/>
        <v>#VALUE!</v>
      </c>
      <c r="BQ94" s="128" t="s">
        <v>221</v>
      </c>
      <c r="BR94" s="32"/>
      <c r="BT94" s="125"/>
      <c r="BU94" s="126"/>
      <c r="BV94" s="118" t="e">
        <f t="shared" si="27"/>
        <v>#VALUE!</v>
      </c>
      <c r="BW94" s="118" t="e">
        <f>BV94^3+BT82*BV94+BU82</f>
        <v>#VALUE!</v>
      </c>
      <c r="BX94" s="118" t="e">
        <f>3*BV94^2+BT82</f>
        <v>#VALUE!</v>
      </c>
      <c r="BY94" s="118" t="e">
        <f t="shared" si="22"/>
        <v>#VALUE!</v>
      </c>
      <c r="BZ94" s="128" t="s">
        <v>222</v>
      </c>
      <c r="CA94" s="32"/>
    </row>
    <row r="95" spans="36:79" ht="18" hidden="1" customHeight="1" x14ac:dyDescent="0.15">
      <c r="AJ95" s="125"/>
      <c r="AK95" s="126"/>
      <c r="AL95" s="18" t="e">
        <f t="shared" si="23"/>
        <v>#VALUE!</v>
      </c>
      <c r="AM95" s="18" t="e">
        <f>AL95^3+AJ82*AL95+AK82</f>
        <v>#VALUE!</v>
      </c>
      <c r="AN95" s="18" t="e">
        <f>3*AL95^2+AJ82</f>
        <v>#VALUE!</v>
      </c>
      <c r="AO95" s="18" t="e">
        <f t="shared" si="18"/>
        <v>#VALUE!</v>
      </c>
      <c r="AP95" s="283" t="str">
        <f>M50</f>
        <v>無 着 氷 雪 時
-15[℃],50[Kg/ｍ2]</v>
      </c>
      <c r="AQ95" s="284"/>
      <c r="AS95" s="125"/>
      <c r="AT95" s="126"/>
      <c r="AU95" s="18" t="e">
        <f t="shared" si="24"/>
        <v>#VALUE!</v>
      </c>
      <c r="AV95" s="18" t="e">
        <f>AU95^3+AS82*AU95+AT82</f>
        <v>#VALUE!</v>
      </c>
      <c r="AW95" s="18" t="e">
        <f>3*AU95^2+AS82</f>
        <v>#VALUE!</v>
      </c>
      <c r="AX95" s="18" t="e">
        <f t="shared" si="19"/>
        <v>#VALUE!</v>
      </c>
      <c r="AY95" s="283" t="str">
        <f>M50</f>
        <v>無 着 氷 雪 時
-15[℃],50[Kg/ｍ2]</v>
      </c>
      <c r="AZ95" s="284"/>
      <c r="BB95" s="125"/>
      <c r="BC95" s="126"/>
      <c r="BD95" s="18" t="e">
        <f t="shared" si="25"/>
        <v>#VALUE!</v>
      </c>
      <c r="BE95" s="18" t="e">
        <f>BD95^3+BB82*BD95+BC82</f>
        <v>#VALUE!</v>
      </c>
      <c r="BF95" s="18" t="e">
        <f>3*BD95^2+BB82</f>
        <v>#VALUE!</v>
      </c>
      <c r="BG95" s="18" t="e">
        <f t="shared" si="20"/>
        <v>#VALUE!</v>
      </c>
      <c r="BH95" s="283" t="str">
        <f>M50</f>
        <v>無 着 氷 雪 時
-15[℃],50[Kg/ｍ2]</v>
      </c>
      <c r="BI95" s="284"/>
      <c r="BK95" s="125"/>
      <c r="BL95" s="126"/>
      <c r="BM95" s="18" t="e">
        <f t="shared" si="26"/>
        <v>#VALUE!</v>
      </c>
      <c r="BN95" s="18" t="e">
        <f>BM95^3+BK82*BM95+BL82</f>
        <v>#VALUE!</v>
      </c>
      <c r="BO95" s="18" t="e">
        <f>3*BM95^2+BK82</f>
        <v>#VALUE!</v>
      </c>
      <c r="BP95" s="18" t="e">
        <f t="shared" si="21"/>
        <v>#VALUE!</v>
      </c>
      <c r="BQ95" s="283" t="str">
        <f>M50</f>
        <v>無 着 氷 雪 時
-15[℃],50[Kg/ｍ2]</v>
      </c>
      <c r="BR95" s="284"/>
      <c r="BT95" s="125"/>
      <c r="BU95" s="126"/>
      <c r="BV95" s="18" t="e">
        <f t="shared" si="27"/>
        <v>#VALUE!</v>
      </c>
      <c r="BW95" s="18" t="e">
        <f>BV95^3+BT82*BV95+BU82</f>
        <v>#VALUE!</v>
      </c>
      <c r="BX95" s="18" t="e">
        <f>3*BV95^2+BT82</f>
        <v>#VALUE!</v>
      </c>
      <c r="BY95" s="18" t="e">
        <f t="shared" si="22"/>
        <v>#VALUE!</v>
      </c>
      <c r="BZ95" s="283" t="str">
        <f>M50</f>
        <v>無 着 氷 雪 時
-15[℃],50[Kg/ｍ2]</v>
      </c>
      <c r="CA95" s="284"/>
    </row>
    <row r="96" spans="36:79" ht="18" hidden="1" customHeight="1" thickBot="1" x14ac:dyDescent="0.2">
      <c r="AJ96" s="125"/>
      <c r="AK96" s="126"/>
      <c r="AL96" s="114" t="e">
        <f t="shared" si="23"/>
        <v>#VALUE!</v>
      </c>
      <c r="AM96" s="115" t="e">
        <f>AL96^3+AJ82*AL96+AK82</f>
        <v>#VALUE!</v>
      </c>
      <c r="AN96" s="115" t="e">
        <f>3*AL96^2+AJ82</f>
        <v>#VALUE!</v>
      </c>
      <c r="AO96" s="115" t="e">
        <f t="shared" si="18"/>
        <v>#VALUE!</v>
      </c>
      <c r="AP96" s="285"/>
      <c r="AQ96" s="286"/>
      <c r="AS96" s="125"/>
      <c r="AT96" s="126"/>
      <c r="AU96" s="114" t="e">
        <f t="shared" si="24"/>
        <v>#VALUE!</v>
      </c>
      <c r="AV96" s="115" t="e">
        <f>AU96^3+AS82*AU96+AT82</f>
        <v>#VALUE!</v>
      </c>
      <c r="AW96" s="115" t="e">
        <f>3*AU96^2+AS82</f>
        <v>#VALUE!</v>
      </c>
      <c r="AX96" s="115" t="e">
        <f t="shared" si="19"/>
        <v>#VALUE!</v>
      </c>
      <c r="AY96" s="285"/>
      <c r="AZ96" s="286"/>
      <c r="BB96" s="125"/>
      <c r="BC96" s="126"/>
      <c r="BD96" s="114" t="e">
        <f t="shared" si="25"/>
        <v>#VALUE!</v>
      </c>
      <c r="BE96" s="115" t="e">
        <f>BD96^3+BB82*BD96+BC82</f>
        <v>#VALUE!</v>
      </c>
      <c r="BF96" s="115" t="e">
        <f>3*BD96^2+BB82</f>
        <v>#VALUE!</v>
      </c>
      <c r="BG96" s="115" t="e">
        <f t="shared" si="20"/>
        <v>#VALUE!</v>
      </c>
      <c r="BH96" s="285"/>
      <c r="BI96" s="286"/>
      <c r="BK96" s="125"/>
      <c r="BL96" s="126"/>
      <c r="BM96" s="114" t="e">
        <f t="shared" si="26"/>
        <v>#VALUE!</v>
      </c>
      <c r="BN96" s="115" t="e">
        <f>BM96^3+BK82*BM96+BL82</f>
        <v>#VALUE!</v>
      </c>
      <c r="BO96" s="115" t="e">
        <f>3*BM96^2+BK82</f>
        <v>#VALUE!</v>
      </c>
      <c r="BP96" s="115" t="e">
        <f t="shared" si="21"/>
        <v>#VALUE!</v>
      </c>
      <c r="BQ96" s="285"/>
      <c r="BR96" s="286"/>
      <c r="BT96" s="125"/>
      <c r="BU96" s="126"/>
      <c r="BV96" s="114" t="e">
        <f t="shared" si="27"/>
        <v>#VALUE!</v>
      </c>
      <c r="BW96" s="115" t="e">
        <f>BV96^3+BT82*BV96+BU82</f>
        <v>#VALUE!</v>
      </c>
      <c r="BX96" s="115" t="e">
        <f>3*BV96^2+BT82</f>
        <v>#VALUE!</v>
      </c>
      <c r="BY96" s="115" t="e">
        <f t="shared" si="22"/>
        <v>#VALUE!</v>
      </c>
      <c r="BZ96" s="285"/>
      <c r="CA96" s="286"/>
    </row>
    <row r="97" spans="36:79" ht="18" hidden="1" customHeight="1" x14ac:dyDescent="0.15">
      <c r="AJ97" s="62" t="s">
        <v>223</v>
      </c>
      <c r="AK97" s="12" t="s">
        <v>224</v>
      </c>
      <c r="AL97" s="12" t="s">
        <v>225</v>
      </c>
      <c r="AM97" s="12" t="s">
        <v>226</v>
      </c>
      <c r="AN97" s="12" t="s">
        <v>227</v>
      </c>
      <c r="AO97" s="63" t="s">
        <v>228</v>
      </c>
      <c r="AP97" s="12" t="s">
        <v>229</v>
      </c>
      <c r="AQ97" s="13" t="s">
        <v>230</v>
      </c>
      <c r="AS97" s="62" t="s">
        <v>223</v>
      </c>
      <c r="AT97" s="12" t="s">
        <v>224</v>
      </c>
      <c r="AU97" s="12" t="s">
        <v>225</v>
      </c>
      <c r="AV97" s="12" t="s">
        <v>226</v>
      </c>
      <c r="AW97" s="12" t="s">
        <v>227</v>
      </c>
      <c r="AX97" s="63" t="s">
        <v>228</v>
      </c>
      <c r="AY97" s="12" t="s">
        <v>229</v>
      </c>
      <c r="AZ97" s="13" t="s">
        <v>230</v>
      </c>
      <c r="BB97" s="62" t="s">
        <v>223</v>
      </c>
      <c r="BC97" s="12" t="s">
        <v>224</v>
      </c>
      <c r="BD97" s="12" t="s">
        <v>225</v>
      </c>
      <c r="BE97" s="12" t="s">
        <v>226</v>
      </c>
      <c r="BF97" s="12" t="s">
        <v>227</v>
      </c>
      <c r="BG97" s="63" t="s">
        <v>228</v>
      </c>
      <c r="BH97" s="12" t="s">
        <v>229</v>
      </c>
      <c r="BI97" s="13" t="s">
        <v>230</v>
      </c>
      <c r="BK97" s="62" t="s">
        <v>223</v>
      </c>
      <c r="BL97" s="12" t="s">
        <v>224</v>
      </c>
      <c r="BM97" s="12" t="s">
        <v>225</v>
      </c>
      <c r="BN97" s="12" t="s">
        <v>226</v>
      </c>
      <c r="BO97" s="12" t="s">
        <v>227</v>
      </c>
      <c r="BP97" s="63" t="s">
        <v>228</v>
      </c>
      <c r="BQ97" s="12" t="s">
        <v>229</v>
      </c>
      <c r="BR97" s="13" t="s">
        <v>230</v>
      </c>
      <c r="BT97" s="62" t="s">
        <v>223</v>
      </c>
      <c r="BU97" s="12" t="s">
        <v>224</v>
      </c>
      <c r="BV97" s="12" t="s">
        <v>225</v>
      </c>
      <c r="BW97" s="12" t="s">
        <v>226</v>
      </c>
      <c r="BX97" s="12" t="s">
        <v>227</v>
      </c>
      <c r="BY97" s="63" t="s">
        <v>228</v>
      </c>
      <c r="BZ97" s="12" t="s">
        <v>229</v>
      </c>
      <c r="CA97" s="13" t="s">
        <v>230</v>
      </c>
    </row>
    <row r="98" spans="36:79" ht="18" hidden="1" customHeight="1" thickBot="1" x14ac:dyDescent="0.2">
      <c r="AJ98" s="107" t="str">
        <f>Q23</f>
        <v/>
      </c>
      <c r="AK98" s="108" t="e">
        <f>M23+U23</f>
        <v>#VALUE!</v>
      </c>
      <c r="AL98" s="108">
        <f>IF(C33="",L19*(F19/40)^2,C33)</f>
        <v>0</v>
      </c>
      <c r="AM98" s="108">
        <f>F19</f>
        <v>0</v>
      </c>
      <c r="AN98" s="108" t="e">
        <f>AK78*1600/(8*L19)</f>
        <v>#VALUE!</v>
      </c>
      <c r="AO98" s="109">
        <f>V23</f>
        <v>0</v>
      </c>
      <c r="AP98" s="108" t="str">
        <f>L23</f>
        <v/>
      </c>
      <c r="AQ98" s="110">
        <f>W23</f>
        <v>0</v>
      </c>
      <c r="AS98" s="107" t="str">
        <f>IF(B24="使用電線-2",Q24,IF(B25="使用電線-2",Q25,IF(B26="使用電線-2",Q26,IF(B27="使用電線-2",Q27,IF(B28="使用電線-2",Q28,IF(B29="使用電線-2",Q29,""))))))</f>
        <v/>
      </c>
      <c r="AT98" s="108" t="str">
        <f>IF(B24="使用電線-2",M24+U24,IF(B25="使用電線-2",M25+U25,IF(B26="使用電線-2",M26+U26,IF(B27="使用電線-2",M27+U27,IF(B28="使用電線-2",M28+U28,IF(B29="使用電線-2",M29+U29,""))))))</f>
        <v/>
      </c>
      <c r="AU98" s="108">
        <f>IF(I33="",L19*(F19/40)^2,I33)</f>
        <v>0</v>
      </c>
      <c r="AV98" s="108">
        <f>F19</f>
        <v>0</v>
      </c>
      <c r="AW98" s="108" t="e">
        <f>AT98*1600/(8*L19)</f>
        <v>#VALUE!</v>
      </c>
      <c r="AX98" s="109" t="str">
        <f>IF(B24="使用電線-2",V24,IF(B25="使用電線-2",V25,IF(B26="使用電線-2",V26,IF(B27="使用電線-2",V27,IF(B28="使用電線-2",V28,IF(B29="使用電線-2",V29,""))))))</f>
        <v/>
      </c>
      <c r="AY98" s="108" t="str">
        <f>IF(B24="使用電線-2",L24,IF(B25="使用電線-2",L25,IF(B26="使用電線-2",L26,IF(B27="使用電線-2",L27,IF(B28="使用電線-2",L28,IF(B29="使用電線-2",L29,""))))))</f>
        <v/>
      </c>
      <c r="AZ98" s="110" t="str">
        <f>IF(B24="使用電線-2",W24,IF(B25="使用電線-2",W25,IF(B26="使用電線-2",W26,IF(B27="使用電線-2",W27,IF(B28="使用電線-2",W28,IF(B29="使用電線-2",W29,""))))))</f>
        <v/>
      </c>
      <c r="BB98" s="107" t="str">
        <f>IF(B25="使用電線-3",Q25,IF(B26="使用電線-3",Q26,IF(B27="使用電線-3",Q27,IF(B28="使用電線-3",Q28,IF(B29="使用電線-3",Q29,"")))))</f>
        <v/>
      </c>
      <c r="BC98" s="108" t="str">
        <f>IF(B25="使用電線-3",M25+U25,IF(B26="使用電線-3",M26+U26,IF(B27="使用電線-3",M27+U27,IF(B28="使用電線-3",M28+U28,IF(B29="使用電線-3",M29+U29,"")))))</f>
        <v/>
      </c>
      <c r="BD98" s="108">
        <f>IF(N33="",L19*(F19/40)^2,N33)</f>
        <v>0</v>
      </c>
      <c r="BE98" s="108">
        <f>F19</f>
        <v>0</v>
      </c>
      <c r="BF98" s="108" t="e">
        <f>BC98*1600/(8*L19)</f>
        <v>#VALUE!</v>
      </c>
      <c r="BG98" s="109" t="str">
        <f>IF(B25="使用電線-3",V25,IF(B26="使用電線-3",V26,IF(B27="使用電線-3",V27,IF(B28="使用電線-3",V28,IF(B29="使用電線-3",V29,"")))))</f>
        <v/>
      </c>
      <c r="BH98" s="108" t="str">
        <f>IF(B25="使用電線-3",L25,IF(B26="使用電線-3",L26,IF(B27="使用電線-3",L27,IF(B28="使用電線-3",L28,IF(B29="使用電線-3",L29,"")))))</f>
        <v/>
      </c>
      <c r="BI98" s="110" t="str">
        <f>IF(B25="使用電線-3",W25,IF(B26="使用電線-3",W26,IF(B27="使用電線-3",W27,IF(B28="使用電線-3",W28,IF(B29="使用電線-3",W29,"")))))</f>
        <v/>
      </c>
      <c r="BK98" s="107" t="str">
        <f>IF(B26="使用電線-4",Q26,IF(B27="使用電線-4",Q27,IF(B28="使用電線-4",Q28,IF(B29="使用電線-4",Q29,""))))</f>
        <v/>
      </c>
      <c r="BL98" s="108" t="str">
        <f>IF(B26="使用電線-4",M26+U26,IF(B27="使用電線-4",M27+U27,IF(B28="使用電線-4",M28+U28,IF(B29="使用電線-4",M29+U29,""))))</f>
        <v/>
      </c>
      <c r="BM98" s="108">
        <f>IF(C47="",L19*(F19/40)^2,C47)</f>
        <v>0</v>
      </c>
      <c r="BN98" s="108">
        <f>F19</f>
        <v>0</v>
      </c>
      <c r="BO98" s="127" t="e">
        <f>BL98*1600/(8*L19)</f>
        <v>#VALUE!</v>
      </c>
      <c r="BP98" s="109" t="str">
        <f>IF(B26="使用電線-4",V26,IF(B27="使用電線-4",V27,IF(B28="使用電線-4",V28,IF(B29="使用電線-4",V29,""))))</f>
        <v/>
      </c>
      <c r="BQ98" s="108" t="str">
        <f>IF(B26="使用電線-4",L26,IF(B27="使用電線-4",L27,IF(B28="使用電線-4",L28,IF(B29="使用電線-4",L29,""))))</f>
        <v/>
      </c>
      <c r="BR98" s="110" t="str">
        <f>IF(B26="使用電線-4",W26,IF(B27="使用電線-4",W27,IF(B28="使用電線-4",W28,IF(B29="使用電線-4",W29,""))))</f>
        <v/>
      </c>
      <c r="BT98" s="107" t="str">
        <f>IF(B27="使用電線-5",Q27,IF(B28="使用電線-5",Q28,IF(B29="使用電線-5",Q29,"")))</f>
        <v/>
      </c>
      <c r="BU98" s="108" t="str">
        <f>IF(B27="使用電線-5",M27+U27,IF(B28="使用電線-5",M28+U28,IF(B29="使用電線-5",M29+U29,"")))</f>
        <v/>
      </c>
      <c r="BV98" s="108">
        <f>IF(I47="",L19*(F19/40)^2,I47)</f>
        <v>0</v>
      </c>
      <c r="BW98" s="108">
        <f>F19</f>
        <v>0</v>
      </c>
      <c r="BX98" s="127" t="e">
        <f>BU98*1600/(8*L19)</f>
        <v>#VALUE!</v>
      </c>
      <c r="BY98" s="109" t="str">
        <f>IF(B27="使用電線-5",V27,IF(B28="使用電線-5",V28,IF(B29="使用電線-5",V29,"")))</f>
        <v/>
      </c>
      <c r="BZ98" s="108" t="str">
        <f>IF(B27="使用電線-5",L27,IF(B28="使用電線-5",L28,IF(B29="使用電線-5",L29,"")))</f>
        <v/>
      </c>
      <c r="CA98" s="110" t="str">
        <f>IF(B27="使用電線-5",W27,IF(B28="使用電線-5",W28,IF(B29="使用電線-5",W29,"")))</f>
        <v/>
      </c>
    </row>
    <row r="99" spans="36:79" ht="18" hidden="1" customHeight="1" x14ac:dyDescent="0.15"/>
    <row r="100" spans="36:79" ht="18" hidden="1" customHeight="1" thickBot="1" x14ac:dyDescent="0.2"/>
    <row r="101" spans="36:79" ht="18" hidden="1" customHeight="1" x14ac:dyDescent="0.15">
      <c r="AJ101" s="2" t="s">
        <v>232</v>
      </c>
      <c r="AK101" s="111" t="s">
        <v>233</v>
      </c>
      <c r="AL101" s="12" t="s">
        <v>234</v>
      </c>
      <c r="AM101" s="12" t="s">
        <v>235</v>
      </c>
      <c r="AN101" s="12" t="s">
        <v>236</v>
      </c>
      <c r="AO101" s="12" t="s">
        <v>237</v>
      </c>
      <c r="AP101" s="12" t="s">
        <v>238</v>
      </c>
      <c r="AQ101" s="13" t="s">
        <v>239</v>
      </c>
      <c r="AS101" s="2" t="s">
        <v>232</v>
      </c>
      <c r="AT101" s="111" t="s">
        <v>233</v>
      </c>
      <c r="AU101" s="12" t="s">
        <v>234</v>
      </c>
      <c r="AV101" s="12" t="s">
        <v>235</v>
      </c>
      <c r="AW101" s="12" t="s">
        <v>236</v>
      </c>
      <c r="AX101" s="12" t="s">
        <v>237</v>
      </c>
      <c r="AY101" s="12" t="s">
        <v>238</v>
      </c>
      <c r="AZ101" s="13" t="s">
        <v>239</v>
      </c>
      <c r="BB101" s="2" t="s">
        <v>232</v>
      </c>
      <c r="BC101" s="111" t="s">
        <v>233</v>
      </c>
      <c r="BD101" s="12" t="s">
        <v>234</v>
      </c>
      <c r="BE101" s="12" t="s">
        <v>235</v>
      </c>
      <c r="BF101" s="12" t="s">
        <v>236</v>
      </c>
      <c r="BG101" s="12" t="s">
        <v>237</v>
      </c>
      <c r="BH101" s="12" t="s">
        <v>238</v>
      </c>
      <c r="BI101" s="13" t="s">
        <v>239</v>
      </c>
      <c r="BK101" s="2" t="s">
        <v>232</v>
      </c>
      <c r="BL101" s="111" t="s">
        <v>233</v>
      </c>
      <c r="BM101" s="12" t="s">
        <v>234</v>
      </c>
      <c r="BN101" s="12" t="s">
        <v>235</v>
      </c>
      <c r="BO101" s="12" t="s">
        <v>236</v>
      </c>
      <c r="BP101" s="12" t="s">
        <v>237</v>
      </c>
      <c r="BQ101" s="12" t="s">
        <v>238</v>
      </c>
      <c r="BR101" s="13" t="s">
        <v>239</v>
      </c>
      <c r="BT101" s="2" t="s">
        <v>232</v>
      </c>
      <c r="BU101" s="111" t="s">
        <v>233</v>
      </c>
      <c r="BV101" s="12" t="s">
        <v>234</v>
      </c>
      <c r="BW101" s="12" t="s">
        <v>235</v>
      </c>
      <c r="BX101" s="12" t="s">
        <v>236</v>
      </c>
      <c r="BY101" s="12" t="s">
        <v>237</v>
      </c>
      <c r="BZ101" s="12" t="s">
        <v>238</v>
      </c>
      <c r="CA101" s="13" t="s">
        <v>239</v>
      </c>
    </row>
    <row r="102" spans="36:79" ht="18" hidden="1" customHeight="1" x14ac:dyDescent="0.15">
      <c r="AJ102" s="16" t="e">
        <f>-AJ105+AJ108</f>
        <v>#VALUE!</v>
      </c>
      <c r="AK102" s="17" t="e">
        <f>-AJ111</f>
        <v>#VALUE!</v>
      </c>
      <c r="AL102" s="18" t="e">
        <f>IF(AND(AP105&lt;0,AQ105&lt;0),AQ102*1.2,IF(AND(AP105&gt;0,AQ105&gt;0),AP102*0.8,10))</f>
        <v>#VALUE!</v>
      </c>
      <c r="AM102" s="18" t="e">
        <f>AL102^3+AJ102*AL102+AK102</f>
        <v>#VALUE!</v>
      </c>
      <c r="AN102" s="18" t="e">
        <f>3*AL102^2+AJ102</f>
        <v>#VALUE!</v>
      </c>
      <c r="AO102" s="18" t="e">
        <f t="shared" ref="AO102:AO116" si="28">AL102-AM102/AN102</f>
        <v>#VALUE!</v>
      </c>
      <c r="AP102" s="18" t="e">
        <f>-SQRT(ABS(-4*3*AJ102))/6</f>
        <v>#VALUE!</v>
      </c>
      <c r="AQ102" s="19" t="e">
        <f>SQRT(ABS(-4*3*AJ102))/6</f>
        <v>#VALUE!</v>
      </c>
      <c r="AS102" s="16" t="e">
        <f>-AS105+AS108</f>
        <v>#VALUE!</v>
      </c>
      <c r="AT102" s="17" t="e">
        <f>-AS111</f>
        <v>#VALUE!</v>
      </c>
      <c r="AU102" s="18" t="e">
        <f>IF(AND(AY105&lt;0,AZ105&lt;0),AZ102*1.2,IF(AND(AY105&gt;0,AZ105&gt;0),AY102*0.8,10))</f>
        <v>#VALUE!</v>
      </c>
      <c r="AV102" s="18" t="e">
        <f>AU102^3+AS102*AU102+AT102</f>
        <v>#VALUE!</v>
      </c>
      <c r="AW102" s="18" t="e">
        <f>3*AU102^2+AS102</f>
        <v>#VALUE!</v>
      </c>
      <c r="AX102" s="18" t="e">
        <f t="shared" ref="AX102:AX116" si="29">AU102-AV102/AW102</f>
        <v>#VALUE!</v>
      </c>
      <c r="AY102" s="18" t="e">
        <f>-SQRT(ABS(-4*3*AS102))/6</f>
        <v>#VALUE!</v>
      </c>
      <c r="AZ102" s="19" t="e">
        <f>SQRT(ABS(-4*3*AS102))/6</f>
        <v>#VALUE!</v>
      </c>
      <c r="BB102" s="16" t="e">
        <f>-BB105+BB108</f>
        <v>#VALUE!</v>
      </c>
      <c r="BC102" s="17" t="e">
        <f>-BB111</f>
        <v>#VALUE!</v>
      </c>
      <c r="BD102" s="18" t="e">
        <f>IF(AND(BH105&lt;0,BI105&lt;0),BI102*1.2,IF(AND(BH105&gt;0,BI105&gt;0),BH102*0.8,10))</f>
        <v>#VALUE!</v>
      </c>
      <c r="BE102" s="18" t="e">
        <f>BD102^3+BB102*BD102+BC102</f>
        <v>#VALUE!</v>
      </c>
      <c r="BF102" s="18" t="e">
        <f>3*BD102^2+BB102</f>
        <v>#VALUE!</v>
      </c>
      <c r="BG102" s="18" t="e">
        <f t="shared" ref="BG102:BG116" si="30">BD102-BE102/BF102</f>
        <v>#VALUE!</v>
      </c>
      <c r="BH102" s="18" t="e">
        <f>-SQRT(ABS(-4*3*BB102))/6</f>
        <v>#VALUE!</v>
      </c>
      <c r="BI102" s="19" t="e">
        <f>SQRT(ABS(-4*3*BB102))/6</f>
        <v>#VALUE!</v>
      </c>
      <c r="BK102" s="16" t="e">
        <f>-BK105+BK108</f>
        <v>#VALUE!</v>
      </c>
      <c r="BL102" s="17" t="e">
        <f>-BK111</f>
        <v>#VALUE!</v>
      </c>
      <c r="BM102" s="18" t="e">
        <f>IF(AND(BQ105&lt;0,BR105&lt;0),BR102*1.2,IF(AND(BQ105&gt;0,BR105&gt;0),BQ102*0.8,10))</f>
        <v>#VALUE!</v>
      </c>
      <c r="BN102" s="18" t="e">
        <f>BM102^3+BK102*BM102+BL102</f>
        <v>#VALUE!</v>
      </c>
      <c r="BO102" s="18" t="e">
        <f>3*BM102^2+BK102</f>
        <v>#VALUE!</v>
      </c>
      <c r="BP102" s="18" t="e">
        <f t="shared" ref="BP102:BP116" si="31">BM102-BN102/BO102</f>
        <v>#VALUE!</v>
      </c>
      <c r="BQ102" s="18" t="e">
        <f>-SQRT(ABS(-4*3*BK102))/6</f>
        <v>#VALUE!</v>
      </c>
      <c r="BR102" s="19" t="e">
        <f>SQRT(ABS(-4*3*BK102))/6</f>
        <v>#VALUE!</v>
      </c>
      <c r="BT102" s="16" t="e">
        <f>-BT105+BT108</f>
        <v>#VALUE!</v>
      </c>
      <c r="BU102" s="17" t="e">
        <f>-BT111</f>
        <v>#VALUE!</v>
      </c>
      <c r="BV102" s="18" t="e">
        <f>IF(AND(BZ105&lt;0,CA105&lt;0),CA102*1.2,IF(AND(BZ105&gt;0,CA105&gt;0),BZ102*0.8,10))</f>
        <v>#VALUE!</v>
      </c>
      <c r="BW102" s="18" t="e">
        <f>BV102^3+BT102*BV102+BU102</f>
        <v>#VALUE!</v>
      </c>
      <c r="BX102" s="18" t="e">
        <f>3*BV102^2+BT102</f>
        <v>#VALUE!</v>
      </c>
      <c r="BY102" s="18" t="e">
        <f t="shared" ref="BY102:BY116" si="32">BV102-BW102/BX102</f>
        <v>#VALUE!</v>
      </c>
      <c r="BZ102" s="18" t="e">
        <f>-SQRT(ABS(-4*3*BT102))/6</f>
        <v>#VALUE!</v>
      </c>
      <c r="CA102" s="19" t="e">
        <f>SQRT(ABS(-4*3*BT102))/6</f>
        <v>#VALUE!</v>
      </c>
    </row>
    <row r="103" spans="36:79" ht="18" hidden="1" customHeight="1" x14ac:dyDescent="0.15">
      <c r="AJ103" s="267"/>
      <c r="AK103" s="268"/>
      <c r="AL103" s="18" t="e">
        <f t="shared" ref="AL103:AL116" si="33">AO102</f>
        <v>#VALUE!</v>
      </c>
      <c r="AM103" s="18" t="e">
        <f>AL103^3+AJ102*AL103+AK102</f>
        <v>#VALUE!</v>
      </c>
      <c r="AN103" s="18" t="e">
        <f>3*AL103^2+AJ102</f>
        <v>#VALUE!</v>
      </c>
      <c r="AO103" s="18" t="e">
        <f t="shared" si="28"/>
        <v>#VALUE!</v>
      </c>
      <c r="AP103" s="6"/>
      <c r="AQ103" s="7"/>
      <c r="AS103" s="267"/>
      <c r="AT103" s="268"/>
      <c r="AU103" s="18" t="e">
        <f t="shared" ref="AU103:AU116" si="34">AX102</f>
        <v>#VALUE!</v>
      </c>
      <c r="AV103" s="18" t="e">
        <f>AU103^3+AS102*AU103+AT102</f>
        <v>#VALUE!</v>
      </c>
      <c r="AW103" s="18" t="e">
        <f>3*AU103^2+AS102</f>
        <v>#VALUE!</v>
      </c>
      <c r="AX103" s="18" t="e">
        <f t="shared" si="29"/>
        <v>#VALUE!</v>
      </c>
      <c r="AY103" s="6"/>
      <c r="AZ103" s="7"/>
      <c r="BB103" s="267"/>
      <c r="BC103" s="268"/>
      <c r="BD103" s="18" t="e">
        <f t="shared" ref="BD103:BD116" si="35">BG102</f>
        <v>#VALUE!</v>
      </c>
      <c r="BE103" s="18" t="e">
        <f>BD103^3+BB102*BD103+BC102</f>
        <v>#VALUE!</v>
      </c>
      <c r="BF103" s="18" t="e">
        <f>3*BD103^2+BB102</f>
        <v>#VALUE!</v>
      </c>
      <c r="BG103" s="18" t="e">
        <f t="shared" si="30"/>
        <v>#VALUE!</v>
      </c>
      <c r="BH103" s="6"/>
      <c r="BI103" s="7"/>
      <c r="BK103" s="267"/>
      <c r="BL103" s="268"/>
      <c r="BM103" s="18" t="e">
        <f t="shared" ref="BM103:BM116" si="36">BP102</f>
        <v>#VALUE!</v>
      </c>
      <c r="BN103" s="18" t="e">
        <f>BM103^3+BK102*BM103+BL102</f>
        <v>#VALUE!</v>
      </c>
      <c r="BO103" s="18" t="e">
        <f>3*BM103^2+BK102</f>
        <v>#VALUE!</v>
      </c>
      <c r="BP103" s="18" t="e">
        <f t="shared" si="31"/>
        <v>#VALUE!</v>
      </c>
      <c r="BQ103" s="6"/>
      <c r="BR103" s="7"/>
      <c r="BT103" s="267"/>
      <c r="BU103" s="268"/>
      <c r="BV103" s="18" t="e">
        <f t="shared" ref="BV103:BV116" si="37">BY102</f>
        <v>#VALUE!</v>
      </c>
      <c r="BW103" s="18" t="e">
        <f>BV103^3+BT102*BV103+BU102</f>
        <v>#VALUE!</v>
      </c>
      <c r="BX103" s="18" t="e">
        <f>3*BV103^2+BT102</f>
        <v>#VALUE!</v>
      </c>
      <c r="BY103" s="18" t="e">
        <f t="shared" si="32"/>
        <v>#VALUE!</v>
      </c>
      <c r="BZ103" s="6"/>
      <c r="CA103" s="7"/>
    </row>
    <row r="104" spans="36:79" ht="18" hidden="1" customHeight="1" x14ac:dyDescent="0.15">
      <c r="AJ104" s="269" t="s">
        <v>240</v>
      </c>
      <c r="AK104" s="270"/>
      <c r="AL104" s="18" t="e">
        <f t="shared" si="33"/>
        <v>#VALUE!</v>
      </c>
      <c r="AM104" s="18" t="e">
        <f>AL104^3+AJ102*AL104+AK102</f>
        <v>#VALUE!</v>
      </c>
      <c r="AN104" s="18" t="e">
        <f>3*AL104^2+AJ102</f>
        <v>#VALUE!</v>
      </c>
      <c r="AO104" s="18" t="e">
        <f t="shared" si="28"/>
        <v>#VALUE!</v>
      </c>
      <c r="AP104" s="14" t="s">
        <v>241</v>
      </c>
      <c r="AQ104" s="15" t="s">
        <v>242</v>
      </c>
      <c r="AS104" s="269" t="s">
        <v>240</v>
      </c>
      <c r="AT104" s="270"/>
      <c r="AU104" s="18" t="e">
        <f t="shared" si="34"/>
        <v>#VALUE!</v>
      </c>
      <c r="AV104" s="18" t="e">
        <f>AU104^3+AS102*AU104+AT102</f>
        <v>#VALUE!</v>
      </c>
      <c r="AW104" s="18" t="e">
        <f>3*AU104^2+AS102</f>
        <v>#VALUE!</v>
      </c>
      <c r="AX104" s="18" t="e">
        <f t="shared" si="29"/>
        <v>#VALUE!</v>
      </c>
      <c r="AY104" s="14" t="s">
        <v>241</v>
      </c>
      <c r="AZ104" s="15" t="s">
        <v>242</v>
      </c>
      <c r="BB104" s="269" t="s">
        <v>240</v>
      </c>
      <c r="BC104" s="270"/>
      <c r="BD104" s="18" t="e">
        <f t="shared" si="35"/>
        <v>#VALUE!</v>
      </c>
      <c r="BE104" s="18" t="e">
        <f>BD104^3+BB102*BD104+BC102</f>
        <v>#VALUE!</v>
      </c>
      <c r="BF104" s="18" t="e">
        <f>3*BD104^2+BB102</f>
        <v>#VALUE!</v>
      </c>
      <c r="BG104" s="18" t="e">
        <f t="shared" si="30"/>
        <v>#VALUE!</v>
      </c>
      <c r="BH104" s="14" t="s">
        <v>241</v>
      </c>
      <c r="BI104" s="15" t="s">
        <v>242</v>
      </c>
      <c r="BK104" s="269" t="s">
        <v>240</v>
      </c>
      <c r="BL104" s="270"/>
      <c r="BM104" s="18" t="e">
        <f t="shared" si="36"/>
        <v>#VALUE!</v>
      </c>
      <c r="BN104" s="18" t="e">
        <f>BM104^3+BK102*BM104+BL102</f>
        <v>#VALUE!</v>
      </c>
      <c r="BO104" s="18" t="e">
        <f>3*BM104^2+BK102</f>
        <v>#VALUE!</v>
      </c>
      <c r="BP104" s="18" t="e">
        <f t="shared" si="31"/>
        <v>#VALUE!</v>
      </c>
      <c r="BQ104" s="14" t="s">
        <v>241</v>
      </c>
      <c r="BR104" s="15" t="s">
        <v>242</v>
      </c>
      <c r="BT104" s="269" t="s">
        <v>240</v>
      </c>
      <c r="BU104" s="270"/>
      <c r="BV104" s="18" t="e">
        <f t="shared" si="37"/>
        <v>#VALUE!</v>
      </c>
      <c r="BW104" s="18" t="e">
        <f>BV104^3+BT102*BV104+BU102</f>
        <v>#VALUE!</v>
      </c>
      <c r="BX104" s="18" t="e">
        <f>3*BV104^2+BT102</f>
        <v>#VALUE!</v>
      </c>
      <c r="BY104" s="18" t="e">
        <f t="shared" si="32"/>
        <v>#VALUE!</v>
      </c>
      <c r="BZ104" s="14" t="s">
        <v>241</v>
      </c>
      <c r="CA104" s="15" t="s">
        <v>242</v>
      </c>
    </row>
    <row r="105" spans="36:79" ht="18" hidden="1" customHeight="1" x14ac:dyDescent="0.15">
      <c r="AJ105" s="269">
        <f>(AL118^2)+3*(AM118^2)*AQ118*(AQ113-15)/(8*10^7)</f>
        <v>0</v>
      </c>
      <c r="AK105" s="270"/>
      <c r="AL105" s="18" t="e">
        <f t="shared" si="33"/>
        <v>#VALUE!</v>
      </c>
      <c r="AM105" s="18" t="e">
        <f>AL105^3+AJ102*AL105+AK102</f>
        <v>#VALUE!</v>
      </c>
      <c r="AN105" s="18" t="e">
        <f>3*AL105^2+AJ102</f>
        <v>#VALUE!</v>
      </c>
      <c r="AO105" s="18" t="e">
        <f t="shared" si="28"/>
        <v>#VALUE!</v>
      </c>
      <c r="AP105" s="18" t="e">
        <f>AP102^3+AJ102*AP102+AK102</f>
        <v>#VALUE!</v>
      </c>
      <c r="AQ105" s="19" t="e">
        <f>AQ102^3+AJ102*AQ102+AK102</f>
        <v>#VALUE!</v>
      </c>
      <c r="AS105" s="269" t="e">
        <f>(AU118^2)+3*(AV118^2)*AZ118*(AZ113-15)/(8*10^7)</f>
        <v>#VALUE!</v>
      </c>
      <c r="AT105" s="270"/>
      <c r="AU105" s="18" t="e">
        <f t="shared" si="34"/>
        <v>#VALUE!</v>
      </c>
      <c r="AV105" s="18" t="e">
        <f>AU105^3+AS102*AU105+AT102</f>
        <v>#VALUE!</v>
      </c>
      <c r="AW105" s="18" t="e">
        <f>3*AU105^2+AS102</f>
        <v>#VALUE!</v>
      </c>
      <c r="AX105" s="18" t="e">
        <f t="shared" si="29"/>
        <v>#VALUE!</v>
      </c>
      <c r="AY105" s="18" t="e">
        <f>AY102^3+AS102*AY102+AT102</f>
        <v>#VALUE!</v>
      </c>
      <c r="AZ105" s="19" t="e">
        <f>AZ102^3+AS102*AZ102+AT102</f>
        <v>#VALUE!</v>
      </c>
      <c r="BB105" s="269" t="e">
        <f>(BD118^2)+3*(BE118^2)*BI118*(BI113-15)/(8*10^7)</f>
        <v>#VALUE!</v>
      </c>
      <c r="BC105" s="270"/>
      <c r="BD105" s="18" t="e">
        <f t="shared" si="35"/>
        <v>#VALUE!</v>
      </c>
      <c r="BE105" s="18" t="e">
        <f>BD105^3+BB102*BD105+BC102</f>
        <v>#VALUE!</v>
      </c>
      <c r="BF105" s="18" t="e">
        <f>3*BD105^2+BB102</f>
        <v>#VALUE!</v>
      </c>
      <c r="BG105" s="18" t="e">
        <f t="shared" si="30"/>
        <v>#VALUE!</v>
      </c>
      <c r="BH105" s="18" t="e">
        <f>BH102^3+BB102*BH102+BC102</f>
        <v>#VALUE!</v>
      </c>
      <c r="BI105" s="19" t="e">
        <f>BI102^3+BB102*BI102+BC102</f>
        <v>#VALUE!</v>
      </c>
      <c r="BK105" s="269" t="e">
        <f>(BM118^2)+3*(BN118^2)*BR118*(BR113-15)/(8*10^7)</f>
        <v>#VALUE!</v>
      </c>
      <c r="BL105" s="270"/>
      <c r="BM105" s="18" t="e">
        <f t="shared" si="36"/>
        <v>#VALUE!</v>
      </c>
      <c r="BN105" s="18" t="e">
        <f>BM105^3+BK102*BM105+BL102</f>
        <v>#VALUE!</v>
      </c>
      <c r="BO105" s="18" t="e">
        <f>3*BM105^2+BK102</f>
        <v>#VALUE!</v>
      </c>
      <c r="BP105" s="18" t="e">
        <f t="shared" si="31"/>
        <v>#VALUE!</v>
      </c>
      <c r="BQ105" s="18" t="e">
        <f>BQ102^3+BK102*BQ102+BL102</f>
        <v>#VALUE!</v>
      </c>
      <c r="BR105" s="19" t="e">
        <f>BR102^3+BK102*BR102+BL102</f>
        <v>#VALUE!</v>
      </c>
      <c r="BT105" s="269" t="e">
        <f>(BV118^2)+3*(BW118^2)*CA118*(CA113-15)/(8*10^7)</f>
        <v>#VALUE!</v>
      </c>
      <c r="BU105" s="270"/>
      <c r="BV105" s="18" t="e">
        <f t="shared" si="37"/>
        <v>#VALUE!</v>
      </c>
      <c r="BW105" s="18" t="e">
        <f>BV105^3+BT102*BV105+BU102</f>
        <v>#VALUE!</v>
      </c>
      <c r="BX105" s="18" t="e">
        <f>3*BV105^2+BT102</f>
        <v>#VALUE!</v>
      </c>
      <c r="BY105" s="18" t="e">
        <f t="shared" si="32"/>
        <v>#VALUE!</v>
      </c>
      <c r="BZ105" s="18" t="e">
        <f>BZ102^3+BT102*BZ102+BU102</f>
        <v>#VALUE!</v>
      </c>
      <c r="CA105" s="19" t="e">
        <f>CA102^3+BT102*CA102+BU102</f>
        <v>#VALUE!</v>
      </c>
    </row>
    <row r="106" spans="36:79" ht="18" hidden="1" customHeight="1" x14ac:dyDescent="0.15">
      <c r="AJ106" s="267"/>
      <c r="AK106" s="268"/>
      <c r="AL106" s="18" t="e">
        <f t="shared" si="33"/>
        <v>#VALUE!</v>
      </c>
      <c r="AM106" s="18" t="e">
        <f>AL106^3+AJ102*AL106+AK102</f>
        <v>#VALUE!</v>
      </c>
      <c r="AN106" s="18" t="e">
        <f>3*AL106^2+AJ102</f>
        <v>#VALUE!</v>
      </c>
      <c r="AO106" s="18" t="e">
        <f t="shared" si="28"/>
        <v>#VALUE!</v>
      </c>
      <c r="AP106" s="31"/>
      <c r="AQ106" s="32"/>
      <c r="AS106" s="267"/>
      <c r="AT106" s="268"/>
      <c r="AU106" s="18" t="e">
        <f t="shared" si="34"/>
        <v>#VALUE!</v>
      </c>
      <c r="AV106" s="18" t="e">
        <f>AU106^3+AS102*AU106+AT102</f>
        <v>#VALUE!</v>
      </c>
      <c r="AW106" s="18" t="e">
        <f>3*AU106^2+AS102</f>
        <v>#VALUE!</v>
      </c>
      <c r="AX106" s="18" t="e">
        <f t="shared" si="29"/>
        <v>#VALUE!</v>
      </c>
      <c r="AY106" s="31"/>
      <c r="AZ106" s="32"/>
      <c r="BB106" s="267"/>
      <c r="BC106" s="268"/>
      <c r="BD106" s="18" t="e">
        <f t="shared" si="35"/>
        <v>#VALUE!</v>
      </c>
      <c r="BE106" s="18" t="e">
        <f>BD106^3+BB102*BD106+BC102</f>
        <v>#VALUE!</v>
      </c>
      <c r="BF106" s="18" t="e">
        <f>3*BD106^2+BB102</f>
        <v>#VALUE!</v>
      </c>
      <c r="BG106" s="18" t="e">
        <f t="shared" si="30"/>
        <v>#VALUE!</v>
      </c>
      <c r="BH106" s="31"/>
      <c r="BI106" s="32"/>
      <c r="BK106" s="267"/>
      <c r="BL106" s="268"/>
      <c r="BM106" s="18" t="e">
        <f t="shared" si="36"/>
        <v>#VALUE!</v>
      </c>
      <c r="BN106" s="18" t="e">
        <f>BM106^3+BK102*BM106+BL102</f>
        <v>#VALUE!</v>
      </c>
      <c r="BO106" s="18" t="e">
        <f>3*BM106^2+BK102</f>
        <v>#VALUE!</v>
      </c>
      <c r="BP106" s="18" t="e">
        <f t="shared" si="31"/>
        <v>#VALUE!</v>
      </c>
      <c r="BQ106" s="31"/>
      <c r="BR106" s="32"/>
      <c r="BT106" s="267"/>
      <c r="BU106" s="268"/>
      <c r="BV106" s="18" t="e">
        <f t="shared" si="37"/>
        <v>#VALUE!</v>
      </c>
      <c r="BW106" s="18" t="e">
        <f>BV106^3+BT102*BV106+BU102</f>
        <v>#VALUE!</v>
      </c>
      <c r="BX106" s="18" t="e">
        <f>3*BV106^2+BT102</f>
        <v>#VALUE!</v>
      </c>
      <c r="BY106" s="18" t="e">
        <f t="shared" si="32"/>
        <v>#VALUE!</v>
      </c>
      <c r="BZ106" s="31"/>
      <c r="CA106" s="32"/>
    </row>
    <row r="107" spans="36:79" ht="18" hidden="1" customHeight="1" x14ac:dyDescent="0.15">
      <c r="AJ107" s="269" t="s">
        <v>243</v>
      </c>
      <c r="AK107" s="270"/>
      <c r="AL107" s="18" t="e">
        <f t="shared" si="33"/>
        <v>#VALUE!</v>
      </c>
      <c r="AM107" s="18" t="e">
        <f>AL107^3+AJ102*AL107+AK102</f>
        <v>#VALUE!</v>
      </c>
      <c r="AN107" s="18" t="e">
        <f>3*AL107^2+AJ102</f>
        <v>#VALUE!</v>
      </c>
      <c r="AO107" s="18" t="e">
        <f t="shared" si="28"/>
        <v>#VALUE!</v>
      </c>
      <c r="AP107" s="31"/>
      <c r="AQ107" s="32"/>
      <c r="AS107" s="269" t="s">
        <v>243</v>
      </c>
      <c r="AT107" s="270"/>
      <c r="AU107" s="18" t="e">
        <f t="shared" si="34"/>
        <v>#VALUE!</v>
      </c>
      <c r="AV107" s="18" t="e">
        <f>AU107^3+AS102*AU107+AT102</f>
        <v>#VALUE!</v>
      </c>
      <c r="AW107" s="18" t="e">
        <f>3*AU107^2+AS102</f>
        <v>#VALUE!</v>
      </c>
      <c r="AX107" s="18" t="e">
        <f t="shared" si="29"/>
        <v>#VALUE!</v>
      </c>
      <c r="AY107" s="31"/>
      <c r="AZ107" s="32"/>
      <c r="BB107" s="269" t="s">
        <v>243</v>
      </c>
      <c r="BC107" s="270"/>
      <c r="BD107" s="18" t="e">
        <f t="shared" si="35"/>
        <v>#VALUE!</v>
      </c>
      <c r="BE107" s="18" t="e">
        <f>BD107^3+BB102*BD107+BC102</f>
        <v>#VALUE!</v>
      </c>
      <c r="BF107" s="18" t="e">
        <f>3*BD107^2+BB102</f>
        <v>#VALUE!</v>
      </c>
      <c r="BG107" s="18" t="e">
        <f t="shared" si="30"/>
        <v>#VALUE!</v>
      </c>
      <c r="BH107" s="31"/>
      <c r="BI107" s="32"/>
      <c r="BK107" s="269" t="s">
        <v>243</v>
      </c>
      <c r="BL107" s="270"/>
      <c r="BM107" s="18" t="e">
        <f t="shared" si="36"/>
        <v>#VALUE!</v>
      </c>
      <c r="BN107" s="18" t="e">
        <f>BM107^3+BK102*BM107+BL102</f>
        <v>#VALUE!</v>
      </c>
      <c r="BO107" s="18" t="e">
        <f>3*BM107^2+BK102</f>
        <v>#VALUE!</v>
      </c>
      <c r="BP107" s="18" t="e">
        <f t="shared" si="31"/>
        <v>#VALUE!</v>
      </c>
      <c r="BQ107" s="31"/>
      <c r="BR107" s="32"/>
      <c r="BT107" s="269" t="s">
        <v>243</v>
      </c>
      <c r="BU107" s="270"/>
      <c r="BV107" s="18" t="e">
        <f t="shared" si="37"/>
        <v>#VALUE!</v>
      </c>
      <c r="BW107" s="18" t="e">
        <f>BV107^3+BT102*BV107+BU102</f>
        <v>#VALUE!</v>
      </c>
      <c r="BX107" s="18" t="e">
        <f>3*BV107^2+BT102</f>
        <v>#VALUE!</v>
      </c>
      <c r="BY107" s="18" t="e">
        <f t="shared" si="32"/>
        <v>#VALUE!</v>
      </c>
      <c r="BZ107" s="31"/>
      <c r="CA107" s="32"/>
    </row>
    <row r="108" spans="36:79" ht="18" hidden="1" customHeight="1" x14ac:dyDescent="0.15">
      <c r="AJ108" s="277" t="e">
        <f>3*(AM118^2)*AN118/(8*AO118*AP118)</f>
        <v>#VALUE!</v>
      </c>
      <c r="AK108" s="278"/>
      <c r="AL108" s="118" t="e">
        <f t="shared" si="33"/>
        <v>#VALUE!</v>
      </c>
      <c r="AM108" s="118" t="e">
        <f>AL108^3+AJ102*AL108+AK102</f>
        <v>#VALUE!</v>
      </c>
      <c r="AN108" s="118" t="e">
        <f>3*AL108^2+AJ102</f>
        <v>#VALUE!</v>
      </c>
      <c r="AO108" s="118" t="e">
        <f t="shared" si="28"/>
        <v>#VALUE!</v>
      </c>
      <c r="AP108" s="116"/>
      <c r="AQ108" s="117"/>
      <c r="AS108" s="277" t="e">
        <f>3*(AV118^2)*AW118/(8*AX118*AY118)</f>
        <v>#VALUE!</v>
      </c>
      <c r="AT108" s="278"/>
      <c r="AU108" s="118" t="e">
        <f t="shared" si="34"/>
        <v>#VALUE!</v>
      </c>
      <c r="AV108" s="118" t="e">
        <f>AU108^3+AS102*AU108+AT102</f>
        <v>#VALUE!</v>
      </c>
      <c r="AW108" s="118" t="e">
        <f>3*AU108^2+AS102</f>
        <v>#VALUE!</v>
      </c>
      <c r="AX108" s="118" t="e">
        <f t="shared" si="29"/>
        <v>#VALUE!</v>
      </c>
      <c r="AY108" s="116"/>
      <c r="AZ108" s="117"/>
      <c r="BB108" s="277" t="e">
        <f>3*(BE118^2)*BF118/(8*BG118*BH118)</f>
        <v>#VALUE!</v>
      </c>
      <c r="BC108" s="278"/>
      <c r="BD108" s="118" t="e">
        <f t="shared" si="35"/>
        <v>#VALUE!</v>
      </c>
      <c r="BE108" s="118" t="e">
        <f>BD108^3+BB102*BD108+BC102</f>
        <v>#VALUE!</v>
      </c>
      <c r="BF108" s="118" t="e">
        <f>3*BD108^2+BB102</f>
        <v>#VALUE!</v>
      </c>
      <c r="BG108" s="118" t="e">
        <f t="shared" si="30"/>
        <v>#VALUE!</v>
      </c>
      <c r="BH108" s="116"/>
      <c r="BI108" s="117"/>
      <c r="BK108" s="277" t="e">
        <f>3*(BN118^2)*BO118/(8*BP118*BQ118)</f>
        <v>#VALUE!</v>
      </c>
      <c r="BL108" s="278"/>
      <c r="BM108" s="118" t="e">
        <f t="shared" si="36"/>
        <v>#VALUE!</v>
      </c>
      <c r="BN108" s="118" t="e">
        <f>BM108^3+BK102*BM108+BL102</f>
        <v>#VALUE!</v>
      </c>
      <c r="BO108" s="118" t="e">
        <f>3*BM108^2+BK102</f>
        <v>#VALUE!</v>
      </c>
      <c r="BP108" s="118" t="e">
        <f t="shared" si="31"/>
        <v>#VALUE!</v>
      </c>
      <c r="BQ108" s="116"/>
      <c r="BR108" s="117"/>
      <c r="BT108" s="277" t="e">
        <f>3*(BW118^2)*BX118/(8*BY118*BZ118)</f>
        <v>#VALUE!</v>
      </c>
      <c r="BU108" s="278"/>
      <c r="BV108" s="118" t="e">
        <f t="shared" si="37"/>
        <v>#VALUE!</v>
      </c>
      <c r="BW108" s="118" t="e">
        <f>BV108^3+BT102*BV108+BU102</f>
        <v>#VALUE!</v>
      </c>
      <c r="BX108" s="118" t="e">
        <f>3*BV108^2+BT102</f>
        <v>#VALUE!</v>
      </c>
      <c r="BY108" s="118" t="e">
        <f t="shared" si="32"/>
        <v>#VALUE!</v>
      </c>
      <c r="BZ108" s="116"/>
      <c r="CA108" s="117"/>
    </row>
    <row r="109" spans="36:79" ht="18" hidden="1" customHeight="1" x14ac:dyDescent="0.15">
      <c r="AJ109" s="121"/>
      <c r="AK109" s="122"/>
      <c r="AL109" s="118" t="e">
        <f t="shared" si="33"/>
        <v>#VALUE!</v>
      </c>
      <c r="AM109" s="118" t="e">
        <f>AL109^3+AJ102*AL109+AK102</f>
        <v>#VALUE!</v>
      </c>
      <c r="AN109" s="118" t="e">
        <f>3*AL109^2+AJ102</f>
        <v>#VALUE!</v>
      </c>
      <c r="AO109" s="118" t="e">
        <f t="shared" si="28"/>
        <v>#VALUE!</v>
      </c>
      <c r="AP109" s="119"/>
      <c r="AQ109" s="120"/>
      <c r="AS109" s="121"/>
      <c r="AT109" s="122"/>
      <c r="AU109" s="118" t="e">
        <f t="shared" si="34"/>
        <v>#VALUE!</v>
      </c>
      <c r="AV109" s="118" t="e">
        <f>AU109^3+AS102*AU109+AT102</f>
        <v>#VALUE!</v>
      </c>
      <c r="AW109" s="118" t="e">
        <f>3*AU109^2+AS102</f>
        <v>#VALUE!</v>
      </c>
      <c r="AX109" s="118" t="e">
        <f t="shared" si="29"/>
        <v>#VALUE!</v>
      </c>
      <c r="AY109" s="119"/>
      <c r="AZ109" s="120"/>
      <c r="BB109" s="121"/>
      <c r="BC109" s="122"/>
      <c r="BD109" s="118" t="e">
        <f t="shared" si="35"/>
        <v>#VALUE!</v>
      </c>
      <c r="BE109" s="118" t="e">
        <f>BD109^3+BB102*BD109+BC102</f>
        <v>#VALUE!</v>
      </c>
      <c r="BF109" s="118" t="e">
        <f>3*BD109^2+BB102</f>
        <v>#VALUE!</v>
      </c>
      <c r="BG109" s="118" t="e">
        <f t="shared" si="30"/>
        <v>#VALUE!</v>
      </c>
      <c r="BH109" s="119"/>
      <c r="BI109" s="120"/>
      <c r="BK109" s="121"/>
      <c r="BL109" s="122"/>
      <c r="BM109" s="118" t="e">
        <f t="shared" si="36"/>
        <v>#VALUE!</v>
      </c>
      <c r="BN109" s="118" t="e">
        <f>BM109^3+BK102*BM109+BL102</f>
        <v>#VALUE!</v>
      </c>
      <c r="BO109" s="118" t="e">
        <f>3*BM109^2+BK102</f>
        <v>#VALUE!</v>
      </c>
      <c r="BP109" s="118" t="e">
        <f t="shared" si="31"/>
        <v>#VALUE!</v>
      </c>
      <c r="BQ109" s="119"/>
      <c r="BR109" s="120"/>
      <c r="BT109" s="121"/>
      <c r="BU109" s="122"/>
      <c r="BV109" s="118" t="e">
        <f t="shared" si="37"/>
        <v>#VALUE!</v>
      </c>
      <c r="BW109" s="118" t="e">
        <f>BV109^3+BT102*BV109+BU102</f>
        <v>#VALUE!</v>
      </c>
      <c r="BX109" s="118" t="e">
        <f>3*BV109^2+BT102</f>
        <v>#VALUE!</v>
      </c>
      <c r="BY109" s="118" t="e">
        <f t="shared" si="32"/>
        <v>#VALUE!</v>
      </c>
      <c r="BZ109" s="119"/>
      <c r="CA109" s="120"/>
    </row>
    <row r="110" spans="36:79" ht="18" hidden="1" customHeight="1" x14ac:dyDescent="0.15">
      <c r="AJ110" s="269" t="s">
        <v>244</v>
      </c>
      <c r="AK110" s="270"/>
      <c r="AL110" s="118" t="e">
        <f t="shared" si="33"/>
        <v>#VALUE!</v>
      </c>
      <c r="AM110" s="118" t="e">
        <f>AL110^3+AJ102*AL110+AK102</f>
        <v>#VALUE!</v>
      </c>
      <c r="AN110" s="118" t="e">
        <f>3*AL110^2+AJ102</f>
        <v>#VALUE!</v>
      </c>
      <c r="AO110" s="118" t="e">
        <f t="shared" si="28"/>
        <v>#VALUE!</v>
      </c>
      <c r="AP110" s="14" t="s">
        <v>245</v>
      </c>
      <c r="AQ110" s="123" t="e">
        <f>AO116</f>
        <v>#VALUE!</v>
      </c>
      <c r="AS110" s="269" t="s">
        <v>244</v>
      </c>
      <c r="AT110" s="270"/>
      <c r="AU110" s="118" t="e">
        <f t="shared" si="34"/>
        <v>#VALUE!</v>
      </c>
      <c r="AV110" s="118" t="e">
        <f>AU110^3+AS102*AU110+AT102</f>
        <v>#VALUE!</v>
      </c>
      <c r="AW110" s="118" t="e">
        <f>3*AU110^2+AS102</f>
        <v>#VALUE!</v>
      </c>
      <c r="AX110" s="118" t="e">
        <f t="shared" si="29"/>
        <v>#VALUE!</v>
      </c>
      <c r="AY110" s="14" t="s">
        <v>245</v>
      </c>
      <c r="AZ110" s="123" t="e">
        <f>AX116</f>
        <v>#VALUE!</v>
      </c>
      <c r="BB110" s="269" t="s">
        <v>244</v>
      </c>
      <c r="BC110" s="270"/>
      <c r="BD110" s="118" t="e">
        <f t="shared" si="35"/>
        <v>#VALUE!</v>
      </c>
      <c r="BE110" s="118" t="e">
        <f>BD110^3+BB102*BD110+BC102</f>
        <v>#VALUE!</v>
      </c>
      <c r="BF110" s="118" t="e">
        <f>3*BD110^2+BB102</f>
        <v>#VALUE!</v>
      </c>
      <c r="BG110" s="118" t="e">
        <f t="shared" si="30"/>
        <v>#VALUE!</v>
      </c>
      <c r="BH110" s="14" t="s">
        <v>245</v>
      </c>
      <c r="BI110" s="123" t="e">
        <f>BG116</f>
        <v>#VALUE!</v>
      </c>
      <c r="BK110" s="269" t="s">
        <v>244</v>
      </c>
      <c r="BL110" s="270"/>
      <c r="BM110" s="118" t="e">
        <f t="shared" si="36"/>
        <v>#VALUE!</v>
      </c>
      <c r="BN110" s="118" t="e">
        <f>BM110^3+BK102*BM110+BL102</f>
        <v>#VALUE!</v>
      </c>
      <c r="BO110" s="118" t="e">
        <f>3*BM110^2+BK102</f>
        <v>#VALUE!</v>
      </c>
      <c r="BP110" s="118" t="e">
        <f t="shared" si="31"/>
        <v>#VALUE!</v>
      </c>
      <c r="BQ110" s="14" t="s">
        <v>245</v>
      </c>
      <c r="BR110" s="123" t="e">
        <f>BP116</f>
        <v>#VALUE!</v>
      </c>
      <c r="BT110" s="269" t="s">
        <v>244</v>
      </c>
      <c r="BU110" s="270"/>
      <c r="BV110" s="118" t="e">
        <f t="shared" si="37"/>
        <v>#VALUE!</v>
      </c>
      <c r="BW110" s="118" t="e">
        <f>BV110^3+BT102*BV110+BU102</f>
        <v>#VALUE!</v>
      </c>
      <c r="BX110" s="118" t="e">
        <f>3*BV110^2+BT102</f>
        <v>#VALUE!</v>
      </c>
      <c r="BY110" s="118" t="e">
        <f t="shared" si="32"/>
        <v>#VALUE!</v>
      </c>
      <c r="BZ110" s="14" t="s">
        <v>245</v>
      </c>
      <c r="CA110" s="123" t="e">
        <f>BY116</f>
        <v>#VALUE!</v>
      </c>
    </row>
    <row r="111" spans="36:79" ht="18" hidden="1" customHeight="1" x14ac:dyDescent="0.15">
      <c r="AJ111" s="271" t="e">
        <f>AJ108*AL118*AJ118/AK118</f>
        <v>#VALUE!</v>
      </c>
      <c r="AK111" s="272"/>
      <c r="AL111" s="118" t="e">
        <f t="shared" si="33"/>
        <v>#VALUE!</v>
      </c>
      <c r="AM111" s="118" t="e">
        <f>AL111^3+AJ102*AL111+AK102</f>
        <v>#VALUE!</v>
      </c>
      <c r="AN111" s="118" t="e">
        <f>3*AL111^2+AJ102</f>
        <v>#VALUE!</v>
      </c>
      <c r="AO111" s="118" t="e">
        <f t="shared" si="28"/>
        <v>#VALUE!</v>
      </c>
      <c r="AP111" s="14" t="s">
        <v>246</v>
      </c>
      <c r="AQ111" s="124" t="e">
        <f>AJ118*AM118^2/(8*AO116)</f>
        <v>#VALUE!</v>
      </c>
      <c r="AS111" s="271" t="e">
        <f>AS108*AU118*AS118/AT118</f>
        <v>#VALUE!</v>
      </c>
      <c r="AT111" s="272"/>
      <c r="AU111" s="118" t="e">
        <f t="shared" si="34"/>
        <v>#VALUE!</v>
      </c>
      <c r="AV111" s="118" t="e">
        <f>AU111^3+AS102*AU111+AT102</f>
        <v>#VALUE!</v>
      </c>
      <c r="AW111" s="118" t="e">
        <f>3*AU111^2+AS102</f>
        <v>#VALUE!</v>
      </c>
      <c r="AX111" s="118" t="e">
        <f t="shared" si="29"/>
        <v>#VALUE!</v>
      </c>
      <c r="AY111" s="14" t="s">
        <v>246</v>
      </c>
      <c r="AZ111" s="124" t="e">
        <f>AS118*AV118^2/(8*AX116)</f>
        <v>#VALUE!</v>
      </c>
      <c r="BB111" s="271" t="e">
        <f>BB108*BD118*BB118/BC118</f>
        <v>#VALUE!</v>
      </c>
      <c r="BC111" s="272"/>
      <c r="BD111" s="118" t="e">
        <f t="shared" si="35"/>
        <v>#VALUE!</v>
      </c>
      <c r="BE111" s="118" t="e">
        <f>BD111^3+BB102*BD111+BC102</f>
        <v>#VALUE!</v>
      </c>
      <c r="BF111" s="118" t="e">
        <f>3*BD111^2+BB102</f>
        <v>#VALUE!</v>
      </c>
      <c r="BG111" s="118" t="e">
        <f t="shared" si="30"/>
        <v>#VALUE!</v>
      </c>
      <c r="BH111" s="14" t="s">
        <v>246</v>
      </c>
      <c r="BI111" s="124" t="e">
        <f>BB118*BE118^2/(8*BG116)</f>
        <v>#VALUE!</v>
      </c>
      <c r="BK111" s="271" t="e">
        <f>BK108*BM118*BK118/BL118</f>
        <v>#VALUE!</v>
      </c>
      <c r="BL111" s="272"/>
      <c r="BM111" s="118" t="e">
        <f t="shared" si="36"/>
        <v>#VALUE!</v>
      </c>
      <c r="BN111" s="118" t="e">
        <f>BM111^3+BK102*BM111+BL102</f>
        <v>#VALUE!</v>
      </c>
      <c r="BO111" s="118" t="e">
        <f>3*BM111^2+BK102</f>
        <v>#VALUE!</v>
      </c>
      <c r="BP111" s="118" t="e">
        <f t="shared" si="31"/>
        <v>#VALUE!</v>
      </c>
      <c r="BQ111" s="14" t="s">
        <v>246</v>
      </c>
      <c r="BR111" s="124" t="e">
        <f>BK118*BN118^2/(8*BP116)</f>
        <v>#VALUE!</v>
      </c>
      <c r="BT111" s="271" t="e">
        <f>BT108*BV118*BT118/BU118</f>
        <v>#VALUE!</v>
      </c>
      <c r="BU111" s="272"/>
      <c r="BV111" s="118" t="e">
        <f t="shared" si="37"/>
        <v>#VALUE!</v>
      </c>
      <c r="BW111" s="118" t="e">
        <f>BV111^3+BT102*BV111+BU102</f>
        <v>#VALUE!</v>
      </c>
      <c r="BX111" s="118" t="e">
        <f>3*BV111^2+BT102</f>
        <v>#VALUE!</v>
      </c>
      <c r="BY111" s="118" t="e">
        <f t="shared" si="32"/>
        <v>#VALUE!</v>
      </c>
      <c r="BZ111" s="14" t="s">
        <v>246</v>
      </c>
      <c r="CA111" s="124" t="e">
        <f>BT118*BW118^2/(8*BY116)</f>
        <v>#VALUE!</v>
      </c>
    </row>
    <row r="112" spans="36:79" ht="18" hidden="1" customHeight="1" x14ac:dyDescent="0.15">
      <c r="AJ112" s="125"/>
      <c r="AK112" s="126"/>
      <c r="AL112" s="118" t="e">
        <f t="shared" si="33"/>
        <v>#VALUE!</v>
      </c>
      <c r="AM112" s="118" t="e">
        <f>AL112^3+AJ102*AL112+AK102</f>
        <v>#VALUE!</v>
      </c>
      <c r="AN112" s="118" t="e">
        <f>3*AL112^2+AJ102</f>
        <v>#VALUE!</v>
      </c>
      <c r="AO112" s="118" t="e">
        <f t="shared" si="28"/>
        <v>#VALUE!</v>
      </c>
      <c r="AP112" s="116"/>
      <c r="AQ112" s="117"/>
      <c r="AS112" s="125"/>
      <c r="AT112" s="126"/>
      <c r="AU112" s="118" t="e">
        <f t="shared" si="34"/>
        <v>#VALUE!</v>
      </c>
      <c r="AV112" s="118" t="e">
        <f>AU112^3+AS102*AU112+AT102</f>
        <v>#VALUE!</v>
      </c>
      <c r="AW112" s="118" t="e">
        <f>3*AU112^2+AS102</f>
        <v>#VALUE!</v>
      </c>
      <c r="AX112" s="118" t="e">
        <f t="shared" si="29"/>
        <v>#VALUE!</v>
      </c>
      <c r="AY112" s="116"/>
      <c r="AZ112" s="117"/>
      <c r="BB112" s="125"/>
      <c r="BC112" s="126"/>
      <c r="BD112" s="118" t="e">
        <f t="shared" si="35"/>
        <v>#VALUE!</v>
      </c>
      <c r="BE112" s="118" t="e">
        <f>BD112^3+BB102*BD112+BC102</f>
        <v>#VALUE!</v>
      </c>
      <c r="BF112" s="118" t="e">
        <f>3*BD112^2+BB102</f>
        <v>#VALUE!</v>
      </c>
      <c r="BG112" s="118" t="e">
        <f t="shared" si="30"/>
        <v>#VALUE!</v>
      </c>
      <c r="BH112" s="116"/>
      <c r="BI112" s="117"/>
      <c r="BK112" s="125"/>
      <c r="BL112" s="126"/>
      <c r="BM112" s="118" t="e">
        <f t="shared" si="36"/>
        <v>#VALUE!</v>
      </c>
      <c r="BN112" s="118" t="e">
        <f>BM112^3+BK102*BM112+BL102</f>
        <v>#VALUE!</v>
      </c>
      <c r="BO112" s="118" t="e">
        <f>3*BM112^2+BK102</f>
        <v>#VALUE!</v>
      </c>
      <c r="BP112" s="118" t="e">
        <f t="shared" si="31"/>
        <v>#VALUE!</v>
      </c>
      <c r="BQ112" s="116"/>
      <c r="BR112" s="117"/>
      <c r="BT112" s="125"/>
      <c r="BU112" s="126"/>
      <c r="BV112" s="118" t="e">
        <f t="shared" si="37"/>
        <v>#VALUE!</v>
      </c>
      <c r="BW112" s="118" t="e">
        <f>BV112^3+BT102*BV112+BU102</f>
        <v>#VALUE!</v>
      </c>
      <c r="BX112" s="118" t="e">
        <f>3*BV112^2+BT102</f>
        <v>#VALUE!</v>
      </c>
      <c r="BY112" s="118" t="e">
        <f t="shared" si="32"/>
        <v>#VALUE!</v>
      </c>
      <c r="BZ112" s="116"/>
      <c r="CA112" s="117"/>
    </row>
    <row r="113" spans="36:79" ht="18" hidden="1" customHeight="1" x14ac:dyDescent="0.15">
      <c r="AJ113" s="125"/>
      <c r="AK113" s="126"/>
      <c r="AL113" s="118" t="e">
        <f t="shared" si="33"/>
        <v>#VALUE!</v>
      </c>
      <c r="AM113" s="118" t="e">
        <f>AL113^3+AJ102*AL113+AK102</f>
        <v>#VALUE!</v>
      </c>
      <c r="AN113" s="118" t="e">
        <f>3*AL113^2+AJ102</f>
        <v>#VALUE!</v>
      </c>
      <c r="AO113" s="118" t="e">
        <f t="shared" si="28"/>
        <v>#VALUE!</v>
      </c>
      <c r="AP113" s="112" t="s">
        <v>147</v>
      </c>
      <c r="AQ113" s="113">
        <v>-15</v>
      </c>
      <c r="AS113" s="125"/>
      <c r="AT113" s="126"/>
      <c r="AU113" s="118" t="e">
        <f t="shared" si="34"/>
        <v>#VALUE!</v>
      </c>
      <c r="AV113" s="118" t="e">
        <f>AU113^3+AS102*AU113+AT102</f>
        <v>#VALUE!</v>
      </c>
      <c r="AW113" s="118" t="e">
        <f>3*AU113^2+AS102</f>
        <v>#VALUE!</v>
      </c>
      <c r="AX113" s="118" t="e">
        <f t="shared" si="29"/>
        <v>#VALUE!</v>
      </c>
      <c r="AY113" s="112" t="s">
        <v>147</v>
      </c>
      <c r="AZ113" s="113">
        <v>-15</v>
      </c>
      <c r="BB113" s="125"/>
      <c r="BC113" s="126"/>
      <c r="BD113" s="118" t="e">
        <f t="shared" si="35"/>
        <v>#VALUE!</v>
      </c>
      <c r="BE113" s="118" t="e">
        <f>BD113^3+BB102*BD113+BC102</f>
        <v>#VALUE!</v>
      </c>
      <c r="BF113" s="118" t="e">
        <f>3*BD113^2+BB102</f>
        <v>#VALUE!</v>
      </c>
      <c r="BG113" s="118" t="e">
        <f t="shared" si="30"/>
        <v>#VALUE!</v>
      </c>
      <c r="BH113" s="112" t="s">
        <v>147</v>
      </c>
      <c r="BI113" s="113">
        <v>-15</v>
      </c>
      <c r="BK113" s="125"/>
      <c r="BL113" s="126"/>
      <c r="BM113" s="118" t="e">
        <f t="shared" si="36"/>
        <v>#VALUE!</v>
      </c>
      <c r="BN113" s="118" t="e">
        <f>BM113^3+BK102*BM113+BL102</f>
        <v>#VALUE!</v>
      </c>
      <c r="BO113" s="118" t="e">
        <f>3*BM113^2+BK102</f>
        <v>#VALUE!</v>
      </c>
      <c r="BP113" s="118" t="e">
        <f t="shared" si="31"/>
        <v>#VALUE!</v>
      </c>
      <c r="BQ113" s="112" t="s">
        <v>147</v>
      </c>
      <c r="BR113" s="113">
        <v>-15</v>
      </c>
      <c r="BT113" s="125"/>
      <c r="BU113" s="126"/>
      <c r="BV113" s="118" t="e">
        <f t="shared" si="37"/>
        <v>#VALUE!</v>
      </c>
      <c r="BW113" s="118" t="e">
        <f>BV113^3+BT102*BV113+BU102</f>
        <v>#VALUE!</v>
      </c>
      <c r="BX113" s="118" t="e">
        <f>3*BV113^2+BT102</f>
        <v>#VALUE!</v>
      </c>
      <c r="BY113" s="118" t="e">
        <f t="shared" si="32"/>
        <v>#VALUE!</v>
      </c>
      <c r="BZ113" s="112" t="s">
        <v>147</v>
      </c>
      <c r="CA113" s="113">
        <v>-15</v>
      </c>
    </row>
    <row r="114" spans="36:79" ht="18" hidden="1" customHeight="1" x14ac:dyDescent="0.15">
      <c r="AJ114" s="125"/>
      <c r="AK114" s="126"/>
      <c r="AL114" s="118" t="e">
        <f t="shared" si="33"/>
        <v>#VALUE!</v>
      </c>
      <c r="AM114" s="118" t="e">
        <f>AL114^3+AJ102*AL114+AK102</f>
        <v>#VALUE!</v>
      </c>
      <c r="AN114" s="118" t="e">
        <f>3*AL114^2+AJ102</f>
        <v>#VALUE!</v>
      </c>
      <c r="AO114" s="118" t="e">
        <f t="shared" si="28"/>
        <v>#VALUE!</v>
      </c>
      <c r="AP114" s="128" t="s">
        <v>218</v>
      </c>
      <c r="AQ114" s="32"/>
      <c r="AS114" s="125"/>
      <c r="AT114" s="126"/>
      <c r="AU114" s="118" t="e">
        <f t="shared" si="34"/>
        <v>#VALUE!</v>
      </c>
      <c r="AV114" s="118" t="e">
        <f>AU114^3+AS102*AU114+AT102</f>
        <v>#VALUE!</v>
      </c>
      <c r="AW114" s="118" t="e">
        <f>3*AU114^2+AS102</f>
        <v>#VALUE!</v>
      </c>
      <c r="AX114" s="118" t="e">
        <f t="shared" si="29"/>
        <v>#VALUE!</v>
      </c>
      <c r="AY114" s="128" t="s">
        <v>219</v>
      </c>
      <c r="AZ114" s="32"/>
      <c r="BB114" s="125"/>
      <c r="BC114" s="126"/>
      <c r="BD114" s="118" t="e">
        <f t="shared" si="35"/>
        <v>#VALUE!</v>
      </c>
      <c r="BE114" s="118" t="e">
        <f>BD114^3+BB102*BD114+BC102</f>
        <v>#VALUE!</v>
      </c>
      <c r="BF114" s="118" t="e">
        <f>3*BD114^2+BB102</f>
        <v>#VALUE!</v>
      </c>
      <c r="BG114" s="118" t="e">
        <f t="shared" si="30"/>
        <v>#VALUE!</v>
      </c>
      <c r="BH114" s="128" t="s">
        <v>220</v>
      </c>
      <c r="BI114" s="32"/>
      <c r="BK114" s="125"/>
      <c r="BL114" s="126"/>
      <c r="BM114" s="118" t="e">
        <f t="shared" si="36"/>
        <v>#VALUE!</v>
      </c>
      <c r="BN114" s="118" t="e">
        <f>BM114^3+BK102*BM114+BL102</f>
        <v>#VALUE!</v>
      </c>
      <c r="BO114" s="118" t="e">
        <f>3*BM114^2+BK102</f>
        <v>#VALUE!</v>
      </c>
      <c r="BP114" s="118" t="e">
        <f t="shared" si="31"/>
        <v>#VALUE!</v>
      </c>
      <c r="BQ114" s="128" t="s">
        <v>221</v>
      </c>
      <c r="BR114" s="32"/>
      <c r="BT114" s="125"/>
      <c r="BU114" s="126"/>
      <c r="BV114" s="118" t="e">
        <f t="shared" si="37"/>
        <v>#VALUE!</v>
      </c>
      <c r="BW114" s="118" t="e">
        <f>BV114^3+BT102*BV114+BU102</f>
        <v>#VALUE!</v>
      </c>
      <c r="BX114" s="118" t="e">
        <f>3*BV114^2+BT102</f>
        <v>#VALUE!</v>
      </c>
      <c r="BY114" s="118" t="e">
        <f t="shared" si="32"/>
        <v>#VALUE!</v>
      </c>
      <c r="BZ114" s="128" t="s">
        <v>222</v>
      </c>
      <c r="CA114" s="32"/>
    </row>
    <row r="115" spans="36:79" ht="18" hidden="1" customHeight="1" x14ac:dyDescent="0.15">
      <c r="AJ115" s="125"/>
      <c r="AK115" s="126"/>
      <c r="AL115" s="18" t="e">
        <f t="shared" si="33"/>
        <v>#VALUE!</v>
      </c>
      <c r="AM115" s="18" t="e">
        <f>AL115^3+AJ102*AL115+AK102</f>
        <v>#VALUE!</v>
      </c>
      <c r="AN115" s="18" t="e">
        <f>3*AL115^2+AJ102</f>
        <v>#VALUE!</v>
      </c>
      <c r="AO115" s="18" t="e">
        <f t="shared" si="28"/>
        <v>#VALUE!</v>
      </c>
      <c r="AP115" s="279" t="s">
        <v>247</v>
      </c>
      <c r="AQ115" s="280"/>
      <c r="AS115" s="125"/>
      <c r="AT115" s="126"/>
      <c r="AU115" s="18" t="e">
        <f t="shared" si="34"/>
        <v>#VALUE!</v>
      </c>
      <c r="AV115" s="18" t="e">
        <f>AU115^3+AS102*AU115+AT102</f>
        <v>#VALUE!</v>
      </c>
      <c r="AW115" s="18" t="e">
        <f>3*AU115^2+AS102</f>
        <v>#VALUE!</v>
      </c>
      <c r="AX115" s="18" t="e">
        <f t="shared" si="29"/>
        <v>#VALUE!</v>
      </c>
      <c r="AY115" s="279" t="s">
        <v>247</v>
      </c>
      <c r="AZ115" s="280"/>
      <c r="BB115" s="125"/>
      <c r="BC115" s="126"/>
      <c r="BD115" s="18" t="e">
        <f t="shared" si="35"/>
        <v>#VALUE!</v>
      </c>
      <c r="BE115" s="18" t="e">
        <f>BD115^3+BB102*BD115+BC102</f>
        <v>#VALUE!</v>
      </c>
      <c r="BF115" s="18" t="e">
        <f>3*BD115^2+BB102</f>
        <v>#VALUE!</v>
      </c>
      <c r="BG115" s="18" t="e">
        <f t="shared" si="30"/>
        <v>#VALUE!</v>
      </c>
      <c r="BH115" s="279" t="s">
        <v>247</v>
      </c>
      <c r="BI115" s="280"/>
      <c r="BK115" s="125"/>
      <c r="BL115" s="126"/>
      <c r="BM115" s="18" t="e">
        <f t="shared" si="36"/>
        <v>#VALUE!</v>
      </c>
      <c r="BN115" s="18" t="e">
        <f>BM115^3+BK102*BM115+BL102</f>
        <v>#VALUE!</v>
      </c>
      <c r="BO115" s="18" t="e">
        <f>3*BM115^2+BK102</f>
        <v>#VALUE!</v>
      </c>
      <c r="BP115" s="18" t="e">
        <f t="shared" si="31"/>
        <v>#VALUE!</v>
      </c>
      <c r="BQ115" s="279" t="s">
        <v>247</v>
      </c>
      <c r="BR115" s="280"/>
      <c r="BT115" s="125"/>
      <c r="BU115" s="126"/>
      <c r="BV115" s="18" t="e">
        <f t="shared" si="37"/>
        <v>#VALUE!</v>
      </c>
      <c r="BW115" s="18" t="e">
        <f>BV115^3+BT102*BV115+BU102</f>
        <v>#VALUE!</v>
      </c>
      <c r="BX115" s="18" t="e">
        <f>3*BV115^2+BT102</f>
        <v>#VALUE!</v>
      </c>
      <c r="BY115" s="18" t="e">
        <f t="shared" si="32"/>
        <v>#VALUE!</v>
      </c>
      <c r="BZ115" s="279" t="s">
        <v>247</v>
      </c>
      <c r="CA115" s="280"/>
    </row>
    <row r="116" spans="36:79" ht="18" hidden="1" customHeight="1" thickBot="1" x14ac:dyDescent="0.2">
      <c r="AJ116" s="125"/>
      <c r="AK116" s="126"/>
      <c r="AL116" s="114" t="e">
        <f t="shared" si="33"/>
        <v>#VALUE!</v>
      </c>
      <c r="AM116" s="115" t="e">
        <f>AL116^3+AJ102*AL116+AK102</f>
        <v>#VALUE!</v>
      </c>
      <c r="AN116" s="115" t="e">
        <f>3*AL116^2+AJ102</f>
        <v>#VALUE!</v>
      </c>
      <c r="AO116" s="115" t="e">
        <f t="shared" si="28"/>
        <v>#VALUE!</v>
      </c>
      <c r="AP116" s="281"/>
      <c r="AQ116" s="282"/>
      <c r="AS116" s="125"/>
      <c r="AT116" s="126"/>
      <c r="AU116" s="114" t="e">
        <f t="shared" si="34"/>
        <v>#VALUE!</v>
      </c>
      <c r="AV116" s="115" t="e">
        <f>AU116^3+AS102*AU116+AT102</f>
        <v>#VALUE!</v>
      </c>
      <c r="AW116" s="115" t="e">
        <f>3*AU116^2+AS102</f>
        <v>#VALUE!</v>
      </c>
      <c r="AX116" s="115" t="e">
        <f t="shared" si="29"/>
        <v>#VALUE!</v>
      </c>
      <c r="AY116" s="281"/>
      <c r="AZ116" s="282"/>
      <c r="BB116" s="125"/>
      <c r="BC116" s="126"/>
      <c r="BD116" s="114" t="e">
        <f t="shared" si="35"/>
        <v>#VALUE!</v>
      </c>
      <c r="BE116" s="115" t="e">
        <f>BD116^3+BB102*BD116+BC102</f>
        <v>#VALUE!</v>
      </c>
      <c r="BF116" s="115" t="e">
        <f>3*BD116^2+BB102</f>
        <v>#VALUE!</v>
      </c>
      <c r="BG116" s="115" t="e">
        <f t="shared" si="30"/>
        <v>#VALUE!</v>
      </c>
      <c r="BH116" s="281"/>
      <c r="BI116" s="282"/>
      <c r="BK116" s="125"/>
      <c r="BL116" s="126"/>
      <c r="BM116" s="114" t="e">
        <f t="shared" si="36"/>
        <v>#VALUE!</v>
      </c>
      <c r="BN116" s="115" t="e">
        <f>BM116^3+BK102*BM116+BL102</f>
        <v>#VALUE!</v>
      </c>
      <c r="BO116" s="115" t="e">
        <f>3*BM116^2+BK102</f>
        <v>#VALUE!</v>
      </c>
      <c r="BP116" s="115" t="e">
        <f t="shared" si="31"/>
        <v>#VALUE!</v>
      </c>
      <c r="BQ116" s="281"/>
      <c r="BR116" s="282"/>
      <c r="BT116" s="125"/>
      <c r="BU116" s="126"/>
      <c r="BV116" s="114" t="e">
        <f t="shared" si="37"/>
        <v>#VALUE!</v>
      </c>
      <c r="BW116" s="115" t="e">
        <f>BV116^3+BT102*BV116+BU102</f>
        <v>#VALUE!</v>
      </c>
      <c r="BX116" s="115" t="e">
        <f>3*BV116^2+BT102</f>
        <v>#VALUE!</v>
      </c>
      <c r="BY116" s="115" t="e">
        <f t="shared" si="32"/>
        <v>#VALUE!</v>
      </c>
      <c r="BZ116" s="281"/>
      <c r="CA116" s="282"/>
    </row>
    <row r="117" spans="36:79" ht="18" hidden="1" customHeight="1" x14ac:dyDescent="0.15">
      <c r="AJ117" s="62" t="s">
        <v>223</v>
      </c>
      <c r="AK117" s="12" t="s">
        <v>224</v>
      </c>
      <c r="AL117" s="12" t="s">
        <v>225</v>
      </c>
      <c r="AM117" s="12" t="s">
        <v>226</v>
      </c>
      <c r="AN117" s="12" t="s">
        <v>227</v>
      </c>
      <c r="AO117" s="63" t="s">
        <v>228</v>
      </c>
      <c r="AP117" s="12" t="s">
        <v>229</v>
      </c>
      <c r="AQ117" s="13" t="s">
        <v>230</v>
      </c>
      <c r="AS117" s="62" t="s">
        <v>223</v>
      </c>
      <c r="AT117" s="12" t="s">
        <v>224</v>
      </c>
      <c r="AU117" s="12" t="s">
        <v>225</v>
      </c>
      <c r="AV117" s="12" t="s">
        <v>226</v>
      </c>
      <c r="AW117" s="12" t="s">
        <v>227</v>
      </c>
      <c r="AX117" s="63" t="s">
        <v>228</v>
      </c>
      <c r="AY117" s="12" t="s">
        <v>229</v>
      </c>
      <c r="AZ117" s="13" t="s">
        <v>230</v>
      </c>
      <c r="BB117" s="62" t="s">
        <v>223</v>
      </c>
      <c r="BC117" s="12" t="s">
        <v>224</v>
      </c>
      <c r="BD117" s="12" t="s">
        <v>225</v>
      </c>
      <c r="BE117" s="12" t="s">
        <v>226</v>
      </c>
      <c r="BF117" s="12" t="s">
        <v>227</v>
      </c>
      <c r="BG117" s="63" t="s">
        <v>228</v>
      </c>
      <c r="BH117" s="12" t="s">
        <v>229</v>
      </c>
      <c r="BI117" s="13" t="s">
        <v>230</v>
      </c>
      <c r="BK117" s="62" t="s">
        <v>223</v>
      </c>
      <c r="BL117" s="12" t="s">
        <v>224</v>
      </c>
      <c r="BM117" s="12" t="s">
        <v>225</v>
      </c>
      <c r="BN117" s="12" t="s">
        <v>226</v>
      </c>
      <c r="BO117" s="12" t="s">
        <v>227</v>
      </c>
      <c r="BP117" s="63" t="s">
        <v>228</v>
      </c>
      <c r="BQ117" s="12" t="s">
        <v>229</v>
      </c>
      <c r="BR117" s="13" t="s">
        <v>230</v>
      </c>
      <c r="BT117" s="62" t="s">
        <v>223</v>
      </c>
      <c r="BU117" s="12" t="s">
        <v>224</v>
      </c>
      <c r="BV117" s="12" t="s">
        <v>225</v>
      </c>
      <c r="BW117" s="12" t="s">
        <v>226</v>
      </c>
      <c r="BX117" s="12" t="s">
        <v>227</v>
      </c>
      <c r="BY117" s="63" t="s">
        <v>228</v>
      </c>
      <c r="BZ117" s="12" t="s">
        <v>229</v>
      </c>
      <c r="CA117" s="13" t="s">
        <v>230</v>
      </c>
    </row>
    <row r="118" spans="36:79" ht="18" hidden="1" customHeight="1" thickBot="1" x14ac:dyDescent="0.2">
      <c r="AJ118" s="107" t="str">
        <f>P23</f>
        <v/>
      </c>
      <c r="AK118" s="108" t="e">
        <f>M23+U23</f>
        <v>#VALUE!</v>
      </c>
      <c r="AL118" s="108">
        <f>IF(C33="",L19*(F19/40)^2,C33)</f>
        <v>0</v>
      </c>
      <c r="AM118" s="108">
        <f>F19</f>
        <v>0</v>
      </c>
      <c r="AN118" s="108" t="e">
        <f>AK78*1600/(8*L19)</f>
        <v>#VALUE!</v>
      </c>
      <c r="AO118" s="109">
        <f>V23</f>
        <v>0</v>
      </c>
      <c r="AP118" s="108" t="str">
        <f>L23</f>
        <v/>
      </c>
      <c r="AQ118" s="110">
        <f>W23</f>
        <v>0</v>
      </c>
      <c r="AS118" s="107" t="str">
        <f>IF(B24="使用電線-2",P24,IF(B25="使用電線-2",P25,IF(B26="使用電線-2",P26,IF(B27="使用電線-2",P27,IF(B28="使用電線-2",P28,IF(B29="使用電線-2",P29,""))))))</f>
        <v/>
      </c>
      <c r="AT118" s="108" t="str">
        <f>IF(B24="使用電線-2",M24+U24,IF(B25="使用電線-2",M25+U25,IF(B26="使用電線-2",M26+U26,IF(B27="使用電線-2",M27+U27,IF(B28="使用電線-2",M28+U28,IF(B29="使用電線-2",M29+U29,""))))))</f>
        <v/>
      </c>
      <c r="AU118" s="108">
        <f>IF(I33="",L19*(F19/40)^2,I33)</f>
        <v>0</v>
      </c>
      <c r="AV118" s="108">
        <f>F19</f>
        <v>0</v>
      </c>
      <c r="AW118" s="108" t="e">
        <f>AT118*1600/(8*L19)</f>
        <v>#VALUE!</v>
      </c>
      <c r="AX118" s="109" t="str">
        <f>IF(B24="使用電線-2",V24,IF(B25="使用電線-2",V25,IF(B26="使用電線-2",V26,IF(B27="使用電線-2",V27,IF(B28="使用電線-2",V28,IF(B29="使用電線-2",V29,""))))))</f>
        <v/>
      </c>
      <c r="AY118" s="108" t="str">
        <f>IF(B24="使用電線-2",L24,IF(B25="使用電線-2",L25,IF(B26="使用電線-2",L26,IF(B27="使用電線-2",L27,IF(B28="使用電線-2",L28,IF(B29="使用電線-2",L29,""))))))</f>
        <v/>
      </c>
      <c r="AZ118" s="110" t="str">
        <f>IF(B24="使用電線-2",W24,IF(B25="使用電線-2",W25,IF(B26="使用電線-2",W26,IF(B27="使用電線-2",W27,IF(B28="使用電線-2",W28,IF(B29="使用電線-2",W29,""))))))</f>
        <v/>
      </c>
      <c r="BB118" s="107" t="str">
        <f>IF(B25="使用電線-3",P25,IF(B26="使用電線-3",P26,IF(B27="使用電線-3",P27,IF(B28="使用電線-3",P28,IF(B29="使用電線-3",P29,"")))))</f>
        <v/>
      </c>
      <c r="BC118" s="108" t="str">
        <f>IF(B25="使用電線-3",M25+U25,IF(B26="使用電線-3",M26+U26,IF(B27="使用電線-3",M27+U27,IF(B28="使用電線-3",M28+U28,IF(B29="使用電線-3",M29+U29,"")))))</f>
        <v/>
      </c>
      <c r="BD118" s="108">
        <f>IF(N33="",L19*(F19/40)^2,N33)</f>
        <v>0</v>
      </c>
      <c r="BE118" s="108">
        <f>F19</f>
        <v>0</v>
      </c>
      <c r="BF118" s="108" t="e">
        <f>BC118*1600/(8*L19)</f>
        <v>#VALUE!</v>
      </c>
      <c r="BG118" s="109" t="str">
        <f>IF(B25="使用電線-3",V25,IF(B26="使用電線-3",V26,IF(B27="使用電線-3",V27,IF(B28="使用電線-3",V28,IF(B29="使用電線-3",V29,"")))))</f>
        <v/>
      </c>
      <c r="BH118" s="108" t="str">
        <f>IF(B25="使用電線-3",L25,IF(B26="使用電線-3",L26,IF(B27="使用電線-3",L27,IF(B28="使用電線-3",L28,IF(B29="使用電線-3",L29,"")))))</f>
        <v/>
      </c>
      <c r="BI118" s="110" t="str">
        <f>IF(B25="使用電線-3",W25,IF(B26="使用電線-3",W26,IF(B27="使用電線-3",W27,IF(B28="使用電線-3",W28,IF(B29="使用電線-3",W29,"")))))</f>
        <v/>
      </c>
      <c r="BK118" s="107" t="str">
        <f>IF(B26="使用電線-4",P26,IF(B27="使用電線-4",P27,IF(B28="使用電線-4",P28,IF(B29="使用電線-4",P29,""))))</f>
        <v/>
      </c>
      <c r="BL118" s="108" t="str">
        <f>IF(B26="使用電線-4",M26+U26,IF(B27="使用電線-4",M27+U27,IF(B28="使用電線-4",M28+U28,IF(B29="使用電線-4",M29+U29,""))))</f>
        <v/>
      </c>
      <c r="BM118" s="108">
        <f>IF(C47="",L19*(F19/40)^2,C47)</f>
        <v>0</v>
      </c>
      <c r="BN118" s="108">
        <f>F19</f>
        <v>0</v>
      </c>
      <c r="BO118" s="127" t="e">
        <f>BL118*1600/(8*L19)</f>
        <v>#VALUE!</v>
      </c>
      <c r="BP118" s="109" t="str">
        <f>IF(B26="使用電線-4",V26,IF(B27="使用電線-4",V27,IF(B28="使用電線-4",V28,IF(B29="使用電線-4",V29,""))))</f>
        <v/>
      </c>
      <c r="BQ118" s="108" t="str">
        <f>IF(B26="使用電線-4",L26,IF(B27="使用電線-4",L27,IF(B28="使用電線-4",L28,IF(B29="使用電線-4",L29,""))))</f>
        <v/>
      </c>
      <c r="BR118" s="110" t="str">
        <f>IF(B26="使用電線-4",W26,IF(B27="使用電線-4",W27,IF(B28="使用電線-4",W28,IF(B29="使用電線-4",W29,""))))</f>
        <v/>
      </c>
      <c r="BT118" s="107" t="str">
        <f>IF(B27="使用電線-5",P27,IF(B28="使用電線-5",P28,IF(B29="使用電線-5",P29,"")))</f>
        <v/>
      </c>
      <c r="BU118" s="108" t="str">
        <f>IF(B27="使用電線-5",M27+U27,IF(B28="使用電線-5",M28+U28,IF(B29="使用電線-5",M29+U29,"")))</f>
        <v/>
      </c>
      <c r="BV118" s="108">
        <f>IF(I47="",L19*(F19/40)^2,I47)</f>
        <v>0</v>
      </c>
      <c r="BW118" s="108">
        <f>F19</f>
        <v>0</v>
      </c>
      <c r="BX118" s="127" t="e">
        <f>BU118*1600/(8*L19)</f>
        <v>#VALUE!</v>
      </c>
      <c r="BY118" s="109" t="str">
        <f>IF(B27="使用電線-5",V27,IF(B28="使用電線-5",V28,IF(B29="使用電線-5",V29,"")))</f>
        <v/>
      </c>
      <c r="BZ118" s="108" t="str">
        <f>IF(B27="使用電線-5",L27,IF(B28="使用電線-5",L28,IF(B29="使用電線-5",L29,"")))</f>
        <v/>
      </c>
      <c r="CA118" s="110" t="str">
        <f>IF(B27="使用電線-5",W27,IF(B28="使用電線-5",W28,IF(B29="使用電線-5",W29,"")))</f>
        <v/>
      </c>
    </row>
    <row r="119" spans="36:79" ht="18" hidden="1" customHeight="1" x14ac:dyDescent="0.15"/>
    <row r="120" spans="36:79" ht="18" hidden="1" customHeight="1" thickBot="1" x14ac:dyDescent="0.2"/>
    <row r="121" spans="36:79" ht="18" hidden="1" customHeight="1" x14ac:dyDescent="0.15">
      <c r="AJ121" s="2" t="s">
        <v>232</v>
      </c>
      <c r="AK121" s="111" t="s">
        <v>233</v>
      </c>
      <c r="AL121" s="12" t="s">
        <v>234</v>
      </c>
      <c r="AM121" s="12" t="s">
        <v>235</v>
      </c>
      <c r="AN121" s="12" t="s">
        <v>236</v>
      </c>
      <c r="AO121" s="12" t="s">
        <v>237</v>
      </c>
      <c r="AP121" s="12" t="s">
        <v>238</v>
      </c>
      <c r="AQ121" s="13" t="s">
        <v>239</v>
      </c>
      <c r="AS121" s="2" t="s">
        <v>232</v>
      </c>
      <c r="AT121" s="111" t="s">
        <v>233</v>
      </c>
      <c r="AU121" s="12" t="s">
        <v>234</v>
      </c>
      <c r="AV121" s="12" t="s">
        <v>235</v>
      </c>
      <c r="AW121" s="12" t="s">
        <v>236</v>
      </c>
      <c r="AX121" s="12" t="s">
        <v>237</v>
      </c>
      <c r="AY121" s="12" t="s">
        <v>238</v>
      </c>
      <c r="AZ121" s="13" t="s">
        <v>239</v>
      </c>
      <c r="BB121" s="2" t="s">
        <v>232</v>
      </c>
      <c r="BC121" s="111" t="s">
        <v>233</v>
      </c>
      <c r="BD121" s="12" t="s">
        <v>234</v>
      </c>
      <c r="BE121" s="12" t="s">
        <v>235</v>
      </c>
      <c r="BF121" s="12" t="s">
        <v>236</v>
      </c>
      <c r="BG121" s="12" t="s">
        <v>237</v>
      </c>
      <c r="BH121" s="12" t="s">
        <v>238</v>
      </c>
      <c r="BI121" s="13" t="s">
        <v>239</v>
      </c>
      <c r="BK121" s="2" t="s">
        <v>232</v>
      </c>
      <c r="BL121" s="111" t="s">
        <v>233</v>
      </c>
      <c r="BM121" s="12" t="s">
        <v>234</v>
      </c>
      <c r="BN121" s="12" t="s">
        <v>235</v>
      </c>
      <c r="BO121" s="12" t="s">
        <v>236</v>
      </c>
      <c r="BP121" s="12" t="s">
        <v>237</v>
      </c>
      <c r="BQ121" s="12" t="s">
        <v>238</v>
      </c>
      <c r="BR121" s="13" t="s">
        <v>239</v>
      </c>
      <c r="BT121" s="2" t="s">
        <v>232</v>
      </c>
      <c r="BU121" s="111" t="s">
        <v>233</v>
      </c>
      <c r="BV121" s="12" t="s">
        <v>234</v>
      </c>
      <c r="BW121" s="12" t="s">
        <v>235</v>
      </c>
      <c r="BX121" s="12" t="s">
        <v>236</v>
      </c>
      <c r="BY121" s="12" t="s">
        <v>237</v>
      </c>
      <c r="BZ121" s="12" t="s">
        <v>238</v>
      </c>
      <c r="CA121" s="13" t="s">
        <v>239</v>
      </c>
    </row>
    <row r="122" spans="36:79" ht="18" hidden="1" customHeight="1" x14ac:dyDescent="0.15">
      <c r="AJ122" s="16" t="e">
        <f>-AJ125+AJ128</f>
        <v>#VALUE!</v>
      </c>
      <c r="AK122" s="17" t="e">
        <f>-AJ131</f>
        <v>#VALUE!</v>
      </c>
      <c r="AL122" s="18" t="e">
        <f>IF(AND(AP125&lt;0,AQ125&lt;0),AQ122*1.2,IF(AND(AP125&gt;0,AQ125&gt;0),AP122*0.8,10))</f>
        <v>#VALUE!</v>
      </c>
      <c r="AM122" s="18" t="e">
        <f>AL122^3+AJ122*AL122+AK122</f>
        <v>#VALUE!</v>
      </c>
      <c r="AN122" s="18" t="e">
        <f>3*AL122^2+AJ122</f>
        <v>#VALUE!</v>
      </c>
      <c r="AO122" s="18" t="e">
        <f t="shared" ref="AO122:AO136" si="38">AL122-AM122/AN122</f>
        <v>#VALUE!</v>
      </c>
      <c r="AP122" s="18" t="e">
        <f>-SQRT(ABS(-4*3*AJ122))/6</f>
        <v>#VALUE!</v>
      </c>
      <c r="AQ122" s="19" t="e">
        <f>SQRT(ABS(-4*3*AJ122))/6</f>
        <v>#VALUE!</v>
      </c>
      <c r="AS122" s="16" t="e">
        <f>-AS125+AS128</f>
        <v>#VALUE!</v>
      </c>
      <c r="AT122" s="17" t="e">
        <f>-AS131</f>
        <v>#VALUE!</v>
      </c>
      <c r="AU122" s="18" t="e">
        <f>IF(AND(AY125&lt;0,AZ125&lt;0),AZ122*1.2,IF(AND(AY125&gt;0,AZ125&gt;0),AY122*0.8,10))</f>
        <v>#VALUE!</v>
      </c>
      <c r="AV122" s="18" t="e">
        <f>AU122^3+AS122*AU122+AT122</f>
        <v>#VALUE!</v>
      </c>
      <c r="AW122" s="18" t="e">
        <f>3*AU122^2+AS122</f>
        <v>#VALUE!</v>
      </c>
      <c r="AX122" s="18" t="e">
        <f t="shared" ref="AX122:AX136" si="39">AU122-AV122/AW122</f>
        <v>#VALUE!</v>
      </c>
      <c r="AY122" s="18" t="e">
        <f>-SQRT(ABS(-4*3*AS122))/6</f>
        <v>#VALUE!</v>
      </c>
      <c r="AZ122" s="19" t="e">
        <f>SQRT(ABS(-4*3*AS122))/6</f>
        <v>#VALUE!</v>
      </c>
      <c r="BB122" s="16" t="e">
        <f>-BB125+BB128</f>
        <v>#VALUE!</v>
      </c>
      <c r="BC122" s="17" t="e">
        <f>-BB131</f>
        <v>#VALUE!</v>
      </c>
      <c r="BD122" s="18" t="e">
        <f>IF(AND(BH125&lt;0,BI125&lt;0),BI122*1.2,IF(AND(BH125&gt;0,BI125&gt;0),BH122*0.8,10))</f>
        <v>#VALUE!</v>
      </c>
      <c r="BE122" s="18" t="e">
        <f>BD122^3+BB122*BD122+BC122</f>
        <v>#VALUE!</v>
      </c>
      <c r="BF122" s="18" t="e">
        <f>3*BD122^2+BB122</f>
        <v>#VALUE!</v>
      </c>
      <c r="BG122" s="18" t="e">
        <f t="shared" ref="BG122:BG136" si="40">BD122-BE122/BF122</f>
        <v>#VALUE!</v>
      </c>
      <c r="BH122" s="18" t="e">
        <f>-SQRT(ABS(-4*3*BB122))/6</f>
        <v>#VALUE!</v>
      </c>
      <c r="BI122" s="19" t="e">
        <f>SQRT(ABS(-4*3*BB122))/6</f>
        <v>#VALUE!</v>
      </c>
      <c r="BK122" s="16" t="e">
        <f>-BK125+BK128</f>
        <v>#VALUE!</v>
      </c>
      <c r="BL122" s="17" t="e">
        <f>-BK131</f>
        <v>#VALUE!</v>
      </c>
      <c r="BM122" s="18" t="e">
        <f>IF(AND(BQ125&lt;0,BR125&lt;0),BR122*1.2,IF(AND(BQ125&gt;0,BR125&gt;0),BQ122*0.8,10))</f>
        <v>#VALUE!</v>
      </c>
      <c r="BN122" s="18" t="e">
        <f>BM122^3+BK122*BM122+BL122</f>
        <v>#VALUE!</v>
      </c>
      <c r="BO122" s="18" t="e">
        <f>3*BM122^2+BK122</f>
        <v>#VALUE!</v>
      </c>
      <c r="BP122" s="18" t="e">
        <f t="shared" ref="BP122:BP136" si="41">BM122-BN122/BO122</f>
        <v>#VALUE!</v>
      </c>
      <c r="BQ122" s="18" t="e">
        <f>-SQRT(ABS(-4*3*BK122))/6</f>
        <v>#VALUE!</v>
      </c>
      <c r="BR122" s="19" t="e">
        <f>SQRT(ABS(-4*3*BK122))/6</f>
        <v>#VALUE!</v>
      </c>
      <c r="BT122" s="16" t="e">
        <f>-BT125+BT128</f>
        <v>#VALUE!</v>
      </c>
      <c r="BU122" s="17" t="e">
        <f>-BT131</f>
        <v>#VALUE!</v>
      </c>
      <c r="BV122" s="18" t="e">
        <f>IF(AND(BZ125&lt;0,CA125&lt;0),CA122*1.2,IF(AND(BZ125&gt;0,CA125&gt;0),BZ122*0.8,10))</f>
        <v>#VALUE!</v>
      </c>
      <c r="BW122" s="18" t="e">
        <f>BV122^3+BT122*BV122+BU122</f>
        <v>#VALUE!</v>
      </c>
      <c r="BX122" s="18" t="e">
        <f>3*BV122^2+BT122</f>
        <v>#VALUE!</v>
      </c>
      <c r="BY122" s="18" t="e">
        <f t="shared" ref="BY122:BY136" si="42">BV122-BW122/BX122</f>
        <v>#VALUE!</v>
      </c>
      <c r="BZ122" s="18" t="e">
        <f>-SQRT(ABS(-4*3*BT122))/6</f>
        <v>#VALUE!</v>
      </c>
      <c r="CA122" s="19" t="e">
        <f>SQRT(ABS(-4*3*BT122))/6</f>
        <v>#VALUE!</v>
      </c>
    </row>
    <row r="123" spans="36:79" ht="18" hidden="1" customHeight="1" x14ac:dyDescent="0.15">
      <c r="AJ123" s="267"/>
      <c r="AK123" s="268"/>
      <c r="AL123" s="18" t="e">
        <f t="shared" ref="AL123:AL136" si="43">AO122</f>
        <v>#VALUE!</v>
      </c>
      <c r="AM123" s="18" t="e">
        <f>AL123^3+AJ122*AL123+AK122</f>
        <v>#VALUE!</v>
      </c>
      <c r="AN123" s="18" t="e">
        <f>3*AL123^2+AJ122</f>
        <v>#VALUE!</v>
      </c>
      <c r="AO123" s="18" t="e">
        <f t="shared" si="38"/>
        <v>#VALUE!</v>
      </c>
      <c r="AP123" s="6"/>
      <c r="AQ123" s="7"/>
      <c r="AS123" s="267"/>
      <c r="AT123" s="268"/>
      <c r="AU123" s="18" t="e">
        <f t="shared" ref="AU123:AU136" si="44">AX122</f>
        <v>#VALUE!</v>
      </c>
      <c r="AV123" s="18" t="e">
        <f>AU123^3+AS122*AU123+AT122</f>
        <v>#VALUE!</v>
      </c>
      <c r="AW123" s="18" t="e">
        <f>3*AU123^2+AS122</f>
        <v>#VALUE!</v>
      </c>
      <c r="AX123" s="18" t="e">
        <f t="shared" si="39"/>
        <v>#VALUE!</v>
      </c>
      <c r="AY123" s="6"/>
      <c r="AZ123" s="7"/>
      <c r="BB123" s="267"/>
      <c r="BC123" s="268"/>
      <c r="BD123" s="18" t="e">
        <f t="shared" ref="BD123:BD136" si="45">BG122</f>
        <v>#VALUE!</v>
      </c>
      <c r="BE123" s="18" t="e">
        <f>BD123^3+BB122*BD123+BC122</f>
        <v>#VALUE!</v>
      </c>
      <c r="BF123" s="18" t="e">
        <f>3*BD123^2+BB122</f>
        <v>#VALUE!</v>
      </c>
      <c r="BG123" s="18" t="e">
        <f t="shared" si="40"/>
        <v>#VALUE!</v>
      </c>
      <c r="BH123" s="6"/>
      <c r="BI123" s="7"/>
      <c r="BK123" s="267"/>
      <c r="BL123" s="268"/>
      <c r="BM123" s="18" t="e">
        <f t="shared" ref="BM123:BM136" si="46">BP122</f>
        <v>#VALUE!</v>
      </c>
      <c r="BN123" s="18" t="e">
        <f>BM123^3+BK122*BM123+BL122</f>
        <v>#VALUE!</v>
      </c>
      <c r="BO123" s="18" t="e">
        <f>3*BM123^2+BK122</f>
        <v>#VALUE!</v>
      </c>
      <c r="BP123" s="18" t="e">
        <f t="shared" si="41"/>
        <v>#VALUE!</v>
      </c>
      <c r="BQ123" s="6"/>
      <c r="BR123" s="7"/>
      <c r="BT123" s="267"/>
      <c r="BU123" s="268"/>
      <c r="BV123" s="18" t="e">
        <f t="shared" ref="BV123:BV136" si="47">BY122</f>
        <v>#VALUE!</v>
      </c>
      <c r="BW123" s="18" t="e">
        <f>BV123^3+BT122*BV123+BU122</f>
        <v>#VALUE!</v>
      </c>
      <c r="BX123" s="18" t="e">
        <f>3*BV123^2+BT122</f>
        <v>#VALUE!</v>
      </c>
      <c r="BY123" s="18" t="e">
        <f t="shared" si="42"/>
        <v>#VALUE!</v>
      </c>
      <c r="BZ123" s="6"/>
      <c r="CA123" s="7"/>
    </row>
    <row r="124" spans="36:79" ht="18" hidden="1" customHeight="1" x14ac:dyDescent="0.15">
      <c r="AJ124" s="269" t="s">
        <v>240</v>
      </c>
      <c r="AK124" s="270"/>
      <c r="AL124" s="18" t="e">
        <f t="shared" si="43"/>
        <v>#VALUE!</v>
      </c>
      <c r="AM124" s="18" t="e">
        <f>AL124^3+AJ122*AL124+AK122</f>
        <v>#VALUE!</v>
      </c>
      <c r="AN124" s="18" t="e">
        <f>3*AL124^2+AJ122</f>
        <v>#VALUE!</v>
      </c>
      <c r="AO124" s="18" t="e">
        <f t="shared" si="38"/>
        <v>#VALUE!</v>
      </c>
      <c r="AP124" s="14" t="s">
        <v>241</v>
      </c>
      <c r="AQ124" s="15" t="s">
        <v>242</v>
      </c>
      <c r="AS124" s="269" t="s">
        <v>240</v>
      </c>
      <c r="AT124" s="270"/>
      <c r="AU124" s="18" t="e">
        <f t="shared" si="44"/>
        <v>#VALUE!</v>
      </c>
      <c r="AV124" s="18" t="e">
        <f>AU124^3+AS122*AU124+AT122</f>
        <v>#VALUE!</v>
      </c>
      <c r="AW124" s="18" t="e">
        <f>3*AU124^2+AS122</f>
        <v>#VALUE!</v>
      </c>
      <c r="AX124" s="18" t="e">
        <f t="shared" si="39"/>
        <v>#VALUE!</v>
      </c>
      <c r="AY124" s="14" t="s">
        <v>241</v>
      </c>
      <c r="AZ124" s="15" t="s">
        <v>242</v>
      </c>
      <c r="BB124" s="269" t="s">
        <v>240</v>
      </c>
      <c r="BC124" s="270"/>
      <c r="BD124" s="18" t="e">
        <f t="shared" si="45"/>
        <v>#VALUE!</v>
      </c>
      <c r="BE124" s="18" t="e">
        <f>BD124^3+BB122*BD124+BC122</f>
        <v>#VALUE!</v>
      </c>
      <c r="BF124" s="18" t="e">
        <f>3*BD124^2+BB122</f>
        <v>#VALUE!</v>
      </c>
      <c r="BG124" s="18" t="e">
        <f t="shared" si="40"/>
        <v>#VALUE!</v>
      </c>
      <c r="BH124" s="14" t="s">
        <v>241</v>
      </c>
      <c r="BI124" s="15" t="s">
        <v>242</v>
      </c>
      <c r="BK124" s="269" t="s">
        <v>240</v>
      </c>
      <c r="BL124" s="270"/>
      <c r="BM124" s="18" t="e">
        <f t="shared" si="46"/>
        <v>#VALUE!</v>
      </c>
      <c r="BN124" s="18" t="e">
        <f>BM124^3+BK122*BM124+BL122</f>
        <v>#VALUE!</v>
      </c>
      <c r="BO124" s="18" t="e">
        <f>3*BM124^2+BK122</f>
        <v>#VALUE!</v>
      </c>
      <c r="BP124" s="18" t="e">
        <f t="shared" si="41"/>
        <v>#VALUE!</v>
      </c>
      <c r="BQ124" s="14" t="s">
        <v>241</v>
      </c>
      <c r="BR124" s="15" t="s">
        <v>242</v>
      </c>
      <c r="BT124" s="269" t="s">
        <v>240</v>
      </c>
      <c r="BU124" s="270"/>
      <c r="BV124" s="18" t="e">
        <f t="shared" si="47"/>
        <v>#VALUE!</v>
      </c>
      <c r="BW124" s="18" t="e">
        <f>BV124^3+BT122*BV124+BU122</f>
        <v>#VALUE!</v>
      </c>
      <c r="BX124" s="18" t="e">
        <f>3*BV124^2+BT122</f>
        <v>#VALUE!</v>
      </c>
      <c r="BY124" s="18" t="e">
        <f t="shared" si="42"/>
        <v>#VALUE!</v>
      </c>
      <c r="BZ124" s="14" t="s">
        <v>241</v>
      </c>
      <c r="CA124" s="15" t="s">
        <v>242</v>
      </c>
    </row>
    <row r="125" spans="36:79" ht="18" hidden="1" customHeight="1" x14ac:dyDescent="0.15">
      <c r="AJ125" s="269">
        <f>(AL138^2)+3*(AM138^2)*AQ138*(AQ133-15)/(8*10^7)</f>
        <v>0</v>
      </c>
      <c r="AK125" s="270"/>
      <c r="AL125" s="18" t="e">
        <f t="shared" si="43"/>
        <v>#VALUE!</v>
      </c>
      <c r="AM125" s="18" t="e">
        <f>AL125^3+AJ122*AL125+AK122</f>
        <v>#VALUE!</v>
      </c>
      <c r="AN125" s="18" t="e">
        <f>3*AL125^2+AJ122</f>
        <v>#VALUE!</v>
      </c>
      <c r="AO125" s="18" t="e">
        <f t="shared" si="38"/>
        <v>#VALUE!</v>
      </c>
      <c r="AP125" s="18" t="e">
        <f>AP122^3+AJ122*AP122+AK122</f>
        <v>#VALUE!</v>
      </c>
      <c r="AQ125" s="19" t="e">
        <f>AQ122^3+AJ122*AQ122+AK122</f>
        <v>#VALUE!</v>
      </c>
      <c r="AS125" s="269" t="e">
        <f>(AU138^2)+3*(AV138^2)*AZ138*(AZ133-15)/(8*10^7)</f>
        <v>#VALUE!</v>
      </c>
      <c r="AT125" s="270"/>
      <c r="AU125" s="18" t="e">
        <f t="shared" si="44"/>
        <v>#VALUE!</v>
      </c>
      <c r="AV125" s="18" t="e">
        <f>AU125^3+AS122*AU125+AT122</f>
        <v>#VALUE!</v>
      </c>
      <c r="AW125" s="18" t="e">
        <f>3*AU125^2+AS122</f>
        <v>#VALUE!</v>
      </c>
      <c r="AX125" s="18" t="e">
        <f t="shared" si="39"/>
        <v>#VALUE!</v>
      </c>
      <c r="AY125" s="18" t="e">
        <f>AY122^3+AS122*AY122+AT122</f>
        <v>#VALUE!</v>
      </c>
      <c r="AZ125" s="19" t="e">
        <f>AZ122^3+AS122*AZ122+AT122</f>
        <v>#VALUE!</v>
      </c>
      <c r="BB125" s="269" t="e">
        <f>(BD138^2)+3*(BE138^2)*BI138*(BI133-15)/(8*10^7)</f>
        <v>#VALUE!</v>
      </c>
      <c r="BC125" s="270"/>
      <c r="BD125" s="18" t="e">
        <f t="shared" si="45"/>
        <v>#VALUE!</v>
      </c>
      <c r="BE125" s="18" t="e">
        <f>BD125^3+BB122*BD125+BC122</f>
        <v>#VALUE!</v>
      </c>
      <c r="BF125" s="18" t="e">
        <f>3*BD125^2+BB122</f>
        <v>#VALUE!</v>
      </c>
      <c r="BG125" s="18" t="e">
        <f t="shared" si="40"/>
        <v>#VALUE!</v>
      </c>
      <c r="BH125" s="18" t="e">
        <f>BH122^3+BB122*BH122+BC122</f>
        <v>#VALUE!</v>
      </c>
      <c r="BI125" s="19" t="e">
        <f>BI122^3+BB122*BI122+BC122</f>
        <v>#VALUE!</v>
      </c>
      <c r="BK125" s="269" t="e">
        <f>(BM138^2)+3*(BN138^2)*BR138*(BR133-15)/(8*10^7)</f>
        <v>#VALUE!</v>
      </c>
      <c r="BL125" s="270"/>
      <c r="BM125" s="18" t="e">
        <f t="shared" si="46"/>
        <v>#VALUE!</v>
      </c>
      <c r="BN125" s="18" t="e">
        <f>BM125^3+BK122*BM125+BL122</f>
        <v>#VALUE!</v>
      </c>
      <c r="BO125" s="18" t="e">
        <f>3*BM125^2+BK122</f>
        <v>#VALUE!</v>
      </c>
      <c r="BP125" s="18" t="e">
        <f t="shared" si="41"/>
        <v>#VALUE!</v>
      </c>
      <c r="BQ125" s="18" t="e">
        <f>BQ122^3+BK122*BQ122+BL122</f>
        <v>#VALUE!</v>
      </c>
      <c r="BR125" s="19" t="e">
        <f>BR122^3+BK122*BR122+BL122</f>
        <v>#VALUE!</v>
      </c>
      <c r="BT125" s="269" t="e">
        <f>(BV138^2)+3*(BW138^2)*CA138*(CA133-15)/(8*10^7)</f>
        <v>#VALUE!</v>
      </c>
      <c r="BU125" s="270"/>
      <c r="BV125" s="18" t="e">
        <f t="shared" si="47"/>
        <v>#VALUE!</v>
      </c>
      <c r="BW125" s="18" t="e">
        <f>BV125^3+BT122*BV125+BU122</f>
        <v>#VALUE!</v>
      </c>
      <c r="BX125" s="18" t="e">
        <f>3*BV125^2+BT122</f>
        <v>#VALUE!</v>
      </c>
      <c r="BY125" s="18" t="e">
        <f t="shared" si="42"/>
        <v>#VALUE!</v>
      </c>
      <c r="BZ125" s="18" t="e">
        <f>BZ122^3+BT122*BZ122+BU122</f>
        <v>#VALUE!</v>
      </c>
      <c r="CA125" s="19" t="e">
        <f>CA122^3+BT122*CA122+BU122</f>
        <v>#VALUE!</v>
      </c>
    </row>
    <row r="126" spans="36:79" ht="18" hidden="1" customHeight="1" x14ac:dyDescent="0.15">
      <c r="AJ126" s="267"/>
      <c r="AK126" s="268"/>
      <c r="AL126" s="18" t="e">
        <f t="shared" si="43"/>
        <v>#VALUE!</v>
      </c>
      <c r="AM126" s="18" t="e">
        <f>AL126^3+AJ122*AL126+AK122</f>
        <v>#VALUE!</v>
      </c>
      <c r="AN126" s="18" t="e">
        <f>3*AL126^2+AJ122</f>
        <v>#VALUE!</v>
      </c>
      <c r="AO126" s="18" t="e">
        <f t="shared" si="38"/>
        <v>#VALUE!</v>
      </c>
      <c r="AP126" s="31"/>
      <c r="AQ126" s="32"/>
      <c r="AS126" s="267"/>
      <c r="AT126" s="268"/>
      <c r="AU126" s="18" t="e">
        <f t="shared" si="44"/>
        <v>#VALUE!</v>
      </c>
      <c r="AV126" s="18" t="e">
        <f>AU126^3+AS122*AU126+AT122</f>
        <v>#VALUE!</v>
      </c>
      <c r="AW126" s="18" t="e">
        <f>3*AU126^2+AS122</f>
        <v>#VALUE!</v>
      </c>
      <c r="AX126" s="18" t="e">
        <f t="shared" si="39"/>
        <v>#VALUE!</v>
      </c>
      <c r="AY126" s="31"/>
      <c r="AZ126" s="32"/>
      <c r="BB126" s="267"/>
      <c r="BC126" s="268"/>
      <c r="BD126" s="18" t="e">
        <f t="shared" si="45"/>
        <v>#VALUE!</v>
      </c>
      <c r="BE126" s="18" t="e">
        <f>BD126^3+BB122*BD126+BC122</f>
        <v>#VALUE!</v>
      </c>
      <c r="BF126" s="18" t="e">
        <f>3*BD126^2+BB122</f>
        <v>#VALUE!</v>
      </c>
      <c r="BG126" s="18" t="e">
        <f t="shared" si="40"/>
        <v>#VALUE!</v>
      </c>
      <c r="BH126" s="31"/>
      <c r="BI126" s="32"/>
      <c r="BK126" s="267"/>
      <c r="BL126" s="268"/>
      <c r="BM126" s="18" t="e">
        <f t="shared" si="46"/>
        <v>#VALUE!</v>
      </c>
      <c r="BN126" s="18" t="e">
        <f>BM126^3+BK122*BM126+BL122</f>
        <v>#VALUE!</v>
      </c>
      <c r="BO126" s="18" t="e">
        <f>3*BM126^2+BK122</f>
        <v>#VALUE!</v>
      </c>
      <c r="BP126" s="18" t="e">
        <f t="shared" si="41"/>
        <v>#VALUE!</v>
      </c>
      <c r="BQ126" s="31"/>
      <c r="BR126" s="32"/>
      <c r="BT126" s="267"/>
      <c r="BU126" s="268"/>
      <c r="BV126" s="18" t="e">
        <f t="shared" si="47"/>
        <v>#VALUE!</v>
      </c>
      <c r="BW126" s="18" t="e">
        <f>BV126^3+BT122*BV126+BU122</f>
        <v>#VALUE!</v>
      </c>
      <c r="BX126" s="18" t="e">
        <f>3*BV126^2+BT122</f>
        <v>#VALUE!</v>
      </c>
      <c r="BY126" s="18" t="e">
        <f t="shared" si="42"/>
        <v>#VALUE!</v>
      </c>
      <c r="BZ126" s="31"/>
      <c r="CA126" s="32"/>
    </row>
    <row r="127" spans="36:79" ht="18" hidden="1" customHeight="1" x14ac:dyDescent="0.15">
      <c r="AJ127" s="269" t="s">
        <v>243</v>
      </c>
      <c r="AK127" s="270"/>
      <c r="AL127" s="18" t="e">
        <f t="shared" si="43"/>
        <v>#VALUE!</v>
      </c>
      <c r="AM127" s="18" t="e">
        <f>AL127^3+AJ122*AL127+AK122</f>
        <v>#VALUE!</v>
      </c>
      <c r="AN127" s="18" t="e">
        <f>3*AL127^2+AJ122</f>
        <v>#VALUE!</v>
      </c>
      <c r="AO127" s="18" t="e">
        <f t="shared" si="38"/>
        <v>#VALUE!</v>
      </c>
      <c r="AP127" s="31"/>
      <c r="AQ127" s="32"/>
      <c r="AS127" s="269" t="s">
        <v>243</v>
      </c>
      <c r="AT127" s="270"/>
      <c r="AU127" s="18" t="e">
        <f t="shared" si="44"/>
        <v>#VALUE!</v>
      </c>
      <c r="AV127" s="18" t="e">
        <f>AU127^3+AS122*AU127+AT122</f>
        <v>#VALUE!</v>
      </c>
      <c r="AW127" s="18" t="e">
        <f>3*AU127^2+AS122</f>
        <v>#VALUE!</v>
      </c>
      <c r="AX127" s="18" t="e">
        <f t="shared" si="39"/>
        <v>#VALUE!</v>
      </c>
      <c r="AY127" s="31"/>
      <c r="AZ127" s="32"/>
      <c r="BB127" s="269" t="s">
        <v>243</v>
      </c>
      <c r="BC127" s="270"/>
      <c r="BD127" s="18" t="e">
        <f t="shared" si="45"/>
        <v>#VALUE!</v>
      </c>
      <c r="BE127" s="18" t="e">
        <f>BD127^3+BB122*BD127+BC122</f>
        <v>#VALUE!</v>
      </c>
      <c r="BF127" s="18" t="e">
        <f>3*BD127^2+BB122</f>
        <v>#VALUE!</v>
      </c>
      <c r="BG127" s="18" t="e">
        <f t="shared" si="40"/>
        <v>#VALUE!</v>
      </c>
      <c r="BH127" s="31"/>
      <c r="BI127" s="32"/>
      <c r="BK127" s="269" t="s">
        <v>243</v>
      </c>
      <c r="BL127" s="270"/>
      <c r="BM127" s="18" t="e">
        <f t="shared" si="46"/>
        <v>#VALUE!</v>
      </c>
      <c r="BN127" s="18" t="e">
        <f>BM127^3+BK122*BM127+BL122</f>
        <v>#VALUE!</v>
      </c>
      <c r="BO127" s="18" t="e">
        <f>3*BM127^2+BK122</f>
        <v>#VALUE!</v>
      </c>
      <c r="BP127" s="18" t="e">
        <f t="shared" si="41"/>
        <v>#VALUE!</v>
      </c>
      <c r="BQ127" s="31"/>
      <c r="BR127" s="32"/>
      <c r="BT127" s="269" t="s">
        <v>243</v>
      </c>
      <c r="BU127" s="270"/>
      <c r="BV127" s="18" t="e">
        <f t="shared" si="47"/>
        <v>#VALUE!</v>
      </c>
      <c r="BW127" s="18" t="e">
        <f>BV127^3+BT122*BV127+BU122</f>
        <v>#VALUE!</v>
      </c>
      <c r="BX127" s="18" t="e">
        <f>3*BV127^2+BT122</f>
        <v>#VALUE!</v>
      </c>
      <c r="BY127" s="18" t="e">
        <f t="shared" si="42"/>
        <v>#VALUE!</v>
      </c>
      <c r="BZ127" s="31"/>
      <c r="CA127" s="32"/>
    </row>
    <row r="128" spans="36:79" ht="18" hidden="1" customHeight="1" x14ac:dyDescent="0.15">
      <c r="AJ128" s="277" t="e">
        <f>3*(AM138^2)*AN138/(8*AO138*AP138)</f>
        <v>#VALUE!</v>
      </c>
      <c r="AK128" s="278"/>
      <c r="AL128" s="118" t="e">
        <f t="shared" si="43"/>
        <v>#VALUE!</v>
      </c>
      <c r="AM128" s="118" t="e">
        <f>AL128^3+AJ122*AL128+AK122</f>
        <v>#VALUE!</v>
      </c>
      <c r="AN128" s="118" t="e">
        <f>3*AL128^2+AJ122</f>
        <v>#VALUE!</v>
      </c>
      <c r="AO128" s="118" t="e">
        <f t="shared" si="38"/>
        <v>#VALUE!</v>
      </c>
      <c r="AP128" s="116"/>
      <c r="AQ128" s="117"/>
      <c r="AS128" s="277" t="e">
        <f>3*(AV138^2)*AW138/(8*AX138*AY138)</f>
        <v>#VALUE!</v>
      </c>
      <c r="AT128" s="278"/>
      <c r="AU128" s="118" t="e">
        <f t="shared" si="44"/>
        <v>#VALUE!</v>
      </c>
      <c r="AV128" s="118" t="e">
        <f>AU128^3+AS122*AU128+AT122</f>
        <v>#VALUE!</v>
      </c>
      <c r="AW128" s="118" t="e">
        <f>3*AU128^2+AS122</f>
        <v>#VALUE!</v>
      </c>
      <c r="AX128" s="118" t="e">
        <f t="shared" si="39"/>
        <v>#VALUE!</v>
      </c>
      <c r="AY128" s="116"/>
      <c r="AZ128" s="117"/>
      <c r="BB128" s="277" t="e">
        <f>3*(BE138^2)*BF138/(8*BG138*BH138)</f>
        <v>#VALUE!</v>
      </c>
      <c r="BC128" s="278"/>
      <c r="BD128" s="118" t="e">
        <f t="shared" si="45"/>
        <v>#VALUE!</v>
      </c>
      <c r="BE128" s="118" t="e">
        <f>BD128^3+BB122*BD128+BC122</f>
        <v>#VALUE!</v>
      </c>
      <c r="BF128" s="118" t="e">
        <f>3*BD128^2+BB122</f>
        <v>#VALUE!</v>
      </c>
      <c r="BG128" s="118" t="e">
        <f t="shared" si="40"/>
        <v>#VALUE!</v>
      </c>
      <c r="BH128" s="116"/>
      <c r="BI128" s="117"/>
      <c r="BK128" s="277" t="e">
        <f>3*(BN138^2)*BO138/(8*BP138*BQ138)</f>
        <v>#VALUE!</v>
      </c>
      <c r="BL128" s="278"/>
      <c r="BM128" s="118" t="e">
        <f t="shared" si="46"/>
        <v>#VALUE!</v>
      </c>
      <c r="BN128" s="118" t="e">
        <f>BM128^3+BK122*BM128+BL122</f>
        <v>#VALUE!</v>
      </c>
      <c r="BO128" s="118" t="e">
        <f>3*BM128^2+BK122</f>
        <v>#VALUE!</v>
      </c>
      <c r="BP128" s="118" t="e">
        <f t="shared" si="41"/>
        <v>#VALUE!</v>
      </c>
      <c r="BQ128" s="116"/>
      <c r="BR128" s="117"/>
      <c r="BT128" s="277" t="e">
        <f>3*(BW138^2)*BX138/(8*BY138*BZ138)</f>
        <v>#VALUE!</v>
      </c>
      <c r="BU128" s="278"/>
      <c r="BV128" s="118" t="e">
        <f t="shared" si="47"/>
        <v>#VALUE!</v>
      </c>
      <c r="BW128" s="118" t="e">
        <f>BV128^3+BT122*BV128+BU122</f>
        <v>#VALUE!</v>
      </c>
      <c r="BX128" s="118" t="e">
        <f>3*BV128^2+BT122</f>
        <v>#VALUE!</v>
      </c>
      <c r="BY128" s="118" t="e">
        <f t="shared" si="42"/>
        <v>#VALUE!</v>
      </c>
      <c r="BZ128" s="116"/>
      <c r="CA128" s="117"/>
    </row>
    <row r="129" spans="36:79" ht="18" hidden="1" customHeight="1" x14ac:dyDescent="0.15">
      <c r="AJ129" s="121"/>
      <c r="AK129" s="122"/>
      <c r="AL129" s="118" t="e">
        <f t="shared" si="43"/>
        <v>#VALUE!</v>
      </c>
      <c r="AM129" s="118" t="e">
        <f>AL129^3+AJ122*AL129+AK122</f>
        <v>#VALUE!</v>
      </c>
      <c r="AN129" s="118" t="e">
        <f>3*AL129^2+AJ122</f>
        <v>#VALUE!</v>
      </c>
      <c r="AO129" s="118" t="e">
        <f t="shared" si="38"/>
        <v>#VALUE!</v>
      </c>
      <c r="AP129" s="119"/>
      <c r="AQ129" s="120"/>
      <c r="AS129" s="121"/>
      <c r="AT129" s="122"/>
      <c r="AU129" s="118" t="e">
        <f t="shared" si="44"/>
        <v>#VALUE!</v>
      </c>
      <c r="AV129" s="118" t="e">
        <f>AU129^3+AS122*AU129+AT122</f>
        <v>#VALUE!</v>
      </c>
      <c r="AW129" s="118" t="e">
        <f>3*AU129^2+AS122</f>
        <v>#VALUE!</v>
      </c>
      <c r="AX129" s="118" t="e">
        <f t="shared" si="39"/>
        <v>#VALUE!</v>
      </c>
      <c r="AY129" s="119"/>
      <c r="AZ129" s="120"/>
      <c r="BB129" s="121"/>
      <c r="BC129" s="122"/>
      <c r="BD129" s="118" t="e">
        <f t="shared" si="45"/>
        <v>#VALUE!</v>
      </c>
      <c r="BE129" s="118" t="e">
        <f>BD129^3+BB122*BD129+BC122</f>
        <v>#VALUE!</v>
      </c>
      <c r="BF129" s="118" t="e">
        <f>3*BD129^2+BB122</f>
        <v>#VALUE!</v>
      </c>
      <c r="BG129" s="118" t="e">
        <f t="shared" si="40"/>
        <v>#VALUE!</v>
      </c>
      <c r="BH129" s="119"/>
      <c r="BI129" s="120"/>
      <c r="BK129" s="121"/>
      <c r="BL129" s="122"/>
      <c r="BM129" s="118" t="e">
        <f t="shared" si="46"/>
        <v>#VALUE!</v>
      </c>
      <c r="BN129" s="118" t="e">
        <f>BM129^3+BK122*BM129+BL122</f>
        <v>#VALUE!</v>
      </c>
      <c r="BO129" s="118" t="e">
        <f>3*BM129^2+BK122</f>
        <v>#VALUE!</v>
      </c>
      <c r="BP129" s="118" t="e">
        <f t="shared" si="41"/>
        <v>#VALUE!</v>
      </c>
      <c r="BQ129" s="119"/>
      <c r="BR129" s="120"/>
      <c r="BT129" s="121"/>
      <c r="BU129" s="122"/>
      <c r="BV129" s="118" t="e">
        <f t="shared" si="47"/>
        <v>#VALUE!</v>
      </c>
      <c r="BW129" s="118" t="e">
        <f>BV129^3+BT122*BV129+BU122</f>
        <v>#VALUE!</v>
      </c>
      <c r="BX129" s="118" t="e">
        <f>3*BV129^2+BT122</f>
        <v>#VALUE!</v>
      </c>
      <c r="BY129" s="118" t="e">
        <f t="shared" si="42"/>
        <v>#VALUE!</v>
      </c>
      <c r="BZ129" s="119"/>
      <c r="CA129" s="120"/>
    </row>
    <row r="130" spans="36:79" ht="18" hidden="1" customHeight="1" x14ac:dyDescent="0.15">
      <c r="AJ130" s="269" t="s">
        <v>244</v>
      </c>
      <c r="AK130" s="270"/>
      <c r="AL130" s="118" t="e">
        <f t="shared" si="43"/>
        <v>#VALUE!</v>
      </c>
      <c r="AM130" s="118" t="e">
        <f>AL130^3+AJ122*AL130+AK122</f>
        <v>#VALUE!</v>
      </c>
      <c r="AN130" s="118" t="e">
        <f>3*AL130^2+AJ122</f>
        <v>#VALUE!</v>
      </c>
      <c r="AO130" s="118" t="e">
        <f t="shared" si="38"/>
        <v>#VALUE!</v>
      </c>
      <c r="AP130" s="14" t="s">
        <v>245</v>
      </c>
      <c r="AQ130" s="123" t="e">
        <f>AO136</f>
        <v>#VALUE!</v>
      </c>
      <c r="AS130" s="269" t="s">
        <v>244</v>
      </c>
      <c r="AT130" s="270"/>
      <c r="AU130" s="118" t="e">
        <f t="shared" si="44"/>
        <v>#VALUE!</v>
      </c>
      <c r="AV130" s="118" t="e">
        <f>AU130^3+AS122*AU130+AT122</f>
        <v>#VALUE!</v>
      </c>
      <c r="AW130" s="118" t="e">
        <f>3*AU130^2+AS122</f>
        <v>#VALUE!</v>
      </c>
      <c r="AX130" s="118" t="e">
        <f t="shared" si="39"/>
        <v>#VALUE!</v>
      </c>
      <c r="AY130" s="14" t="s">
        <v>245</v>
      </c>
      <c r="AZ130" s="123" t="e">
        <f>AX136</f>
        <v>#VALUE!</v>
      </c>
      <c r="BB130" s="269" t="s">
        <v>244</v>
      </c>
      <c r="BC130" s="270"/>
      <c r="BD130" s="118" t="e">
        <f t="shared" si="45"/>
        <v>#VALUE!</v>
      </c>
      <c r="BE130" s="118" t="e">
        <f>BD130^3+BB122*BD130+BC122</f>
        <v>#VALUE!</v>
      </c>
      <c r="BF130" s="118" t="e">
        <f>3*BD130^2+BB122</f>
        <v>#VALUE!</v>
      </c>
      <c r="BG130" s="118" t="e">
        <f t="shared" si="40"/>
        <v>#VALUE!</v>
      </c>
      <c r="BH130" s="14" t="s">
        <v>245</v>
      </c>
      <c r="BI130" s="123" t="e">
        <f>BG136</f>
        <v>#VALUE!</v>
      </c>
      <c r="BK130" s="269" t="s">
        <v>244</v>
      </c>
      <c r="BL130" s="270"/>
      <c r="BM130" s="118" t="e">
        <f t="shared" si="46"/>
        <v>#VALUE!</v>
      </c>
      <c r="BN130" s="118" t="e">
        <f>BM130^3+BK122*BM130+BL122</f>
        <v>#VALUE!</v>
      </c>
      <c r="BO130" s="118" t="e">
        <f>3*BM130^2+BK122</f>
        <v>#VALUE!</v>
      </c>
      <c r="BP130" s="118" t="e">
        <f t="shared" si="41"/>
        <v>#VALUE!</v>
      </c>
      <c r="BQ130" s="14" t="s">
        <v>245</v>
      </c>
      <c r="BR130" s="123" t="e">
        <f>BP136</f>
        <v>#VALUE!</v>
      </c>
      <c r="BT130" s="269" t="s">
        <v>244</v>
      </c>
      <c r="BU130" s="270"/>
      <c r="BV130" s="118" t="e">
        <f t="shared" si="47"/>
        <v>#VALUE!</v>
      </c>
      <c r="BW130" s="118" t="e">
        <f>BV130^3+BT122*BV130+BU122</f>
        <v>#VALUE!</v>
      </c>
      <c r="BX130" s="118" t="e">
        <f>3*BV130^2+BT122</f>
        <v>#VALUE!</v>
      </c>
      <c r="BY130" s="118" t="e">
        <f t="shared" si="42"/>
        <v>#VALUE!</v>
      </c>
      <c r="BZ130" s="14" t="s">
        <v>245</v>
      </c>
      <c r="CA130" s="123" t="e">
        <f>BY136</f>
        <v>#VALUE!</v>
      </c>
    </row>
    <row r="131" spans="36:79" ht="18" hidden="1" customHeight="1" x14ac:dyDescent="0.15">
      <c r="AJ131" s="271" t="e">
        <f>AJ128*AL138*AK138/AK138</f>
        <v>#VALUE!</v>
      </c>
      <c r="AK131" s="272"/>
      <c r="AL131" s="118" t="e">
        <f t="shared" si="43"/>
        <v>#VALUE!</v>
      </c>
      <c r="AM131" s="118" t="e">
        <f>AL131^3+AJ122*AL131+AK122</f>
        <v>#VALUE!</v>
      </c>
      <c r="AN131" s="118" t="e">
        <f>3*AL131^2+AJ122</f>
        <v>#VALUE!</v>
      </c>
      <c r="AO131" s="118" t="e">
        <f t="shared" si="38"/>
        <v>#VALUE!</v>
      </c>
      <c r="AP131" s="14" t="s">
        <v>246</v>
      </c>
      <c r="AQ131" s="124" t="e">
        <f>AK138*AM138^2/(8*AO136)</f>
        <v>#VALUE!</v>
      </c>
      <c r="AS131" s="271" t="e">
        <f>AS128*AU138*AT138/AT138</f>
        <v>#VALUE!</v>
      </c>
      <c r="AT131" s="272"/>
      <c r="AU131" s="118" t="e">
        <f t="shared" si="44"/>
        <v>#VALUE!</v>
      </c>
      <c r="AV131" s="118" t="e">
        <f>AU131^3+AS122*AU131+AT122</f>
        <v>#VALUE!</v>
      </c>
      <c r="AW131" s="118" t="e">
        <f>3*AU131^2+AS122</f>
        <v>#VALUE!</v>
      </c>
      <c r="AX131" s="118" t="e">
        <f t="shared" si="39"/>
        <v>#VALUE!</v>
      </c>
      <c r="AY131" s="14" t="s">
        <v>246</v>
      </c>
      <c r="AZ131" s="124" t="e">
        <f>AT138*AV138^2/(8*AX136)</f>
        <v>#VALUE!</v>
      </c>
      <c r="BB131" s="271" t="e">
        <f>BB128*BD138*BC138/BC138</f>
        <v>#VALUE!</v>
      </c>
      <c r="BC131" s="272"/>
      <c r="BD131" s="118" t="e">
        <f t="shared" si="45"/>
        <v>#VALUE!</v>
      </c>
      <c r="BE131" s="118" t="e">
        <f>BD131^3+BB122*BD131+BC122</f>
        <v>#VALUE!</v>
      </c>
      <c r="BF131" s="118" t="e">
        <f>3*BD131^2+BB122</f>
        <v>#VALUE!</v>
      </c>
      <c r="BG131" s="118" t="e">
        <f t="shared" si="40"/>
        <v>#VALUE!</v>
      </c>
      <c r="BH131" s="14" t="s">
        <v>246</v>
      </c>
      <c r="BI131" s="124" t="e">
        <f>BC138*BE138^2/(8*BG136)</f>
        <v>#VALUE!</v>
      </c>
      <c r="BK131" s="271" t="e">
        <f>BK128*BM138*BL138/BL138</f>
        <v>#VALUE!</v>
      </c>
      <c r="BL131" s="272"/>
      <c r="BM131" s="118" t="e">
        <f t="shared" si="46"/>
        <v>#VALUE!</v>
      </c>
      <c r="BN131" s="118" t="e">
        <f>BM131^3+BK122*BM131+BL122</f>
        <v>#VALUE!</v>
      </c>
      <c r="BO131" s="118" t="e">
        <f>3*BM131^2+BK122</f>
        <v>#VALUE!</v>
      </c>
      <c r="BP131" s="118" t="e">
        <f t="shared" si="41"/>
        <v>#VALUE!</v>
      </c>
      <c r="BQ131" s="14" t="s">
        <v>246</v>
      </c>
      <c r="BR131" s="124" t="e">
        <f>BL138*BN138^2/(8*BP136)</f>
        <v>#VALUE!</v>
      </c>
      <c r="BT131" s="271" t="e">
        <f>BT128*BV138*BU138/BU138</f>
        <v>#VALUE!</v>
      </c>
      <c r="BU131" s="272"/>
      <c r="BV131" s="118" t="e">
        <f t="shared" si="47"/>
        <v>#VALUE!</v>
      </c>
      <c r="BW131" s="118" t="e">
        <f>BV131^3+BT122*BV131+BU122</f>
        <v>#VALUE!</v>
      </c>
      <c r="BX131" s="118" t="e">
        <f>3*BV131^2+BT122</f>
        <v>#VALUE!</v>
      </c>
      <c r="BY131" s="118" t="e">
        <f t="shared" si="42"/>
        <v>#VALUE!</v>
      </c>
      <c r="BZ131" s="14" t="s">
        <v>246</v>
      </c>
      <c r="CA131" s="124" t="e">
        <f>BU138*BW138^2/(8*BY136)</f>
        <v>#VALUE!</v>
      </c>
    </row>
    <row r="132" spans="36:79" ht="18" hidden="1" customHeight="1" x14ac:dyDescent="0.15">
      <c r="AJ132" s="125"/>
      <c r="AK132" s="126"/>
      <c r="AL132" s="118" t="e">
        <f t="shared" si="43"/>
        <v>#VALUE!</v>
      </c>
      <c r="AM132" s="118" t="e">
        <f>AL132^3+AJ122*AL132+AK122</f>
        <v>#VALUE!</v>
      </c>
      <c r="AN132" s="118" t="e">
        <f>3*AL132^2+AJ122</f>
        <v>#VALUE!</v>
      </c>
      <c r="AO132" s="118" t="e">
        <f t="shared" si="38"/>
        <v>#VALUE!</v>
      </c>
      <c r="AP132" s="116"/>
      <c r="AQ132" s="117"/>
      <c r="AS132" s="125"/>
      <c r="AT132" s="126"/>
      <c r="AU132" s="118" t="e">
        <f t="shared" si="44"/>
        <v>#VALUE!</v>
      </c>
      <c r="AV132" s="118" t="e">
        <f>AU132^3+AS122*AU132+AT122</f>
        <v>#VALUE!</v>
      </c>
      <c r="AW132" s="118" t="e">
        <f>3*AU132^2+AS122</f>
        <v>#VALUE!</v>
      </c>
      <c r="AX132" s="118" t="e">
        <f t="shared" si="39"/>
        <v>#VALUE!</v>
      </c>
      <c r="AY132" s="116"/>
      <c r="AZ132" s="117"/>
      <c r="BB132" s="125"/>
      <c r="BC132" s="126"/>
      <c r="BD132" s="118" t="e">
        <f t="shared" si="45"/>
        <v>#VALUE!</v>
      </c>
      <c r="BE132" s="118" t="e">
        <f>BD132^3+BB122*BD132+BC122</f>
        <v>#VALUE!</v>
      </c>
      <c r="BF132" s="118" t="e">
        <f>3*BD132^2+BB122</f>
        <v>#VALUE!</v>
      </c>
      <c r="BG132" s="118" t="e">
        <f t="shared" si="40"/>
        <v>#VALUE!</v>
      </c>
      <c r="BH132" s="116"/>
      <c r="BI132" s="117"/>
      <c r="BK132" s="125"/>
      <c r="BL132" s="126"/>
      <c r="BM132" s="118" t="e">
        <f t="shared" si="46"/>
        <v>#VALUE!</v>
      </c>
      <c r="BN132" s="118" t="e">
        <f>BM132^3+BK122*BM132+BL122</f>
        <v>#VALUE!</v>
      </c>
      <c r="BO132" s="118" t="e">
        <f>3*BM132^2+BK122</f>
        <v>#VALUE!</v>
      </c>
      <c r="BP132" s="118" t="e">
        <f t="shared" si="41"/>
        <v>#VALUE!</v>
      </c>
      <c r="BQ132" s="116"/>
      <c r="BR132" s="117"/>
      <c r="BT132" s="125"/>
      <c r="BU132" s="126"/>
      <c r="BV132" s="118" t="e">
        <f t="shared" si="47"/>
        <v>#VALUE!</v>
      </c>
      <c r="BW132" s="118" t="e">
        <f>BV132^3+BT122*BV132+BU122</f>
        <v>#VALUE!</v>
      </c>
      <c r="BX132" s="118" t="e">
        <f>3*BV132^2+BT122</f>
        <v>#VALUE!</v>
      </c>
      <c r="BY132" s="118" t="e">
        <f t="shared" si="42"/>
        <v>#VALUE!</v>
      </c>
      <c r="BZ132" s="116"/>
      <c r="CA132" s="117"/>
    </row>
    <row r="133" spans="36:79" ht="18" hidden="1" customHeight="1" x14ac:dyDescent="0.15">
      <c r="AJ133" s="125"/>
      <c r="AK133" s="126"/>
      <c r="AL133" s="118" t="e">
        <f t="shared" si="43"/>
        <v>#VALUE!</v>
      </c>
      <c r="AM133" s="118" t="e">
        <f>AL133^3+AJ122*AL133+AK122</f>
        <v>#VALUE!</v>
      </c>
      <c r="AN133" s="118" t="e">
        <f>3*AL133^2+AJ122</f>
        <v>#VALUE!</v>
      </c>
      <c r="AO133" s="118" t="e">
        <f t="shared" si="38"/>
        <v>#VALUE!</v>
      </c>
      <c r="AP133" s="112" t="s">
        <v>147</v>
      </c>
      <c r="AQ133" s="113">
        <v>0</v>
      </c>
      <c r="AS133" s="125"/>
      <c r="AT133" s="126"/>
      <c r="AU133" s="118" t="e">
        <f t="shared" si="44"/>
        <v>#VALUE!</v>
      </c>
      <c r="AV133" s="118" t="e">
        <f>AU133^3+AS122*AU133+AT122</f>
        <v>#VALUE!</v>
      </c>
      <c r="AW133" s="118" t="e">
        <f>3*AU133^2+AS122</f>
        <v>#VALUE!</v>
      </c>
      <c r="AX133" s="118" t="e">
        <f t="shared" si="39"/>
        <v>#VALUE!</v>
      </c>
      <c r="AY133" s="112" t="s">
        <v>147</v>
      </c>
      <c r="AZ133" s="113">
        <v>0</v>
      </c>
      <c r="BB133" s="125"/>
      <c r="BC133" s="126"/>
      <c r="BD133" s="118" t="e">
        <f t="shared" si="45"/>
        <v>#VALUE!</v>
      </c>
      <c r="BE133" s="118" t="e">
        <f>BD133^3+BB122*BD133+BC122</f>
        <v>#VALUE!</v>
      </c>
      <c r="BF133" s="118" t="e">
        <f>3*BD133^2+BB122</f>
        <v>#VALUE!</v>
      </c>
      <c r="BG133" s="118" t="e">
        <f t="shared" si="40"/>
        <v>#VALUE!</v>
      </c>
      <c r="BH133" s="112" t="s">
        <v>147</v>
      </c>
      <c r="BI133" s="113">
        <v>0</v>
      </c>
      <c r="BK133" s="125"/>
      <c r="BL133" s="126"/>
      <c r="BM133" s="118" t="e">
        <f t="shared" si="46"/>
        <v>#VALUE!</v>
      </c>
      <c r="BN133" s="118" t="e">
        <f>BM133^3+BK122*BM133+BL122</f>
        <v>#VALUE!</v>
      </c>
      <c r="BO133" s="118" t="e">
        <f>3*BM133^2+BK122</f>
        <v>#VALUE!</v>
      </c>
      <c r="BP133" s="118" t="e">
        <f t="shared" si="41"/>
        <v>#VALUE!</v>
      </c>
      <c r="BQ133" s="112" t="s">
        <v>147</v>
      </c>
      <c r="BR133" s="113">
        <v>0</v>
      </c>
      <c r="BT133" s="125"/>
      <c r="BU133" s="126"/>
      <c r="BV133" s="118" t="e">
        <f t="shared" si="47"/>
        <v>#VALUE!</v>
      </c>
      <c r="BW133" s="118" t="e">
        <f>BV133^3+BT122*BV133+BU122</f>
        <v>#VALUE!</v>
      </c>
      <c r="BX133" s="118" t="e">
        <f>3*BV133^2+BT122</f>
        <v>#VALUE!</v>
      </c>
      <c r="BY133" s="118" t="e">
        <f t="shared" si="42"/>
        <v>#VALUE!</v>
      </c>
      <c r="BZ133" s="112" t="s">
        <v>147</v>
      </c>
      <c r="CA133" s="113">
        <v>0</v>
      </c>
    </row>
    <row r="134" spans="36:79" ht="18" hidden="1" customHeight="1" x14ac:dyDescent="0.15">
      <c r="AJ134" s="125"/>
      <c r="AK134" s="126"/>
      <c r="AL134" s="118" t="e">
        <f t="shared" si="43"/>
        <v>#VALUE!</v>
      </c>
      <c r="AM134" s="118" t="e">
        <f>AL134^3+AJ122*AL134+AK122</f>
        <v>#VALUE!</v>
      </c>
      <c r="AN134" s="118" t="e">
        <f>3*AL134^2+AJ122</f>
        <v>#VALUE!</v>
      </c>
      <c r="AO134" s="118" t="e">
        <f t="shared" si="38"/>
        <v>#VALUE!</v>
      </c>
      <c r="AP134" s="128" t="s">
        <v>218</v>
      </c>
      <c r="AQ134" s="32"/>
      <c r="AS134" s="125"/>
      <c r="AT134" s="126"/>
      <c r="AU134" s="118" t="e">
        <f t="shared" si="44"/>
        <v>#VALUE!</v>
      </c>
      <c r="AV134" s="118" t="e">
        <f>AU134^3+AS122*AU134+AT122</f>
        <v>#VALUE!</v>
      </c>
      <c r="AW134" s="118" t="e">
        <f>3*AU134^2+AS122</f>
        <v>#VALUE!</v>
      </c>
      <c r="AX134" s="118" t="e">
        <f t="shared" si="39"/>
        <v>#VALUE!</v>
      </c>
      <c r="AY134" s="128" t="s">
        <v>219</v>
      </c>
      <c r="AZ134" s="32"/>
      <c r="BB134" s="125"/>
      <c r="BC134" s="126"/>
      <c r="BD134" s="118" t="e">
        <f t="shared" si="45"/>
        <v>#VALUE!</v>
      </c>
      <c r="BE134" s="118" t="e">
        <f>BD134^3+BB122*BD134+BC122</f>
        <v>#VALUE!</v>
      </c>
      <c r="BF134" s="118" t="e">
        <f>3*BD134^2+BB122</f>
        <v>#VALUE!</v>
      </c>
      <c r="BG134" s="118" t="e">
        <f t="shared" si="40"/>
        <v>#VALUE!</v>
      </c>
      <c r="BH134" s="128" t="s">
        <v>220</v>
      </c>
      <c r="BI134" s="32"/>
      <c r="BK134" s="125"/>
      <c r="BL134" s="126"/>
      <c r="BM134" s="118" t="e">
        <f t="shared" si="46"/>
        <v>#VALUE!</v>
      </c>
      <c r="BN134" s="118" t="e">
        <f>BM134^3+BK122*BM134+BL122</f>
        <v>#VALUE!</v>
      </c>
      <c r="BO134" s="118" t="e">
        <f>3*BM134^2+BK122</f>
        <v>#VALUE!</v>
      </c>
      <c r="BP134" s="118" t="e">
        <f t="shared" si="41"/>
        <v>#VALUE!</v>
      </c>
      <c r="BQ134" s="128" t="s">
        <v>221</v>
      </c>
      <c r="BR134" s="32"/>
      <c r="BT134" s="125"/>
      <c r="BU134" s="126"/>
      <c r="BV134" s="118" t="e">
        <f t="shared" si="47"/>
        <v>#VALUE!</v>
      </c>
      <c r="BW134" s="118" t="e">
        <f>BV134^3+BT122*BV134+BU122</f>
        <v>#VALUE!</v>
      </c>
      <c r="BX134" s="118" t="e">
        <f>3*BV134^2+BT122</f>
        <v>#VALUE!</v>
      </c>
      <c r="BY134" s="118" t="e">
        <f t="shared" si="42"/>
        <v>#VALUE!</v>
      </c>
      <c r="BZ134" s="128" t="s">
        <v>222</v>
      </c>
      <c r="CA134" s="32"/>
    </row>
    <row r="135" spans="36:79" ht="18" hidden="1" customHeight="1" x14ac:dyDescent="0.15">
      <c r="AJ135" s="125"/>
      <c r="AK135" s="126"/>
      <c r="AL135" s="18" t="e">
        <f t="shared" si="43"/>
        <v>#VALUE!</v>
      </c>
      <c r="AM135" s="18" t="e">
        <f>AL135^3+AJ122*AL135+AK122</f>
        <v>#VALUE!</v>
      </c>
      <c r="AN135" s="18" t="e">
        <f>3*AL135^2+AJ122</f>
        <v>#VALUE!</v>
      </c>
      <c r="AO135" s="18" t="e">
        <f t="shared" si="38"/>
        <v>#VALUE!</v>
      </c>
      <c r="AP135" s="273" t="str">
        <f>M54</f>
        <v>無 風 時　 0[℃]</v>
      </c>
      <c r="AQ135" s="284"/>
      <c r="AS135" s="125"/>
      <c r="AT135" s="126"/>
      <c r="AU135" s="18" t="e">
        <f t="shared" si="44"/>
        <v>#VALUE!</v>
      </c>
      <c r="AV135" s="18" t="e">
        <f>AU135^3+AS122*AU135+AT122</f>
        <v>#VALUE!</v>
      </c>
      <c r="AW135" s="18" t="e">
        <f>3*AU135^2+AS122</f>
        <v>#VALUE!</v>
      </c>
      <c r="AX135" s="18" t="e">
        <f t="shared" si="39"/>
        <v>#VALUE!</v>
      </c>
      <c r="AY135" s="273" t="str">
        <f>M54</f>
        <v>無 風 時　 0[℃]</v>
      </c>
      <c r="AZ135" s="274"/>
      <c r="BB135" s="125"/>
      <c r="BC135" s="126"/>
      <c r="BD135" s="18" t="e">
        <f t="shared" si="45"/>
        <v>#VALUE!</v>
      </c>
      <c r="BE135" s="18" t="e">
        <f>BD135^3+BB122*BD135+BC122</f>
        <v>#VALUE!</v>
      </c>
      <c r="BF135" s="18" t="e">
        <f>3*BD135^2+BB122</f>
        <v>#VALUE!</v>
      </c>
      <c r="BG135" s="18" t="e">
        <f t="shared" si="40"/>
        <v>#VALUE!</v>
      </c>
      <c r="BH135" s="273" t="str">
        <f>M54</f>
        <v>無 風 時　 0[℃]</v>
      </c>
      <c r="BI135" s="274"/>
      <c r="BK135" s="125"/>
      <c r="BL135" s="126"/>
      <c r="BM135" s="18" t="e">
        <f t="shared" si="46"/>
        <v>#VALUE!</v>
      </c>
      <c r="BN135" s="18" t="e">
        <f>BM135^3+BK122*BM135+BL122</f>
        <v>#VALUE!</v>
      </c>
      <c r="BO135" s="18" t="e">
        <f>3*BM135^2+BK122</f>
        <v>#VALUE!</v>
      </c>
      <c r="BP135" s="18" t="e">
        <f t="shared" si="41"/>
        <v>#VALUE!</v>
      </c>
      <c r="BQ135" s="273" t="str">
        <f>M54</f>
        <v>無 風 時　 0[℃]</v>
      </c>
      <c r="BR135" s="274"/>
      <c r="BT135" s="125"/>
      <c r="BU135" s="126"/>
      <c r="BV135" s="18" t="e">
        <f t="shared" si="47"/>
        <v>#VALUE!</v>
      </c>
      <c r="BW135" s="18" t="e">
        <f>BV135^3+BT122*BV135+BU122</f>
        <v>#VALUE!</v>
      </c>
      <c r="BX135" s="18" t="e">
        <f>3*BV135^2+BT122</f>
        <v>#VALUE!</v>
      </c>
      <c r="BY135" s="18" t="e">
        <f t="shared" si="42"/>
        <v>#VALUE!</v>
      </c>
      <c r="BZ135" s="273" t="str">
        <f>M54</f>
        <v>無 風 時　 0[℃]</v>
      </c>
      <c r="CA135" s="274"/>
    </row>
    <row r="136" spans="36:79" ht="18" hidden="1" customHeight="1" thickBot="1" x14ac:dyDescent="0.2">
      <c r="AJ136" s="125"/>
      <c r="AK136" s="126"/>
      <c r="AL136" s="114" t="e">
        <f t="shared" si="43"/>
        <v>#VALUE!</v>
      </c>
      <c r="AM136" s="115" t="e">
        <f>AL136^3+AJ122*AL136+AK122</f>
        <v>#VALUE!</v>
      </c>
      <c r="AN136" s="115" t="e">
        <f>3*AL136^2+AJ122</f>
        <v>#VALUE!</v>
      </c>
      <c r="AO136" s="115" t="e">
        <f t="shared" si="38"/>
        <v>#VALUE!</v>
      </c>
      <c r="AP136" s="285"/>
      <c r="AQ136" s="286"/>
      <c r="AS136" s="125"/>
      <c r="AT136" s="126"/>
      <c r="AU136" s="114" t="e">
        <f t="shared" si="44"/>
        <v>#VALUE!</v>
      </c>
      <c r="AV136" s="115" t="e">
        <f>AU136^3+AS122*AU136+AT122</f>
        <v>#VALUE!</v>
      </c>
      <c r="AW136" s="115" t="e">
        <f>3*AU136^2+AS122</f>
        <v>#VALUE!</v>
      </c>
      <c r="AX136" s="115" t="e">
        <f t="shared" si="39"/>
        <v>#VALUE!</v>
      </c>
      <c r="AY136" s="275"/>
      <c r="AZ136" s="276"/>
      <c r="BB136" s="125"/>
      <c r="BC136" s="126"/>
      <c r="BD136" s="114" t="e">
        <f t="shared" si="45"/>
        <v>#VALUE!</v>
      </c>
      <c r="BE136" s="115" t="e">
        <f>BD136^3+BB122*BD136+BC122</f>
        <v>#VALUE!</v>
      </c>
      <c r="BF136" s="115" t="e">
        <f>3*BD136^2+BB122</f>
        <v>#VALUE!</v>
      </c>
      <c r="BG136" s="115" t="e">
        <f t="shared" si="40"/>
        <v>#VALUE!</v>
      </c>
      <c r="BH136" s="275"/>
      <c r="BI136" s="276"/>
      <c r="BK136" s="125"/>
      <c r="BL136" s="126"/>
      <c r="BM136" s="114" t="e">
        <f t="shared" si="46"/>
        <v>#VALUE!</v>
      </c>
      <c r="BN136" s="115" t="e">
        <f>BM136^3+BK122*BM136+BL122</f>
        <v>#VALUE!</v>
      </c>
      <c r="BO136" s="115" t="e">
        <f>3*BM136^2+BK122</f>
        <v>#VALUE!</v>
      </c>
      <c r="BP136" s="115" t="e">
        <f t="shared" si="41"/>
        <v>#VALUE!</v>
      </c>
      <c r="BQ136" s="275"/>
      <c r="BR136" s="276"/>
      <c r="BT136" s="125"/>
      <c r="BU136" s="126"/>
      <c r="BV136" s="114" t="e">
        <f t="shared" si="47"/>
        <v>#VALUE!</v>
      </c>
      <c r="BW136" s="115" t="e">
        <f>BV136^3+BT122*BV136+BU122</f>
        <v>#VALUE!</v>
      </c>
      <c r="BX136" s="115" t="e">
        <f>3*BV136^2+BT122</f>
        <v>#VALUE!</v>
      </c>
      <c r="BY136" s="115" t="e">
        <f t="shared" si="42"/>
        <v>#VALUE!</v>
      </c>
      <c r="BZ136" s="275"/>
      <c r="CA136" s="276"/>
    </row>
    <row r="137" spans="36:79" ht="18" hidden="1" customHeight="1" x14ac:dyDescent="0.15">
      <c r="AJ137" s="62"/>
      <c r="AK137" s="12" t="s">
        <v>224</v>
      </c>
      <c r="AL137" s="12" t="s">
        <v>225</v>
      </c>
      <c r="AM137" s="12" t="s">
        <v>226</v>
      </c>
      <c r="AN137" s="12" t="s">
        <v>227</v>
      </c>
      <c r="AO137" s="63" t="s">
        <v>228</v>
      </c>
      <c r="AP137" s="12" t="s">
        <v>229</v>
      </c>
      <c r="AQ137" s="13" t="s">
        <v>230</v>
      </c>
      <c r="AS137" s="62"/>
      <c r="AT137" s="12" t="s">
        <v>224</v>
      </c>
      <c r="AU137" s="12" t="s">
        <v>225</v>
      </c>
      <c r="AV137" s="12" t="s">
        <v>226</v>
      </c>
      <c r="AW137" s="12" t="s">
        <v>227</v>
      </c>
      <c r="AX137" s="63" t="s">
        <v>228</v>
      </c>
      <c r="AY137" s="12" t="s">
        <v>229</v>
      </c>
      <c r="AZ137" s="13" t="s">
        <v>230</v>
      </c>
      <c r="BB137" s="62"/>
      <c r="BC137" s="12" t="s">
        <v>224</v>
      </c>
      <c r="BD137" s="12" t="s">
        <v>225</v>
      </c>
      <c r="BE137" s="12" t="s">
        <v>226</v>
      </c>
      <c r="BF137" s="12" t="s">
        <v>227</v>
      </c>
      <c r="BG137" s="63" t="s">
        <v>228</v>
      </c>
      <c r="BH137" s="12" t="s">
        <v>229</v>
      </c>
      <c r="BI137" s="13" t="s">
        <v>230</v>
      </c>
      <c r="BK137" s="62"/>
      <c r="BL137" s="12" t="s">
        <v>224</v>
      </c>
      <c r="BM137" s="12" t="s">
        <v>225</v>
      </c>
      <c r="BN137" s="12" t="s">
        <v>226</v>
      </c>
      <c r="BO137" s="12" t="s">
        <v>227</v>
      </c>
      <c r="BP137" s="63" t="s">
        <v>228</v>
      </c>
      <c r="BQ137" s="12" t="s">
        <v>229</v>
      </c>
      <c r="BR137" s="13" t="s">
        <v>230</v>
      </c>
      <c r="BT137" s="62"/>
      <c r="BU137" s="12" t="s">
        <v>224</v>
      </c>
      <c r="BV137" s="12" t="s">
        <v>225</v>
      </c>
      <c r="BW137" s="12" t="s">
        <v>226</v>
      </c>
      <c r="BX137" s="12" t="s">
        <v>227</v>
      </c>
      <c r="BY137" s="63" t="s">
        <v>228</v>
      </c>
      <c r="BZ137" s="12" t="s">
        <v>229</v>
      </c>
      <c r="CA137" s="13" t="s">
        <v>230</v>
      </c>
    </row>
    <row r="138" spans="36:79" ht="18" hidden="1" customHeight="1" thickBot="1" x14ac:dyDescent="0.2">
      <c r="AJ138" s="107"/>
      <c r="AK138" s="108" t="e">
        <f>M23+U23</f>
        <v>#VALUE!</v>
      </c>
      <c r="AL138" s="108">
        <f>IF(C33="",L19*(F19/40)^2,C33)</f>
        <v>0</v>
      </c>
      <c r="AM138" s="108">
        <f>F19</f>
        <v>0</v>
      </c>
      <c r="AN138" s="108" t="e">
        <f>AK78*1600/(8*L19)</f>
        <v>#VALUE!</v>
      </c>
      <c r="AO138" s="109">
        <f>V23</f>
        <v>0</v>
      </c>
      <c r="AP138" s="108" t="str">
        <f>L23</f>
        <v/>
      </c>
      <c r="AQ138" s="110">
        <f>W23</f>
        <v>0</v>
      </c>
      <c r="AS138" s="107"/>
      <c r="AT138" s="108" t="str">
        <f>IF(B24="使用電線-2",M24+U24,IF(B25="使用電線-2",M25+U25,IF(B26="使用電線-2",M26+U26,IF(B27="使用電線-2",M27+U27,IF(B28="使用電線-2",M28+U28,IF(B29="使用電線-2",M29+U29,""))))))</f>
        <v/>
      </c>
      <c r="AU138" s="108">
        <f>IF(I33="",L19*(F19/40)^2,I33)</f>
        <v>0</v>
      </c>
      <c r="AV138" s="108">
        <f>F19</f>
        <v>0</v>
      </c>
      <c r="AW138" s="108" t="e">
        <f>AT138*1600/(8*L19)</f>
        <v>#VALUE!</v>
      </c>
      <c r="AX138" s="109" t="str">
        <f>IF(B24="使用電線-2",V24,IF(B25="使用電線-2",V25,IF(B26="使用電線-2",V26,IF(B27="使用電線-2",V27,IF(B28="使用電線-2",V28,IF(B29="使用電線-2",V29,""))))))</f>
        <v/>
      </c>
      <c r="AY138" s="108" t="str">
        <f>IF(B24="使用電線-2",L24,IF(B25="使用電線-2",L25,IF(B26="使用電線-2",L26,IF(B27="使用電線-2",L27,IF(B28="使用電線-2",L28,IF(B29="使用電線-2",L29,""))))))</f>
        <v/>
      </c>
      <c r="AZ138" s="110" t="str">
        <f>IF(B24="使用電線-2",W24,IF(B25="使用電線-2",W25,IF(B26="使用電線-2",W26,IF(B27="使用電線-2",W27,IF(B28="使用電線-2",W28,IF(B29="使用電線-2",W29,""))))))</f>
        <v/>
      </c>
      <c r="BB138" s="107"/>
      <c r="BC138" s="108" t="str">
        <f>IF(B25="使用電線-3",M25+U25,IF(B26="使用電線-3",M26+U26,IF(B27="使用電線-3",M27+U27,IF(B28="使用電線-3",M28+U28,IF(B29="使用電線-3",M29+U29,"")))))</f>
        <v/>
      </c>
      <c r="BD138" s="108">
        <f>IF(N33="",L19*(F19/40)^2,N33)</f>
        <v>0</v>
      </c>
      <c r="BE138" s="108">
        <f>F19</f>
        <v>0</v>
      </c>
      <c r="BF138" s="108" t="e">
        <f>BC138*1600/(8*L19)</f>
        <v>#VALUE!</v>
      </c>
      <c r="BG138" s="109" t="str">
        <f>IF(B25="使用電線-3",V25,IF(B26="使用電線-3",V26,IF(B27="使用電線-3",V27,IF(B28="使用電線-3",V28,IF(B29="使用電線-3",V29,"")))))</f>
        <v/>
      </c>
      <c r="BH138" s="108" t="str">
        <f>IF(B25="使用電線-3",L25,IF(B26="使用電線-3",L26,IF(B27="使用電線-3",L27,IF(B28="使用電線-3",L28,IF(B29="使用電線-3",L29,"")))))</f>
        <v/>
      </c>
      <c r="BI138" s="110" t="str">
        <f>IF(B25="使用電線-3",W25,IF(B26="使用電線-3",W26,IF(B27="使用電線-3",W27,IF(B28="使用電線-3",W28,IF(B29="使用電線-3",W29,"")))))</f>
        <v/>
      </c>
      <c r="BK138" s="107"/>
      <c r="BL138" s="108" t="str">
        <f>IF(B26="使用電線-4",M26+U26,IF(B27="使用電線-4",M27+U27,IF(B28="使用電線-4",M28+U28,IF(B29="使用電線-4",M29+U29,""))))</f>
        <v/>
      </c>
      <c r="BM138" s="108">
        <f>IF(C47="",L19*(F19/40)^2,C47)</f>
        <v>0</v>
      </c>
      <c r="BN138" s="108">
        <f>F19</f>
        <v>0</v>
      </c>
      <c r="BO138" s="127" t="e">
        <f>BL138*1600/(8*L19)</f>
        <v>#VALUE!</v>
      </c>
      <c r="BP138" s="109" t="str">
        <f>IF(B26="使用電線-4",V26,IF(B27="使用電線-4",V27,IF(B28="使用電線-4",V28,IF(B29="使用電線-4",V29,""))))</f>
        <v/>
      </c>
      <c r="BQ138" s="108" t="str">
        <f>IF(B26="使用電線-4",L26,IF(B27="使用電線-4",L27,IF(B28="使用電線-4",L28,IF(B29="使用電線-4",L29,""))))</f>
        <v/>
      </c>
      <c r="BR138" s="110" t="str">
        <f>IF(B26="使用電線-4",W26,IF(B27="使用電線-4",W27,IF(B28="使用電線-4",W28,IF(B29="使用電線-4",W29,""))))</f>
        <v/>
      </c>
      <c r="BT138" s="107"/>
      <c r="BU138" s="108" t="str">
        <f>IF(B27="使用電線-5",M27+U27,IF(B28="使用電線-5",M28+U28,IF(B29="使用電線-5",M29+U29,"")))</f>
        <v/>
      </c>
      <c r="BV138" s="108">
        <f>IF(I47="",L19*(F19/40)^2,I47)</f>
        <v>0</v>
      </c>
      <c r="BW138" s="108">
        <f>F19</f>
        <v>0</v>
      </c>
      <c r="BX138" s="127" t="e">
        <f>BU138*1600/(8*L19)</f>
        <v>#VALUE!</v>
      </c>
      <c r="BY138" s="109" t="str">
        <f>IF(B27="使用電線-5",V27,IF(B28="使用電線-5",V28,IF(B29="使用電線-5",V29,"")))</f>
        <v/>
      </c>
      <c r="BZ138" s="108" t="str">
        <f>IF(B27="使用電線-5",L27,IF(B28="使用電線-5",L28,IF(B29="使用電線-5",L29,"")))</f>
        <v/>
      </c>
      <c r="CA138" s="110" t="str">
        <f>IF(B27="使用電線-5",W27,IF(B28="使用電線-5",W28,IF(B29="使用電線-5",W29,"")))</f>
        <v/>
      </c>
    </row>
    <row r="139" spans="36:79" ht="18" hidden="1" customHeight="1" x14ac:dyDescent="0.15"/>
    <row r="140" spans="36:79" ht="18" hidden="1" customHeight="1" thickBot="1" x14ac:dyDescent="0.2"/>
    <row r="141" spans="36:79" ht="18" hidden="1" customHeight="1" x14ac:dyDescent="0.15">
      <c r="AJ141" s="2" t="s">
        <v>232</v>
      </c>
      <c r="AK141" s="111" t="s">
        <v>233</v>
      </c>
      <c r="AL141" s="12" t="s">
        <v>234</v>
      </c>
      <c r="AM141" s="12" t="s">
        <v>235</v>
      </c>
      <c r="AN141" s="12" t="s">
        <v>236</v>
      </c>
      <c r="AO141" s="12" t="s">
        <v>237</v>
      </c>
      <c r="AP141" s="12" t="s">
        <v>238</v>
      </c>
      <c r="AQ141" s="13" t="s">
        <v>239</v>
      </c>
      <c r="AS141" s="2" t="s">
        <v>232</v>
      </c>
      <c r="AT141" s="111" t="s">
        <v>233</v>
      </c>
      <c r="AU141" s="12" t="s">
        <v>234</v>
      </c>
      <c r="AV141" s="12" t="s">
        <v>235</v>
      </c>
      <c r="AW141" s="12" t="s">
        <v>236</v>
      </c>
      <c r="AX141" s="12" t="s">
        <v>237</v>
      </c>
      <c r="AY141" s="12" t="s">
        <v>238</v>
      </c>
      <c r="AZ141" s="13" t="s">
        <v>239</v>
      </c>
      <c r="BB141" s="2" t="s">
        <v>232</v>
      </c>
      <c r="BC141" s="111" t="s">
        <v>233</v>
      </c>
      <c r="BD141" s="12" t="s">
        <v>234</v>
      </c>
      <c r="BE141" s="12" t="s">
        <v>235</v>
      </c>
      <c r="BF141" s="12" t="s">
        <v>236</v>
      </c>
      <c r="BG141" s="12" t="s">
        <v>237</v>
      </c>
      <c r="BH141" s="12" t="s">
        <v>238</v>
      </c>
      <c r="BI141" s="13" t="s">
        <v>239</v>
      </c>
      <c r="BK141" s="2" t="s">
        <v>232</v>
      </c>
      <c r="BL141" s="111" t="s">
        <v>233</v>
      </c>
      <c r="BM141" s="12" t="s">
        <v>234</v>
      </c>
      <c r="BN141" s="12" t="s">
        <v>235</v>
      </c>
      <c r="BO141" s="12" t="s">
        <v>236</v>
      </c>
      <c r="BP141" s="12" t="s">
        <v>237</v>
      </c>
      <c r="BQ141" s="12" t="s">
        <v>238</v>
      </c>
      <c r="BR141" s="13" t="s">
        <v>239</v>
      </c>
      <c r="BT141" s="2" t="s">
        <v>232</v>
      </c>
      <c r="BU141" s="111" t="s">
        <v>233</v>
      </c>
      <c r="BV141" s="12" t="s">
        <v>234</v>
      </c>
      <c r="BW141" s="12" t="s">
        <v>235</v>
      </c>
      <c r="BX141" s="12" t="s">
        <v>236</v>
      </c>
      <c r="BY141" s="12" t="s">
        <v>237</v>
      </c>
      <c r="BZ141" s="12" t="s">
        <v>238</v>
      </c>
      <c r="CA141" s="13" t="s">
        <v>239</v>
      </c>
    </row>
    <row r="142" spans="36:79" ht="18" hidden="1" customHeight="1" x14ac:dyDescent="0.15">
      <c r="AJ142" s="16" t="e">
        <f>-AJ145+AJ148</f>
        <v>#VALUE!</v>
      </c>
      <c r="AK142" s="17" t="e">
        <f>-AJ151</f>
        <v>#VALUE!</v>
      </c>
      <c r="AL142" s="18" t="e">
        <f>IF(AND(AP145&lt;0,AQ145&lt;0),AQ142*1.2,IF(AND(AP145&gt;0,AQ145&gt;0),AP142*0.8,10))</f>
        <v>#VALUE!</v>
      </c>
      <c r="AM142" s="18" t="e">
        <f>AL142^3+AJ142*AL142+AK142</f>
        <v>#VALUE!</v>
      </c>
      <c r="AN142" s="18" t="e">
        <f>3*AL142^2+AJ142</f>
        <v>#VALUE!</v>
      </c>
      <c r="AO142" s="18" t="e">
        <f t="shared" ref="AO142:AO156" si="48">AL142-AM142/AN142</f>
        <v>#VALUE!</v>
      </c>
      <c r="AP142" s="18" t="e">
        <f>-SQRT(ABS(-4*3*AJ142))/6</f>
        <v>#VALUE!</v>
      </c>
      <c r="AQ142" s="19" t="e">
        <f>SQRT(ABS(-4*3*AJ142))/6</f>
        <v>#VALUE!</v>
      </c>
      <c r="AS142" s="16" t="e">
        <f>-AS145+AS148</f>
        <v>#VALUE!</v>
      </c>
      <c r="AT142" s="17" t="e">
        <f>-AS151</f>
        <v>#VALUE!</v>
      </c>
      <c r="AU142" s="18" t="e">
        <f>IF(AND(AY145&lt;0,AZ145&lt;0),AZ142*1.2,IF(AND(AY145&gt;0,AZ145&gt;0),AY142*0.8,10))</f>
        <v>#VALUE!</v>
      </c>
      <c r="AV142" s="18" t="e">
        <f>AU142^3+AS142*AU142+AT142</f>
        <v>#VALUE!</v>
      </c>
      <c r="AW142" s="18" t="e">
        <f>3*AU142^2+AS142</f>
        <v>#VALUE!</v>
      </c>
      <c r="AX142" s="18" t="e">
        <f t="shared" ref="AX142:AX156" si="49">AU142-AV142/AW142</f>
        <v>#VALUE!</v>
      </c>
      <c r="AY142" s="18" t="e">
        <f>-SQRT(ABS(-4*3*AS142))/6</f>
        <v>#VALUE!</v>
      </c>
      <c r="AZ142" s="19" t="e">
        <f>SQRT(ABS(-4*3*AS142))/6</f>
        <v>#VALUE!</v>
      </c>
      <c r="BB142" s="16" t="e">
        <f>-BB145+BB148</f>
        <v>#VALUE!</v>
      </c>
      <c r="BC142" s="17" t="e">
        <f>-BB151</f>
        <v>#VALUE!</v>
      </c>
      <c r="BD142" s="18" t="e">
        <f>IF(AND(BH145&lt;0,BI145&lt;0),BI142*1.2,IF(AND(BH145&gt;0,BI145&gt;0),BH142*0.8,10))</f>
        <v>#VALUE!</v>
      </c>
      <c r="BE142" s="18" t="e">
        <f>BD142^3+BB142*BD142+BC142</f>
        <v>#VALUE!</v>
      </c>
      <c r="BF142" s="18" t="e">
        <f>3*BD142^2+BB142</f>
        <v>#VALUE!</v>
      </c>
      <c r="BG142" s="18" t="e">
        <f t="shared" ref="BG142:BG156" si="50">BD142-BE142/BF142</f>
        <v>#VALUE!</v>
      </c>
      <c r="BH142" s="18" t="e">
        <f>-SQRT(ABS(-4*3*BB142))/6</f>
        <v>#VALUE!</v>
      </c>
      <c r="BI142" s="19" t="e">
        <f>SQRT(ABS(-4*3*BB142))/6</f>
        <v>#VALUE!</v>
      </c>
      <c r="BK142" s="16" t="e">
        <f>-BK145+BK148</f>
        <v>#VALUE!</v>
      </c>
      <c r="BL142" s="17" t="e">
        <f>-BK151</f>
        <v>#VALUE!</v>
      </c>
      <c r="BM142" s="18" t="e">
        <f>IF(AND(BQ145&lt;0,BR145&lt;0),BR142*1.2,IF(AND(BQ145&gt;0,BR145&gt;0),BQ142*0.8,10))</f>
        <v>#VALUE!</v>
      </c>
      <c r="BN142" s="18" t="e">
        <f>BM142^3+BK142*BM142+BL142</f>
        <v>#VALUE!</v>
      </c>
      <c r="BO142" s="18" t="e">
        <f>3*BM142^2+BK142</f>
        <v>#VALUE!</v>
      </c>
      <c r="BP142" s="18" t="e">
        <f t="shared" ref="BP142:BP156" si="51">BM142-BN142/BO142</f>
        <v>#VALUE!</v>
      </c>
      <c r="BQ142" s="18" t="e">
        <f>-SQRT(ABS(-4*3*BK142))/6</f>
        <v>#VALUE!</v>
      </c>
      <c r="BR142" s="19" t="e">
        <f>SQRT(ABS(-4*3*BK142))/6</f>
        <v>#VALUE!</v>
      </c>
      <c r="BT142" s="16" t="e">
        <f>-BT145+BT148</f>
        <v>#VALUE!</v>
      </c>
      <c r="BU142" s="17" t="e">
        <f>-BT151</f>
        <v>#VALUE!</v>
      </c>
      <c r="BV142" s="18" t="e">
        <f>IF(AND(BZ145&lt;0,CA145&lt;0),CA142*1.2,IF(AND(BZ145&gt;0,CA145&gt;0),BZ142*0.8,10))</f>
        <v>#VALUE!</v>
      </c>
      <c r="BW142" s="18" t="e">
        <f>BV142^3+BT142*BV142+BU142</f>
        <v>#VALUE!</v>
      </c>
      <c r="BX142" s="18" t="e">
        <f>3*BV142^2+BT142</f>
        <v>#VALUE!</v>
      </c>
      <c r="BY142" s="18" t="e">
        <f t="shared" ref="BY142:BY156" si="52">BV142-BW142/BX142</f>
        <v>#VALUE!</v>
      </c>
      <c r="BZ142" s="18" t="e">
        <f>-SQRT(ABS(-4*3*BT142))/6</f>
        <v>#VALUE!</v>
      </c>
      <c r="CA142" s="19" t="e">
        <f>SQRT(ABS(-4*3*BT142))/6</f>
        <v>#VALUE!</v>
      </c>
    </row>
    <row r="143" spans="36:79" ht="18" hidden="1" customHeight="1" x14ac:dyDescent="0.15">
      <c r="AJ143" s="267"/>
      <c r="AK143" s="268"/>
      <c r="AL143" s="18" t="e">
        <f t="shared" ref="AL143:AL156" si="53">AO142</f>
        <v>#VALUE!</v>
      </c>
      <c r="AM143" s="18" t="e">
        <f>AL143^3+AJ142*AL143+AK142</f>
        <v>#VALUE!</v>
      </c>
      <c r="AN143" s="18" t="e">
        <f>3*AL143^2+AJ142</f>
        <v>#VALUE!</v>
      </c>
      <c r="AO143" s="18" t="e">
        <f t="shared" si="48"/>
        <v>#VALUE!</v>
      </c>
      <c r="AP143" s="6"/>
      <c r="AQ143" s="7"/>
      <c r="AS143" s="267"/>
      <c r="AT143" s="268"/>
      <c r="AU143" s="18" t="e">
        <f t="shared" ref="AU143:AU156" si="54">AX142</f>
        <v>#VALUE!</v>
      </c>
      <c r="AV143" s="18" t="e">
        <f>AU143^3+AS142*AU143+AT142</f>
        <v>#VALUE!</v>
      </c>
      <c r="AW143" s="18" t="e">
        <f>3*AU143^2+AS142</f>
        <v>#VALUE!</v>
      </c>
      <c r="AX143" s="18" t="e">
        <f t="shared" si="49"/>
        <v>#VALUE!</v>
      </c>
      <c r="AY143" s="6"/>
      <c r="AZ143" s="7"/>
      <c r="BB143" s="267"/>
      <c r="BC143" s="268"/>
      <c r="BD143" s="18" t="e">
        <f t="shared" ref="BD143:BD156" si="55">BG142</f>
        <v>#VALUE!</v>
      </c>
      <c r="BE143" s="18" t="e">
        <f>BD143^3+BB142*BD143+BC142</f>
        <v>#VALUE!</v>
      </c>
      <c r="BF143" s="18" t="e">
        <f>3*BD143^2+BB142</f>
        <v>#VALUE!</v>
      </c>
      <c r="BG143" s="18" t="e">
        <f t="shared" si="50"/>
        <v>#VALUE!</v>
      </c>
      <c r="BH143" s="6"/>
      <c r="BI143" s="7"/>
      <c r="BK143" s="267"/>
      <c r="BL143" s="268"/>
      <c r="BM143" s="18" t="e">
        <f t="shared" ref="BM143:BM156" si="56">BP142</f>
        <v>#VALUE!</v>
      </c>
      <c r="BN143" s="18" t="e">
        <f>BM143^3+BK142*BM143+BL142</f>
        <v>#VALUE!</v>
      </c>
      <c r="BO143" s="18" t="e">
        <f>3*BM143^2+BK142</f>
        <v>#VALUE!</v>
      </c>
      <c r="BP143" s="18" t="e">
        <f t="shared" si="51"/>
        <v>#VALUE!</v>
      </c>
      <c r="BQ143" s="6"/>
      <c r="BR143" s="7"/>
      <c r="BT143" s="267"/>
      <c r="BU143" s="268"/>
      <c r="BV143" s="18" t="e">
        <f t="shared" ref="BV143:BV156" si="57">BY142</f>
        <v>#VALUE!</v>
      </c>
      <c r="BW143" s="18" t="e">
        <f>BV143^3+BT142*BV143+BU142</f>
        <v>#VALUE!</v>
      </c>
      <c r="BX143" s="18" t="e">
        <f>3*BV143^2+BT142</f>
        <v>#VALUE!</v>
      </c>
      <c r="BY143" s="18" t="e">
        <f t="shared" si="52"/>
        <v>#VALUE!</v>
      </c>
      <c r="BZ143" s="6"/>
      <c r="CA143" s="7"/>
    </row>
    <row r="144" spans="36:79" ht="18" hidden="1" customHeight="1" x14ac:dyDescent="0.15">
      <c r="AJ144" s="269" t="s">
        <v>240</v>
      </c>
      <c r="AK144" s="270"/>
      <c r="AL144" s="18" t="e">
        <f t="shared" si="53"/>
        <v>#VALUE!</v>
      </c>
      <c r="AM144" s="18" t="e">
        <f>AL144^3+AJ142*AL144+AK142</f>
        <v>#VALUE!</v>
      </c>
      <c r="AN144" s="18" t="e">
        <f>3*AL144^2+AJ142</f>
        <v>#VALUE!</v>
      </c>
      <c r="AO144" s="18" t="e">
        <f t="shared" si="48"/>
        <v>#VALUE!</v>
      </c>
      <c r="AP144" s="14" t="s">
        <v>241</v>
      </c>
      <c r="AQ144" s="15" t="s">
        <v>242</v>
      </c>
      <c r="AS144" s="269" t="s">
        <v>240</v>
      </c>
      <c r="AT144" s="270"/>
      <c r="AU144" s="18" t="e">
        <f t="shared" si="54"/>
        <v>#VALUE!</v>
      </c>
      <c r="AV144" s="18" t="e">
        <f>AU144^3+AS142*AU144+AT142</f>
        <v>#VALUE!</v>
      </c>
      <c r="AW144" s="18" t="e">
        <f>3*AU144^2+AS142</f>
        <v>#VALUE!</v>
      </c>
      <c r="AX144" s="18" t="e">
        <f t="shared" si="49"/>
        <v>#VALUE!</v>
      </c>
      <c r="AY144" s="14" t="s">
        <v>241</v>
      </c>
      <c r="AZ144" s="15" t="s">
        <v>242</v>
      </c>
      <c r="BB144" s="269" t="s">
        <v>240</v>
      </c>
      <c r="BC144" s="270"/>
      <c r="BD144" s="18" t="e">
        <f t="shared" si="55"/>
        <v>#VALUE!</v>
      </c>
      <c r="BE144" s="18" t="e">
        <f>BD144^3+BB142*BD144+BC142</f>
        <v>#VALUE!</v>
      </c>
      <c r="BF144" s="18" t="e">
        <f>3*BD144^2+BB142</f>
        <v>#VALUE!</v>
      </c>
      <c r="BG144" s="18" t="e">
        <f t="shared" si="50"/>
        <v>#VALUE!</v>
      </c>
      <c r="BH144" s="14" t="s">
        <v>241</v>
      </c>
      <c r="BI144" s="15" t="s">
        <v>242</v>
      </c>
      <c r="BK144" s="269" t="s">
        <v>240</v>
      </c>
      <c r="BL144" s="270"/>
      <c r="BM144" s="18" t="e">
        <f t="shared" si="56"/>
        <v>#VALUE!</v>
      </c>
      <c r="BN144" s="18" t="e">
        <f>BM144^3+BK142*BM144+BL142</f>
        <v>#VALUE!</v>
      </c>
      <c r="BO144" s="18" t="e">
        <f>3*BM144^2+BK142</f>
        <v>#VALUE!</v>
      </c>
      <c r="BP144" s="18" t="e">
        <f t="shared" si="51"/>
        <v>#VALUE!</v>
      </c>
      <c r="BQ144" s="14" t="s">
        <v>241</v>
      </c>
      <c r="BR144" s="15" t="s">
        <v>242</v>
      </c>
      <c r="BT144" s="269" t="s">
        <v>240</v>
      </c>
      <c r="BU144" s="270"/>
      <c r="BV144" s="18" t="e">
        <f t="shared" si="57"/>
        <v>#VALUE!</v>
      </c>
      <c r="BW144" s="18" t="e">
        <f>BV144^3+BT142*BV144+BU142</f>
        <v>#VALUE!</v>
      </c>
      <c r="BX144" s="18" t="e">
        <f>3*BV144^2+BT142</f>
        <v>#VALUE!</v>
      </c>
      <c r="BY144" s="18" t="e">
        <f t="shared" si="52"/>
        <v>#VALUE!</v>
      </c>
      <c r="BZ144" s="14" t="s">
        <v>241</v>
      </c>
      <c r="CA144" s="15" t="s">
        <v>242</v>
      </c>
    </row>
    <row r="145" spans="36:79" ht="18" hidden="1" customHeight="1" x14ac:dyDescent="0.15">
      <c r="AJ145" s="269">
        <f>(AL158^2)+3*(AM158^2)*AQ158*(AQ153-15)/(8*10^7)</f>
        <v>0</v>
      </c>
      <c r="AK145" s="270"/>
      <c r="AL145" s="18" t="e">
        <f t="shared" si="53"/>
        <v>#VALUE!</v>
      </c>
      <c r="AM145" s="18" t="e">
        <f>AL145^3+AJ142*AL145+AK142</f>
        <v>#VALUE!</v>
      </c>
      <c r="AN145" s="18" t="e">
        <f>3*AL145^2+AJ142</f>
        <v>#VALUE!</v>
      </c>
      <c r="AO145" s="18" t="e">
        <f t="shared" si="48"/>
        <v>#VALUE!</v>
      </c>
      <c r="AP145" s="18" t="e">
        <f>AP142^3+AJ142*AP142+AK142</f>
        <v>#VALUE!</v>
      </c>
      <c r="AQ145" s="19" t="e">
        <f>AQ142^3+AJ142*AQ142+AK142</f>
        <v>#VALUE!</v>
      </c>
      <c r="AS145" s="269" t="e">
        <f>(AU158^2)+3*(AV158^2)*AZ158*(AZ153-15)/(8*10^7)</f>
        <v>#VALUE!</v>
      </c>
      <c r="AT145" s="270"/>
      <c r="AU145" s="18" t="e">
        <f t="shared" si="54"/>
        <v>#VALUE!</v>
      </c>
      <c r="AV145" s="18" t="e">
        <f>AU145^3+AS142*AU145+AT142</f>
        <v>#VALUE!</v>
      </c>
      <c r="AW145" s="18" t="e">
        <f>3*AU145^2+AS142</f>
        <v>#VALUE!</v>
      </c>
      <c r="AX145" s="18" t="e">
        <f t="shared" si="49"/>
        <v>#VALUE!</v>
      </c>
      <c r="AY145" s="18" t="e">
        <f>AY142^3+AS142*AY142+AT142</f>
        <v>#VALUE!</v>
      </c>
      <c r="AZ145" s="19" t="e">
        <f>AZ142^3+AS142*AZ142+AT142</f>
        <v>#VALUE!</v>
      </c>
      <c r="BB145" s="269" t="e">
        <f>(BD158^2)+3*(BE158^2)*BI158*(BI153-15)/(8*10^7)</f>
        <v>#VALUE!</v>
      </c>
      <c r="BC145" s="270"/>
      <c r="BD145" s="18" t="e">
        <f t="shared" si="55"/>
        <v>#VALUE!</v>
      </c>
      <c r="BE145" s="18" t="e">
        <f>BD145^3+BB142*BD145+BC142</f>
        <v>#VALUE!</v>
      </c>
      <c r="BF145" s="18" t="e">
        <f>3*BD145^2+BB142</f>
        <v>#VALUE!</v>
      </c>
      <c r="BG145" s="18" t="e">
        <f t="shared" si="50"/>
        <v>#VALUE!</v>
      </c>
      <c r="BH145" s="18" t="e">
        <f>BH142^3+BB142*BH142+BC142</f>
        <v>#VALUE!</v>
      </c>
      <c r="BI145" s="19" t="e">
        <f>BI142^3+BB142*BI142+BC142</f>
        <v>#VALUE!</v>
      </c>
      <c r="BK145" s="269" t="e">
        <f>(BM158^2)+3*(BN158^2)*BR158*(BR153-15)/(8*10^7)</f>
        <v>#VALUE!</v>
      </c>
      <c r="BL145" s="270"/>
      <c r="BM145" s="18" t="e">
        <f t="shared" si="56"/>
        <v>#VALUE!</v>
      </c>
      <c r="BN145" s="18" t="e">
        <f>BM145^3+BK142*BM145+BL142</f>
        <v>#VALUE!</v>
      </c>
      <c r="BO145" s="18" t="e">
        <f>3*BM145^2+BK142</f>
        <v>#VALUE!</v>
      </c>
      <c r="BP145" s="18" t="e">
        <f t="shared" si="51"/>
        <v>#VALUE!</v>
      </c>
      <c r="BQ145" s="18" t="e">
        <f>BQ142^3+BK142*BQ142+BL142</f>
        <v>#VALUE!</v>
      </c>
      <c r="BR145" s="19" t="e">
        <f>BR142^3+BK142*BR142+BL142</f>
        <v>#VALUE!</v>
      </c>
      <c r="BT145" s="269" t="e">
        <f>(BV158^2)+3*(BW158^2)*CA158*(CA153-15)/(8*10^7)</f>
        <v>#VALUE!</v>
      </c>
      <c r="BU145" s="270"/>
      <c r="BV145" s="18" t="e">
        <f t="shared" si="57"/>
        <v>#VALUE!</v>
      </c>
      <c r="BW145" s="18" t="e">
        <f>BV145^3+BT142*BV145+BU142</f>
        <v>#VALUE!</v>
      </c>
      <c r="BX145" s="18" t="e">
        <f>3*BV145^2+BT142</f>
        <v>#VALUE!</v>
      </c>
      <c r="BY145" s="18" t="e">
        <f t="shared" si="52"/>
        <v>#VALUE!</v>
      </c>
      <c r="BZ145" s="18" t="e">
        <f>BZ142^3+BT142*BZ142+BU142</f>
        <v>#VALUE!</v>
      </c>
      <c r="CA145" s="19" t="e">
        <f>CA142^3+BT142*CA142+BU142</f>
        <v>#VALUE!</v>
      </c>
    </row>
    <row r="146" spans="36:79" ht="18" hidden="1" customHeight="1" x14ac:dyDescent="0.15">
      <c r="AJ146" s="267"/>
      <c r="AK146" s="268"/>
      <c r="AL146" s="18" t="e">
        <f t="shared" si="53"/>
        <v>#VALUE!</v>
      </c>
      <c r="AM146" s="18" t="e">
        <f>AL146^3+AJ142*AL146+AK142</f>
        <v>#VALUE!</v>
      </c>
      <c r="AN146" s="18" t="e">
        <f>3*AL146^2+AJ142</f>
        <v>#VALUE!</v>
      </c>
      <c r="AO146" s="18" t="e">
        <f t="shared" si="48"/>
        <v>#VALUE!</v>
      </c>
      <c r="AP146" s="31"/>
      <c r="AQ146" s="32"/>
      <c r="AS146" s="267"/>
      <c r="AT146" s="268"/>
      <c r="AU146" s="18" t="e">
        <f t="shared" si="54"/>
        <v>#VALUE!</v>
      </c>
      <c r="AV146" s="18" t="e">
        <f>AU146^3+AS142*AU146+AT142</f>
        <v>#VALUE!</v>
      </c>
      <c r="AW146" s="18" t="e">
        <f>3*AU146^2+AS142</f>
        <v>#VALUE!</v>
      </c>
      <c r="AX146" s="18" t="e">
        <f t="shared" si="49"/>
        <v>#VALUE!</v>
      </c>
      <c r="AY146" s="31"/>
      <c r="AZ146" s="32"/>
      <c r="BB146" s="267"/>
      <c r="BC146" s="268"/>
      <c r="BD146" s="18" t="e">
        <f t="shared" si="55"/>
        <v>#VALUE!</v>
      </c>
      <c r="BE146" s="18" t="e">
        <f>BD146^3+BB142*BD146+BC142</f>
        <v>#VALUE!</v>
      </c>
      <c r="BF146" s="18" t="e">
        <f>3*BD146^2+BB142</f>
        <v>#VALUE!</v>
      </c>
      <c r="BG146" s="18" t="e">
        <f t="shared" si="50"/>
        <v>#VALUE!</v>
      </c>
      <c r="BH146" s="31"/>
      <c r="BI146" s="32"/>
      <c r="BK146" s="267"/>
      <c r="BL146" s="268"/>
      <c r="BM146" s="18" t="e">
        <f t="shared" si="56"/>
        <v>#VALUE!</v>
      </c>
      <c r="BN146" s="18" t="e">
        <f>BM146^3+BK142*BM146+BL142</f>
        <v>#VALUE!</v>
      </c>
      <c r="BO146" s="18" t="e">
        <f>3*BM146^2+BK142</f>
        <v>#VALUE!</v>
      </c>
      <c r="BP146" s="18" t="e">
        <f t="shared" si="51"/>
        <v>#VALUE!</v>
      </c>
      <c r="BQ146" s="31"/>
      <c r="BR146" s="32"/>
      <c r="BT146" s="267"/>
      <c r="BU146" s="268"/>
      <c r="BV146" s="18" t="e">
        <f t="shared" si="57"/>
        <v>#VALUE!</v>
      </c>
      <c r="BW146" s="18" t="e">
        <f>BV146^3+BT142*BV146+BU142</f>
        <v>#VALUE!</v>
      </c>
      <c r="BX146" s="18" t="e">
        <f>3*BV146^2+BT142</f>
        <v>#VALUE!</v>
      </c>
      <c r="BY146" s="18" t="e">
        <f t="shared" si="52"/>
        <v>#VALUE!</v>
      </c>
      <c r="BZ146" s="31"/>
      <c r="CA146" s="32"/>
    </row>
    <row r="147" spans="36:79" ht="18" hidden="1" customHeight="1" x14ac:dyDescent="0.15">
      <c r="AJ147" s="269" t="s">
        <v>243</v>
      </c>
      <c r="AK147" s="270"/>
      <c r="AL147" s="18" t="e">
        <f t="shared" si="53"/>
        <v>#VALUE!</v>
      </c>
      <c r="AM147" s="18" t="e">
        <f>AL147^3+AJ142*AL147+AK142</f>
        <v>#VALUE!</v>
      </c>
      <c r="AN147" s="18" t="e">
        <f>3*AL147^2+AJ142</f>
        <v>#VALUE!</v>
      </c>
      <c r="AO147" s="18" t="e">
        <f t="shared" si="48"/>
        <v>#VALUE!</v>
      </c>
      <c r="AP147" s="31"/>
      <c r="AQ147" s="32"/>
      <c r="AS147" s="269" t="s">
        <v>243</v>
      </c>
      <c r="AT147" s="270"/>
      <c r="AU147" s="18" t="e">
        <f t="shared" si="54"/>
        <v>#VALUE!</v>
      </c>
      <c r="AV147" s="18" t="e">
        <f>AU147^3+AS142*AU147+AT142</f>
        <v>#VALUE!</v>
      </c>
      <c r="AW147" s="18" t="e">
        <f>3*AU147^2+AS142</f>
        <v>#VALUE!</v>
      </c>
      <c r="AX147" s="18" t="e">
        <f t="shared" si="49"/>
        <v>#VALUE!</v>
      </c>
      <c r="AY147" s="31"/>
      <c r="AZ147" s="32"/>
      <c r="BB147" s="269" t="s">
        <v>243</v>
      </c>
      <c r="BC147" s="270"/>
      <c r="BD147" s="18" t="e">
        <f t="shared" si="55"/>
        <v>#VALUE!</v>
      </c>
      <c r="BE147" s="18" t="e">
        <f>BD147^3+BB142*BD147+BC142</f>
        <v>#VALUE!</v>
      </c>
      <c r="BF147" s="18" t="e">
        <f>3*BD147^2+BB142</f>
        <v>#VALUE!</v>
      </c>
      <c r="BG147" s="18" t="e">
        <f t="shared" si="50"/>
        <v>#VALUE!</v>
      </c>
      <c r="BH147" s="31"/>
      <c r="BI147" s="32"/>
      <c r="BK147" s="269" t="s">
        <v>243</v>
      </c>
      <c r="BL147" s="270"/>
      <c r="BM147" s="18" t="e">
        <f t="shared" si="56"/>
        <v>#VALUE!</v>
      </c>
      <c r="BN147" s="18" t="e">
        <f>BM147^3+BK142*BM147+BL142</f>
        <v>#VALUE!</v>
      </c>
      <c r="BO147" s="18" t="e">
        <f>3*BM147^2+BK142</f>
        <v>#VALUE!</v>
      </c>
      <c r="BP147" s="18" t="e">
        <f t="shared" si="51"/>
        <v>#VALUE!</v>
      </c>
      <c r="BQ147" s="31"/>
      <c r="BR147" s="32"/>
      <c r="BT147" s="269" t="s">
        <v>243</v>
      </c>
      <c r="BU147" s="270"/>
      <c r="BV147" s="18" t="e">
        <f t="shared" si="57"/>
        <v>#VALUE!</v>
      </c>
      <c r="BW147" s="18" t="e">
        <f>BV147^3+BT142*BV147+BU142</f>
        <v>#VALUE!</v>
      </c>
      <c r="BX147" s="18" t="e">
        <f>3*BV147^2+BT142</f>
        <v>#VALUE!</v>
      </c>
      <c r="BY147" s="18" t="e">
        <f t="shared" si="52"/>
        <v>#VALUE!</v>
      </c>
      <c r="BZ147" s="31"/>
      <c r="CA147" s="32"/>
    </row>
    <row r="148" spans="36:79" ht="18" hidden="1" customHeight="1" x14ac:dyDescent="0.15">
      <c r="AJ148" s="277" t="e">
        <f>3*(AM158^2)*AN158/(8*AO158*AP158)</f>
        <v>#VALUE!</v>
      </c>
      <c r="AK148" s="278"/>
      <c r="AL148" s="118" t="e">
        <f t="shared" si="53"/>
        <v>#VALUE!</v>
      </c>
      <c r="AM148" s="118" t="e">
        <f>AL148^3+AJ142*AL148+AK142</f>
        <v>#VALUE!</v>
      </c>
      <c r="AN148" s="118" t="e">
        <f>3*AL148^2+AJ142</f>
        <v>#VALUE!</v>
      </c>
      <c r="AO148" s="118" t="e">
        <f t="shared" si="48"/>
        <v>#VALUE!</v>
      </c>
      <c r="AP148" s="116"/>
      <c r="AQ148" s="117"/>
      <c r="AS148" s="277" t="e">
        <f>3*(AV158^2)*AW158/(8*AX158*AY158)</f>
        <v>#VALUE!</v>
      </c>
      <c r="AT148" s="278"/>
      <c r="AU148" s="118" t="e">
        <f t="shared" si="54"/>
        <v>#VALUE!</v>
      </c>
      <c r="AV148" s="118" t="e">
        <f>AU148^3+AS142*AU148+AT142</f>
        <v>#VALUE!</v>
      </c>
      <c r="AW148" s="118" t="e">
        <f>3*AU148^2+AS142</f>
        <v>#VALUE!</v>
      </c>
      <c r="AX148" s="118" t="e">
        <f t="shared" si="49"/>
        <v>#VALUE!</v>
      </c>
      <c r="AY148" s="116"/>
      <c r="AZ148" s="117"/>
      <c r="BB148" s="277" t="e">
        <f>3*(BE158^2)*BF158/(8*BG158*BH158)</f>
        <v>#VALUE!</v>
      </c>
      <c r="BC148" s="278"/>
      <c r="BD148" s="118" t="e">
        <f t="shared" si="55"/>
        <v>#VALUE!</v>
      </c>
      <c r="BE148" s="118" t="e">
        <f>BD148^3+BB142*BD148+BC142</f>
        <v>#VALUE!</v>
      </c>
      <c r="BF148" s="118" t="e">
        <f>3*BD148^2+BB142</f>
        <v>#VALUE!</v>
      </c>
      <c r="BG148" s="118" t="e">
        <f t="shared" si="50"/>
        <v>#VALUE!</v>
      </c>
      <c r="BH148" s="116"/>
      <c r="BI148" s="117"/>
      <c r="BK148" s="277" t="e">
        <f>3*(BN158^2)*BO158/(8*BP158*BQ158)</f>
        <v>#VALUE!</v>
      </c>
      <c r="BL148" s="278"/>
      <c r="BM148" s="118" t="e">
        <f t="shared" si="56"/>
        <v>#VALUE!</v>
      </c>
      <c r="BN148" s="118" t="e">
        <f>BM148^3+BK142*BM148+BL142</f>
        <v>#VALUE!</v>
      </c>
      <c r="BO148" s="118" t="e">
        <f>3*BM148^2+BK142</f>
        <v>#VALUE!</v>
      </c>
      <c r="BP148" s="118" t="e">
        <f t="shared" si="51"/>
        <v>#VALUE!</v>
      </c>
      <c r="BQ148" s="116"/>
      <c r="BR148" s="117"/>
      <c r="BT148" s="277" t="e">
        <f>3*(BW158^2)*BX158/(8*BY158*BZ158)</f>
        <v>#VALUE!</v>
      </c>
      <c r="BU148" s="278"/>
      <c r="BV148" s="118" t="e">
        <f t="shared" si="57"/>
        <v>#VALUE!</v>
      </c>
      <c r="BW148" s="118" t="e">
        <f>BV148^3+BT142*BV148+BU142</f>
        <v>#VALUE!</v>
      </c>
      <c r="BX148" s="118" t="e">
        <f>3*BV148^2+BT142</f>
        <v>#VALUE!</v>
      </c>
      <c r="BY148" s="118" t="e">
        <f t="shared" si="52"/>
        <v>#VALUE!</v>
      </c>
      <c r="BZ148" s="116"/>
      <c r="CA148" s="117"/>
    </row>
    <row r="149" spans="36:79" ht="18" hidden="1" customHeight="1" x14ac:dyDescent="0.15">
      <c r="AJ149" s="121"/>
      <c r="AK149" s="122"/>
      <c r="AL149" s="118" t="e">
        <f t="shared" si="53"/>
        <v>#VALUE!</v>
      </c>
      <c r="AM149" s="118" t="e">
        <f>AL149^3+AJ142*AL149+AK142</f>
        <v>#VALUE!</v>
      </c>
      <c r="AN149" s="118" t="e">
        <f>3*AL149^2+AJ142</f>
        <v>#VALUE!</v>
      </c>
      <c r="AO149" s="118" t="e">
        <f t="shared" si="48"/>
        <v>#VALUE!</v>
      </c>
      <c r="AP149" s="119"/>
      <c r="AQ149" s="120"/>
      <c r="AS149" s="121"/>
      <c r="AT149" s="122"/>
      <c r="AU149" s="118" t="e">
        <f t="shared" si="54"/>
        <v>#VALUE!</v>
      </c>
      <c r="AV149" s="118" t="e">
        <f>AU149^3+AS142*AU149+AT142</f>
        <v>#VALUE!</v>
      </c>
      <c r="AW149" s="118" t="e">
        <f>3*AU149^2+AS142</f>
        <v>#VALUE!</v>
      </c>
      <c r="AX149" s="118" t="e">
        <f t="shared" si="49"/>
        <v>#VALUE!</v>
      </c>
      <c r="AY149" s="119"/>
      <c r="AZ149" s="120"/>
      <c r="BB149" s="121"/>
      <c r="BC149" s="122"/>
      <c r="BD149" s="118" t="e">
        <f t="shared" si="55"/>
        <v>#VALUE!</v>
      </c>
      <c r="BE149" s="118" t="e">
        <f>BD149^3+BB142*BD149+BC142</f>
        <v>#VALUE!</v>
      </c>
      <c r="BF149" s="118" t="e">
        <f>3*BD149^2+BB142</f>
        <v>#VALUE!</v>
      </c>
      <c r="BG149" s="118" t="e">
        <f t="shared" si="50"/>
        <v>#VALUE!</v>
      </c>
      <c r="BH149" s="119"/>
      <c r="BI149" s="120"/>
      <c r="BK149" s="121"/>
      <c r="BL149" s="122"/>
      <c r="BM149" s="118" t="e">
        <f t="shared" si="56"/>
        <v>#VALUE!</v>
      </c>
      <c r="BN149" s="118" t="e">
        <f>BM149^3+BK142*BM149+BL142</f>
        <v>#VALUE!</v>
      </c>
      <c r="BO149" s="118" t="e">
        <f>3*BM149^2+BK142</f>
        <v>#VALUE!</v>
      </c>
      <c r="BP149" s="118" t="e">
        <f t="shared" si="51"/>
        <v>#VALUE!</v>
      </c>
      <c r="BQ149" s="119"/>
      <c r="BR149" s="120"/>
      <c r="BT149" s="121"/>
      <c r="BU149" s="122"/>
      <c r="BV149" s="118" t="e">
        <f t="shared" si="57"/>
        <v>#VALUE!</v>
      </c>
      <c r="BW149" s="118" t="e">
        <f>BV149^3+BT142*BV149+BU142</f>
        <v>#VALUE!</v>
      </c>
      <c r="BX149" s="118" t="e">
        <f>3*BV149^2+BT142</f>
        <v>#VALUE!</v>
      </c>
      <c r="BY149" s="118" t="e">
        <f t="shared" si="52"/>
        <v>#VALUE!</v>
      </c>
      <c r="BZ149" s="119"/>
      <c r="CA149" s="120"/>
    </row>
    <row r="150" spans="36:79" ht="18" hidden="1" customHeight="1" x14ac:dyDescent="0.15">
      <c r="AJ150" s="269" t="s">
        <v>244</v>
      </c>
      <c r="AK150" s="270"/>
      <c r="AL150" s="118" t="e">
        <f t="shared" si="53"/>
        <v>#VALUE!</v>
      </c>
      <c r="AM150" s="118" t="e">
        <f>AL150^3+AJ142*AL150+AK142</f>
        <v>#VALUE!</v>
      </c>
      <c r="AN150" s="118" t="e">
        <f>3*AL150^2+AJ142</f>
        <v>#VALUE!</v>
      </c>
      <c r="AO150" s="118" t="e">
        <f t="shared" si="48"/>
        <v>#VALUE!</v>
      </c>
      <c r="AP150" s="14" t="s">
        <v>245</v>
      </c>
      <c r="AQ150" s="123" t="e">
        <f>AO156</f>
        <v>#VALUE!</v>
      </c>
      <c r="AS150" s="269" t="s">
        <v>244</v>
      </c>
      <c r="AT150" s="270"/>
      <c r="AU150" s="118" t="e">
        <f t="shared" si="54"/>
        <v>#VALUE!</v>
      </c>
      <c r="AV150" s="118" t="e">
        <f>AU150^3+AS142*AU150+AT142</f>
        <v>#VALUE!</v>
      </c>
      <c r="AW150" s="118" t="e">
        <f>3*AU150^2+AS142</f>
        <v>#VALUE!</v>
      </c>
      <c r="AX150" s="118" t="e">
        <f t="shared" si="49"/>
        <v>#VALUE!</v>
      </c>
      <c r="AY150" s="14" t="s">
        <v>245</v>
      </c>
      <c r="AZ150" s="123" t="e">
        <f>AX156</f>
        <v>#VALUE!</v>
      </c>
      <c r="BB150" s="269" t="s">
        <v>244</v>
      </c>
      <c r="BC150" s="270"/>
      <c r="BD150" s="118" t="e">
        <f t="shared" si="55"/>
        <v>#VALUE!</v>
      </c>
      <c r="BE150" s="118" t="e">
        <f>BD150^3+BB142*BD150+BC142</f>
        <v>#VALUE!</v>
      </c>
      <c r="BF150" s="118" t="e">
        <f>3*BD150^2+BB142</f>
        <v>#VALUE!</v>
      </c>
      <c r="BG150" s="118" t="e">
        <f t="shared" si="50"/>
        <v>#VALUE!</v>
      </c>
      <c r="BH150" s="14" t="s">
        <v>245</v>
      </c>
      <c r="BI150" s="123" t="e">
        <f>BG156</f>
        <v>#VALUE!</v>
      </c>
      <c r="BK150" s="269" t="s">
        <v>244</v>
      </c>
      <c r="BL150" s="270"/>
      <c r="BM150" s="118" t="e">
        <f t="shared" si="56"/>
        <v>#VALUE!</v>
      </c>
      <c r="BN150" s="118" t="e">
        <f>BM150^3+BK142*BM150+BL142</f>
        <v>#VALUE!</v>
      </c>
      <c r="BO150" s="118" t="e">
        <f>3*BM150^2+BK142</f>
        <v>#VALUE!</v>
      </c>
      <c r="BP150" s="118" t="e">
        <f t="shared" si="51"/>
        <v>#VALUE!</v>
      </c>
      <c r="BQ150" s="14" t="s">
        <v>245</v>
      </c>
      <c r="BR150" s="123" t="e">
        <f>BP156</f>
        <v>#VALUE!</v>
      </c>
      <c r="BT150" s="269" t="s">
        <v>244</v>
      </c>
      <c r="BU150" s="270"/>
      <c r="BV150" s="118" t="e">
        <f t="shared" si="57"/>
        <v>#VALUE!</v>
      </c>
      <c r="BW150" s="118" t="e">
        <f>BV150^3+BT142*BV150+BU142</f>
        <v>#VALUE!</v>
      </c>
      <c r="BX150" s="118" t="e">
        <f>3*BV150^2+BT142</f>
        <v>#VALUE!</v>
      </c>
      <c r="BY150" s="118" t="e">
        <f t="shared" si="52"/>
        <v>#VALUE!</v>
      </c>
      <c r="BZ150" s="14" t="s">
        <v>245</v>
      </c>
      <c r="CA150" s="123" t="e">
        <f>BY156</f>
        <v>#VALUE!</v>
      </c>
    </row>
    <row r="151" spans="36:79" ht="18" hidden="1" customHeight="1" x14ac:dyDescent="0.15">
      <c r="AJ151" s="271" t="e">
        <f>AJ148*AL158*AK158/AK158</f>
        <v>#VALUE!</v>
      </c>
      <c r="AK151" s="272"/>
      <c r="AL151" s="118" t="e">
        <f t="shared" si="53"/>
        <v>#VALUE!</v>
      </c>
      <c r="AM151" s="118" t="e">
        <f>AL151^3+AJ142*AL151+AK142</f>
        <v>#VALUE!</v>
      </c>
      <c r="AN151" s="118" t="e">
        <f>3*AL151^2+AJ142</f>
        <v>#VALUE!</v>
      </c>
      <c r="AO151" s="118" t="e">
        <f t="shared" si="48"/>
        <v>#VALUE!</v>
      </c>
      <c r="AP151" s="14" t="s">
        <v>246</v>
      </c>
      <c r="AQ151" s="124" t="e">
        <f>AK158*AM158^2/(8*AO156)</f>
        <v>#VALUE!</v>
      </c>
      <c r="AS151" s="271" t="e">
        <f>AS148*AU158*AT158/AT158</f>
        <v>#VALUE!</v>
      </c>
      <c r="AT151" s="272"/>
      <c r="AU151" s="118" t="e">
        <f t="shared" si="54"/>
        <v>#VALUE!</v>
      </c>
      <c r="AV151" s="118" t="e">
        <f>AU151^3+AS142*AU151+AT142</f>
        <v>#VALUE!</v>
      </c>
      <c r="AW151" s="118" t="e">
        <f>3*AU151^2+AS142</f>
        <v>#VALUE!</v>
      </c>
      <c r="AX151" s="118" t="e">
        <f t="shared" si="49"/>
        <v>#VALUE!</v>
      </c>
      <c r="AY151" s="14" t="s">
        <v>246</v>
      </c>
      <c r="AZ151" s="124" t="e">
        <f>AT158*AV158^2/(8*AX156)</f>
        <v>#VALUE!</v>
      </c>
      <c r="BB151" s="271" t="e">
        <f>BB148*BD158*BC158/BC158</f>
        <v>#VALUE!</v>
      </c>
      <c r="BC151" s="272"/>
      <c r="BD151" s="118" t="e">
        <f t="shared" si="55"/>
        <v>#VALUE!</v>
      </c>
      <c r="BE151" s="118" t="e">
        <f>BD151^3+BB142*BD151+BC142</f>
        <v>#VALUE!</v>
      </c>
      <c r="BF151" s="118" t="e">
        <f>3*BD151^2+BB142</f>
        <v>#VALUE!</v>
      </c>
      <c r="BG151" s="118" t="e">
        <f t="shared" si="50"/>
        <v>#VALUE!</v>
      </c>
      <c r="BH151" s="14" t="s">
        <v>246</v>
      </c>
      <c r="BI151" s="124" t="e">
        <f>BC158*BE158^2/(8*BG156)</f>
        <v>#VALUE!</v>
      </c>
      <c r="BK151" s="271" t="e">
        <f>BK148*BM158*BL158/BL158</f>
        <v>#VALUE!</v>
      </c>
      <c r="BL151" s="272"/>
      <c r="BM151" s="118" t="e">
        <f t="shared" si="56"/>
        <v>#VALUE!</v>
      </c>
      <c r="BN151" s="118" t="e">
        <f>BM151^3+BK142*BM151+BL142</f>
        <v>#VALUE!</v>
      </c>
      <c r="BO151" s="118" t="e">
        <f>3*BM151^2+BK142</f>
        <v>#VALUE!</v>
      </c>
      <c r="BP151" s="118" t="e">
        <f t="shared" si="51"/>
        <v>#VALUE!</v>
      </c>
      <c r="BQ151" s="14" t="s">
        <v>246</v>
      </c>
      <c r="BR151" s="124" t="e">
        <f>BL158*BN158^2/(8*BP156)</f>
        <v>#VALUE!</v>
      </c>
      <c r="BT151" s="271" t="e">
        <f>BT148*BV158*BU158/BU158</f>
        <v>#VALUE!</v>
      </c>
      <c r="BU151" s="272"/>
      <c r="BV151" s="118" t="e">
        <f t="shared" si="57"/>
        <v>#VALUE!</v>
      </c>
      <c r="BW151" s="118" t="e">
        <f>BV151^3+BT142*BV151+BU142</f>
        <v>#VALUE!</v>
      </c>
      <c r="BX151" s="118" t="e">
        <f>3*BV151^2+BT142</f>
        <v>#VALUE!</v>
      </c>
      <c r="BY151" s="118" t="e">
        <f t="shared" si="52"/>
        <v>#VALUE!</v>
      </c>
      <c r="BZ151" s="14" t="s">
        <v>246</v>
      </c>
      <c r="CA151" s="124" t="e">
        <f>BU158*BW158^2/(8*BY156)</f>
        <v>#VALUE!</v>
      </c>
    </row>
    <row r="152" spans="36:79" ht="18" hidden="1" customHeight="1" x14ac:dyDescent="0.15">
      <c r="AJ152" s="125"/>
      <c r="AK152" s="126"/>
      <c r="AL152" s="118" t="e">
        <f t="shared" si="53"/>
        <v>#VALUE!</v>
      </c>
      <c r="AM152" s="118" t="e">
        <f>AL152^3+AJ142*AL152+AK142</f>
        <v>#VALUE!</v>
      </c>
      <c r="AN152" s="118" t="e">
        <f>3*AL152^2+AJ142</f>
        <v>#VALUE!</v>
      </c>
      <c r="AO152" s="118" t="e">
        <f t="shared" si="48"/>
        <v>#VALUE!</v>
      </c>
      <c r="AP152" s="116"/>
      <c r="AQ152" s="117"/>
      <c r="AS152" s="125"/>
      <c r="AT152" s="126"/>
      <c r="AU152" s="118" t="e">
        <f t="shared" si="54"/>
        <v>#VALUE!</v>
      </c>
      <c r="AV152" s="118" t="e">
        <f>AU152^3+AS142*AU152+AT142</f>
        <v>#VALUE!</v>
      </c>
      <c r="AW152" s="118" t="e">
        <f>3*AU152^2+AS142</f>
        <v>#VALUE!</v>
      </c>
      <c r="AX152" s="118" t="e">
        <f t="shared" si="49"/>
        <v>#VALUE!</v>
      </c>
      <c r="AY152" s="116"/>
      <c r="AZ152" s="117"/>
      <c r="BB152" s="125"/>
      <c r="BC152" s="126"/>
      <c r="BD152" s="118" t="e">
        <f t="shared" si="55"/>
        <v>#VALUE!</v>
      </c>
      <c r="BE152" s="118" t="e">
        <f>BD152^3+BB142*BD152+BC142</f>
        <v>#VALUE!</v>
      </c>
      <c r="BF152" s="118" t="e">
        <f>3*BD152^2+BB142</f>
        <v>#VALUE!</v>
      </c>
      <c r="BG152" s="118" t="e">
        <f t="shared" si="50"/>
        <v>#VALUE!</v>
      </c>
      <c r="BH152" s="116"/>
      <c r="BI152" s="117"/>
      <c r="BK152" s="125"/>
      <c r="BL152" s="126"/>
      <c r="BM152" s="118" t="e">
        <f t="shared" si="56"/>
        <v>#VALUE!</v>
      </c>
      <c r="BN152" s="118" t="e">
        <f>BM152^3+BK142*BM152+BL142</f>
        <v>#VALUE!</v>
      </c>
      <c r="BO152" s="118" t="e">
        <f>3*BM152^2+BK142</f>
        <v>#VALUE!</v>
      </c>
      <c r="BP152" s="118" t="e">
        <f t="shared" si="51"/>
        <v>#VALUE!</v>
      </c>
      <c r="BQ152" s="116"/>
      <c r="BR152" s="117"/>
      <c r="BT152" s="125"/>
      <c r="BU152" s="126"/>
      <c r="BV152" s="118" t="e">
        <f t="shared" si="57"/>
        <v>#VALUE!</v>
      </c>
      <c r="BW152" s="118" t="e">
        <f>BV152^3+BT142*BV152+BU142</f>
        <v>#VALUE!</v>
      </c>
      <c r="BX152" s="118" t="e">
        <f>3*BV152^2+BT142</f>
        <v>#VALUE!</v>
      </c>
      <c r="BY152" s="118" t="e">
        <f t="shared" si="52"/>
        <v>#VALUE!</v>
      </c>
      <c r="BZ152" s="116"/>
      <c r="CA152" s="117"/>
    </row>
    <row r="153" spans="36:79" ht="18" hidden="1" customHeight="1" x14ac:dyDescent="0.15">
      <c r="AJ153" s="125"/>
      <c r="AK153" s="126"/>
      <c r="AL153" s="118" t="e">
        <f t="shared" si="53"/>
        <v>#VALUE!</v>
      </c>
      <c r="AM153" s="118" t="e">
        <f>AL153^3+AJ142*AL153+AK142</f>
        <v>#VALUE!</v>
      </c>
      <c r="AN153" s="118" t="e">
        <f>3*AL153^2+AJ142</f>
        <v>#VALUE!</v>
      </c>
      <c r="AO153" s="118" t="e">
        <f t="shared" si="48"/>
        <v>#VALUE!</v>
      </c>
      <c r="AP153" s="112" t="s">
        <v>147</v>
      </c>
      <c r="AQ153" s="113">
        <v>15</v>
      </c>
      <c r="AS153" s="125"/>
      <c r="AT153" s="126"/>
      <c r="AU153" s="118" t="e">
        <f t="shared" si="54"/>
        <v>#VALUE!</v>
      </c>
      <c r="AV153" s="118" t="e">
        <f>AU153^3+AS142*AU153+AT142</f>
        <v>#VALUE!</v>
      </c>
      <c r="AW153" s="118" t="e">
        <f>3*AU153^2+AS142</f>
        <v>#VALUE!</v>
      </c>
      <c r="AX153" s="118" t="e">
        <f t="shared" si="49"/>
        <v>#VALUE!</v>
      </c>
      <c r="AY153" s="112" t="s">
        <v>147</v>
      </c>
      <c r="AZ153" s="113">
        <v>15</v>
      </c>
      <c r="BB153" s="125"/>
      <c r="BC153" s="126"/>
      <c r="BD153" s="118" t="e">
        <f t="shared" si="55"/>
        <v>#VALUE!</v>
      </c>
      <c r="BE153" s="118" t="e">
        <f>BD153^3+BB142*BD153+BC142</f>
        <v>#VALUE!</v>
      </c>
      <c r="BF153" s="118" t="e">
        <f>3*BD153^2+BB142</f>
        <v>#VALUE!</v>
      </c>
      <c r="BG153" s="118" t="e">
        <f t="shared" si="50"/>
        <v>#VALUE!</v>
      </c>
      <c r="BH153" s="112" t="s">
        <v>147</v>
      </c>
      <c r="BI153" s="113">
        <v>15</v>
      </c>
      <c r="BK153" s="125"/>
      <c r="BL153" s="126"/>
      <c r="BM153" s="118" t="e">
        <f t="shared" si="56"/>
        <v>#VALUE!</v>
      </c>
      <c r="BN153" s="118" t="e">
        <f>BM153^3+BK142*BM153+BL142</f>
        <v>#VALUE!</v>
      </c>
      <c r="BO153" s="118" t="e">
        <f>3*BM153^2+BK142</f>
        <v>#VALUE!</v>
      </c>
      <c r="BP153" s="118" t="e">
        <f t="shared" si="51"/>
        <v>#VALUE!</v>
      </c>
      <c r="BQ153" s="112" t="s">
        <v>147</v>
      </c>
      <c r="BR153" s="113">
        <v>15</v>
      </c>
      <c r="BT153" s="125"/>
      <c r="BU153" s="126"/>
      <c r="BV153" s="118" t="e">
        <f t="shared" si="57"/>
        <v>#VALUE!</v>
      </c>
      <c r="BW153" s="118" t="e">
        <f>BV153^3+BT142*BV153+BU142</f>
        <v>#VALUE!</v>
      </c>
      <c r="BX153" s="118" t="e">
        <f>3*BV153^2+BT142</f>
        <v>#VALUE!</v>
      </c>
      <c r="BY153" s="118" t="e">
        <f t="shared" si="52"/>
        <v>#VALUE!</v>
      </c>
      <c r="BZ153" s="112" t="s">
        <v>147</v>
      </c>
      <c r="CA153" s="113">
        <v>15</v>
      </c>
    </row>
    <row r="154" spans="36:79" ht="18" hidden="1" customHeight="1" x14ac:dyDescent="0.15">
      <c r="AJ154" s="125"/>
      <c r="AK154" s="126"/>
      <c r="AL154" s="118" t="e">
        <f t="shared" si="53"/>
        <v>#VALUE!</v>
      </c>
      <c r="AM154" s="118" t="e">
        <f>AL154^3+AJ142*AL154+AK142</f>
        <v>#VALUE!</v>
      </c>
      <c r="AN154" s="118" t="e">
        <f>3*AL154^2+AJ142</f>
        <v>#VALUE!</v>
      </c>
      <c r="AO154" s="118" t="e">
        <f t="shared" si="48"/>
        <v>#VALUE!</v>
      </c>
      <c r="AP154" s="128" t="s">
        <v>218</v>
      </c>
      <c r="AQ154" s="32"/>
      <c r="AS154" s="125"/>
      <c r="AT154" s="126"/>
      <c r="AU154" s="118" t="e">
        <f t="shared" si="54"/>
        <v>#VALUE!</v>
      </c>
      <c r="AV154" s="118" t="e">
        <f>AU154^3+AS142*AU154+AT142</f>
        <v>#VALUE!</v>
      </c>
      <c r="AW154" s="118" t="e">
        <f>3*AU154^2+AS142</f>
        <v>#VALUE!</v>
      </c>
      <c r="AX154" s="118" t="e">
        <f t="shared" si="49"/>
        <v>#VALUE!</v>
      </c>
      <c r="AY154" s="128" t="s">
        <v>219</v>
      </c>
      <c r="AZ154" s="32"/>
      <c r="BB154" s="125"/>
      <c r="BC154" s="126"/>
      <c r="BD154" s="118" t="e">
        <f t="shared" si="55"/>
        <v>#VALUE!</v>
      </c>
      <c r="BE154" s="118" t="e">
        <f>BD154^3+BB142*BD154+BC142</f>
        <v>#VALUE!</v>
      </c>
      <c r="BF154" s="118" t="e">
        <f>3*BD154^2+BB142</f>
        <v>#VALUE!</v>
      </c>
      <c r="BG154" s="118" t="e">
        <f t="shared" si="50"/>
        <v>#VALUE!</v>
      </c>
      <c r="BH154" s="128" t="s">
        <v>220</v>
      </c>
      <c r="BI154" s="32"/>
      <c r="BK154" s="125"/>
      <c r="BL154" s="126"/>
      <c r="BM154" s="118" t="e">
        <f t="shared" si="56"/>
        <v>#VALUE!</v>
      </c>
      <c r="BN154" s="118" t="e">
        <f>BM154^3+BK142*BM154+BL142</f>
        <v>#VALUE!</v>
      </c>
      <c r="BO154" s="118" t="e">
        <f>3*BM154^2+BK142</f>
        <v>#VALUE!</v>
      </c>
      <c r="BP154" s="118" t="e">
        <f t="shared" si="51"/>
        <v>#VALUE!</v>
      </c>
      <c r="BQ154" s="128" t="s">
        <v>221</v>
      </c>
      <c r="BR154" s="32"/>
      <c r="BT154" s="125"/>
      <c r="BU154" s="126"/>
      <c r="BV154" s="118" t="e">
        <f t="shared" si="57"/>
        <v>#VALUE!</v>
      </c>
      <c r="BW154" s="118" t="e">
        <f>BV154^3+BT142*BV154+BU142</f>
        <v>#VALUE!</v>
      </c>
      <c r="BX154" s="118" t="e">
        <f>3*BV154^2+BT142</f>
        <v>#VALUE!</v>
      </c>
      <c r="BY154" s="118" t="e">
        <f t="shared" si="52"/>
        <v>#VALUE!</v>
      </c>
      <c r="BZ154" s="128" t="s">
        <v>222</v>
      </c>
      <c r="CA154" s="32"/>
    </row>
    <row r="155" spans="36:79" ht="18" hidden="1" customHeight="1" x14ac:dyDescent="0.15">
      <c r="AJ155" s="125"/>
      <c r="AK155" s="126"/>
      <c r="AL155" s="18" t="e">
        <f t="shared" si="53"/>
        <v>#VALUE!</v>
      </c>
      <c r="AM155" s="18" t="e">
        <f>AL155^3+AJ142*AL155+AK142</f>
        <v>#VALUE!</v>
      </c>
      <c r="AN155" s="18" t="e">
        <f>3*AL155^2+AJ142</f>
        <v>#VALUE!</v>
      </c>
      <c r="AO155" s="18" t="e">
        <f t="shared" si="48"/>
        <v>#VALUE!</v>
      </c>
      <c r="AP155" s="273" t="str">
        <f>M55</f>
        <v>無 風 時　15[℃]</v>
      </c>
      <c r="AQ155" s="274"/>
      <c r="AS155" s="125"/>
      <c r="AT155" s="126"/>
      <c r="AU155" s="18" t="e">
        <f t="shared" si="54"/>
        <v>#VALUE!</v>
      </c>
      <c r="AV155" s="18" t="e">
        <f>AU155^3+AS142*AU155+AT142</f>
        <v>#VALUE!</v>
      </c>
      <c r="AW155" s="18" t="e">
        <f>3*AU155^2+AS142</f>
        <v>#VALUE!</v>
      </c>
      <c r="AX155" s="18" t="e">
        <f t="shared" si="49"/>
        <v>#VALUE!</v>
      </c>
      <c r="AY155" s="273" t="str">
        <f>M55</f>
        <v>無 風 時　15[℃]</v>
      </c>
      <c r="AZ155" s="274"/>
      <c r="BB155" s="125"/>
      <c r="BC155" s="126"/>
      <c r="BD155" s="18" t="e">
        <f t="shared" si="55"/>
        <v>#VALUE!</v>
      </c>
      <c r="BE155" s="18" t="e">
        <f>BD155^3+BB142*BD155+BC142</f>
        <v>#VALUE!</v>
      </c>
      <c r="BF155" s="18" t="e">
        <f>3*BD155^2+BB142</f>
        <v>#VALUE!</v>
      </c>
      <c r="BG155" s="18" t="e">
        <f t="shared" si="50"/>
        <v>#VALUE!</v>
      </c>
      <c r="BH155" s="273" t="str">
        <f>M55</f>
        <v>無 風 時　15[℃]</v>
      </c>
      <c r="BI155" s="274"/>
      <c r="BK155" s="125"/>
      <c r="BL155" s="126"/>
      <c r="BM155" s="18" t="e">
        <f t="shared" si="56"/>
        <v>#VALUE!</v>
      </c>
      <c r="BN155" s="18" t="e">
        <f>BM155^3+BK142*BM155+BL142</f>
        <v>#VALUE!</v>
      </c>
      <c r="BO155" s="18" t="e">
        <f>3*BM155^2+BK142</f>
        <v>#VALUE!</v>
      </c>
      <c r="BP155" s="18" t="e">
        <f t="shared" si="51"/>
        <v>#VALUE!</v>
      </c>
      <c r="BQ155" s="273" t="str">
        <f>M55</f>
        <v>無 風 時　15[℃]</v>
      </c>
      <c r="BR155" s="274"/>
      <c r="BT155" s="125"/>
      <c r="BU155" s="126"/>
      <c r="BV155" s="18" t="e">
        <f t="shared" si="57"/>
        <v>#VALUE!</v>
      </c>
      <c r="BW155" s="18" t="e">
        <f>BV155^3+BT142*BV155+BU142</f>
        <v>#VALUE!</v>
      </c>
      <c r="BX155" s="18" t="e">
        <f>3*BV155^2+BT142</f>
        <v>#VALUE!</v>
      </c>
      <c r="BY155" s="18" t="e">
        <f t="shared" si="52"/>
        <v>#VALUE!</v>
      </c>
      <c r="BZ155" s="273" t="str">
        <f>M55</f>
        <v>無 風 時　15[℃]</v>
      </c>
      <c r="CA155" s="274"/>
    </row>
    <row r="156" spans="36:79" ht="18" hidden="1" customHeight="1" thickBot="1" x14ac:dyDescent="0.2">
      <c r="AJ156" s="125"/>
      <c r="AK156" s="126"/>
      <c r="AL156" s="114" t="e">
        <f t="shared" si="53"/>
        <v>#VALUE!</v>
      </c>
      <c r="AM156" s="115" t="e">
        <f>AL156^3+AJ142*AL156+AK142</f>
        <v>#VALUE!</v>
      </c>
      <c r="AN156" s="115" t="e">
        <f>3*AL156^2+AJ142</f>
        <v>#VALUE!</v>
      </c>
      <c r="AO156" s="115" t="e">
        <f t="shared" si="48"/>
        <v>#VALUE!</v>
      </c>
      <c r="AP156" s="275"/>
      <c r="AQ156" s="276"/>
      <c r="AS156" s="125"/>
      <c r="AT156" s="126"/>
      <c r="AU156" s="114" t="e">
        <f t="shared" si="54"/>
        <v>#VALUE!</v>
      </c>
      <c r="AV156" s="115" t="e">
        <f>AU156^3+AS142*AU156+AT142</f>
        <v>#VALUE!</v>
      </c>
      <c r="AW156" s="115" t="e">
        <f>3*AU156^2+AS142</f>
        <v>#VALUE!</v>
      </c>
      <c r="AX156" s="115" t="e">
        <f t="shared" si="49"/>
        <v>#VALUE!</v>
      </c>
      <c r="AY156" s="275"/>
      <c r="AZ156" s="276"/>
      <c r="BB156" s="125"/>
      <c r="BC156" s="126"/>
      <c r="BD156" s="114" t="e">
        <f t="shared" si="55"/>
        <v>#VALUE!</v>
      </c>
      <c r="BE156" s="115" t="e">
        <f>BD156^3+BB142*BD156+BC142</f>
        <v>#VALUE!</v>
      </c>
      <c r="BF156" s="115" t="e">
        <f>3*BD156^2+BB142</f>
        <v>#VALUE!</v>
      </c>
      <c r="BG156" s="115" t="e">
        <f t="shared" si="50"/>
        <v>#VALUE!</v>
      </c>
      <c r="BH156" s="275"/>
      <c r="BI156" s="276"/>
      <c r="BK156" s="125"/>
      <c r="BL156" s="126"/>
      <c r="BM156" s="114" t="e">
        <f t="shared" si="56"/>
        <v>#VALUE!</v>
      </c>
      <c r="BN156" s="115" t="e">
        <f>BM156^3+BK142*BM156+BL142</f>
        <v>#VALUE!</v>
      </c>
      <c r="BO156" s="115" t="e">
        <f>3*BM156^2+BK142</f>
        <v>#VALUE!</v>
      </c>
      <c r="BP156" s="115" t="e">
        <f t="shared" si="51"/>
        <v>#VALUE!</v>
      </c>
      <c r="BQ156" s="275"/>
      <c r="BR156" s="276"/>
      <c r="BT156" s="125"/>
      <c r="BU156" s="126"/>
      <c r="BV156" s="114" t="e">
        <f t="shared" si="57"/>
        <v>#VALUE!</v>
      </c>
      <c r="BW156" s="115" t="e">
        <f>BV156^3+BT142*BV156+BU142</f>
        <v>#VALUE!</v>
      </c>
      <c r="BX156" s="115" t="e">
        <f>3*BV156^2+BT142</f>
        <v>#VALUE!</v>
      </c>
      <c r="BY156" s="115" t="e">
        <f t="shared" si="52"/>
        <v>#VALUE!</v>
      </c>
      <c r="BZ156" s="275"/>
      <c r="CA156" s="276"/>
    </row>
    <row r="157" spans="36:79" ht="18" hidden="1" customHeight="1" x14ac:dyDescent="0.15">
      <c r="AJ157" s="62"/>
      <c r="AK157" s="12" t="s">
        <v>224</v>
      </c>
      <c r="AL157" s="12" t="s">
        <v>225</v>
      </c>
      <c r="AM157" s="12" t="s">
        <v>226</v>
      </c>
      <c r="AN157" s="12" t="s">
        <v>227</v>
      </c>
      <c r="AO157" s="63" t="s">
        <v>228</v>
      </c>
      <c r="AP157" s="12" t="s">
        <v>229</v>
      </c>
      <c r="AQ157" s="13" t="s">
        <v>230</v>
      </c>
      <c r="AS157" s="62"/>
      <c r="AT157" s="12" t="s">
        <v>224</v>
      </c>
      <c r="AU157" s="12" t="s">
        <v>225</v>
      </c>
      <c r="AV157" s="12" t="s">
        <v>226</v>
      </c>
      <c r="AW157" s="12" t="s">
        <v>227</v>
      </c>
      <c r="AX157" s="63" t="s">
        <v>228</v>
      </c>
      <c r="AY157" s="12" t="s">
        <v>229</v>
      </c>
      <c r="AZ157" s="13" t="s">
        <v>230</v>
      </c>
      <c r="BB157" s="62"/>
      <c r="BC157" s="12" t="s">
        <v>224</v>
      </c>
      <c r="BD157" s="12" t="s">
        <v>225</v>
      </c>
      <c r="BE157" s="12" t="s">
        <v>226</v>
      </c>
      <c r="BF157" s="12" t="s">
        <v>227</v>
      </c>
      <c r="BG157" s="63" t="s">
        <v>228</v>
      </c>
      <c r="BH157" s="12" t="s">
        <v>229</v>
      </c>
      <c r="BI157" s="13" t="s">
        <v>230</v>
      </c>
      <c r="BK157" s="62"/>
      <c r="BL157" s="12" t="s">
        <v>224</v>
      </c>
      <c r="BM157" s="12" t="s">
        <v>225</v>
      </c>
      <c r="BN157" s="12" t="s">
        <v>226</v>
      </c>
      <c r="BO157" s="12" t="s">
        <v>227</v>
      </c>
      <c r="BP157" s="63" t="s">
        <v>228</v>
      </c>
      <c r="BQ157" s="12" t="s">
        <v>229</v>
      </c>
      <c r="BR157" s="13" t="s">
        <v>230</v>
      </c>
      <c r="BT157" s="62"/>
      <c r="BU157" s="12" t="s">
        <v>224</v>
      </c>
      <c r="BV157" s="12" t="s">
        <v>225</v>
      </c>
      <c r="BW157" s="12" t="s">
        <v>226</v>
      </c>
      <c r="BX157" s="12" t="s">
        <v>227</v>
      </c>
      <c r="BY157" s="63" t="s">
        <v>228</v>
      </c>
      <c r="BZ157" s="12" t="s">
        <v>229</v>
      </c>
      <c r="CA157" s="13" t="s">
        <v>230</v>
      </c>
    </row>
    <row r="158" spans="36:79" ht="18" hidden="1" customHeight="1" thickBot="1" x14ac:dyDescent="0.2">
      <c r="AJ158" s="107"/>
      <c r="AK158" s="108" t="e">
        <f>M23+U23</f>
        <v>#VALUE!</v>
      </c>
      <c r="AL158" s="108">
        <f>IF(C33="",L19*(F19/40)^2,C33)</f>
        <v>0</v>
      </c>
      <c r="AM158" s="108">
        <f>F19</f>
        <v>0</v>
      </c>
      <c r="AN158" s="108" t="e">
        <f>AK78*1600/(8*L19)</f>
        <v>#VALUE!</v>
      </c>
      <c r="AO158" s="109">
        <f>V23</f>
        <v>0</v>
      </c>
      <c r="AP158" s="108" t="str">
        <f>L23</f>
        <v/>
      </c>
      <c r="AQ158" s="110">
        <f>W23</f>
        <v>0</v>
      </c>
      <c r="AS158" s="107"/>
      <c r="AT158" s="108" t="str">
        <f>IF(B24="使用電線-2",M24+U24,IF(B25="使用電線-2",M25+U25,IF(B26="使用電線-2",M26+U26,IF(B27="使用電線-2",M27+U27,IF(B28="使用電線-2",M28+U28,IF(B29="使用電線-2",M29+U29,""))))))</f>
        <v/>
      </c>
      <c r="AU158" s="108">
        <f>IF(I33="",L19*(F19/40)^2,I33)</f>
        <v>0</v>
      </c>
      <c r="AV158" s="108">
        <f>F19</f>
        <v>0</v>
      </c>
      <c r="AW158" s="108" t="e">
        <f>AT158*1600/(8*L19)</f>
        <v>#VALUE!</v>
      </c>
      <c r="AX158" s="109" t="str">
        <f>IF(B24="使用電線-2",V24,IF(B25="使用電線-2",V25,IF(B26="使用電線-2",V26,IF(B27="使用電線-2",V27,IF(B28="使用電線-2",V28,IF(B29="使用電線-2",V29,""))))))</f>
        <v/>
      </c>
      <c r="AY158" s="108" t="str">
        <f>IF(B24="使用電線-2",L24,IF(B25="使用電線-2",L25,IF(B26="使用電線-2",L26,IF(B27="使用電線-2",L27,IF(B28="使用電線-2",L28,IF(B29="使用電線-2",L29,""))))))</f>
        <v/>
      </c>
      <c r="AZ158" s="110" t="str">
        <f>IF(B24="使用電線-2",W24,IF(B25="使用電線-2",W25,IF(B26="使用電線-2",W26,IF(B27="使用電線-2",W27,IF(B28="使用電線-2",W28,IF(B29="使用電線-2",W29,""))))))</f>
        <v/>
      </c>
      <c r="BB158" s="107"/>
      <c r="BC158" s="108" t="str">
        <f>IF(B25="使用電線-3",M25+U25,IF(B26="使用電線-3",M26+U26,IF(B27="使用電線-3",M27+U27,IF(B28="使用電線-3",M28+U28,IF(B29="使用電線-3",M29+U29,"")))))</f>
        <v/>
      </c>
      <c r="BD158" s="108">
        <f>IF(N33="",L19*(F19/40)^2,N33)</f>
        <v>0</v>
      </c>
      <c r="BE158" s="108">
        <f>F19</f>
        <v>0</v>
      </c>
      <c r="BF158" s="108" t="e">
        <f>BC158*1600/(8*L19)</f>
        <v>#VALUE!</v>
      </c>
      <c r="BG158" s="109" t="str">
        <f>IF(B25="使用電線-3",V25,IF(B26="使用電線-3",V26,IF(B27="使用電線-3",V27,IF(B28="使用電線-3",V28,IF(B29="使用電線-3",V29,"")))))</f>
        <v/>
      </c>
      <c r="BH158" s="108" t="str">
        <f>IF(B25="使用電線-3",L25,IF(B26="使用電線-3",L26,IF(B27="使用電線-3",L27,IF(B28="使用電線-3",L28,IF(B29="使用電線-3",L29,"")))))</f>
        <v/>
      </c>
      <c r="BI158" s="110" t="str">
        <f>IF(B25="使用電線-3",W25,IF(B26="使用電線-3",W26,IF(B27="使用電線-3",W27,IF(B28="使用電線-3",W28,IF(B29="使用電線-3",W29,"")))))</f>
        <v/>
      </c>
      <c r="BK158" s="107"/>
      <c r="BL158" s="108" t="str">
        <f>IF(B26="使用電線-4",M26+U26,IF(B27="使用電線-4",M27+U27,IF(B28="使用電線-4",M28+U28,IF(B29="使用電線-4",M29+U29,""))))</f>
        <v/>
      </c>
      <c r="BM158" s="108">
        <f>IF(C47="",L19*(F19/40)^2,C47)</f>
        <v>0</v>
      </c>
      <c r="BN158" s="108">
        <f>F19</f>
        <v>0</v>
      </c>
      <c r="BO158" s="127" t="e">
        <f>BL158*1600/(8*L19)</f>
        <v>#VALUE!</v>
      </c>
      <c r="BP158" s="109" t="str">
        <f>IF(B26="使用電線-4",V26,IF(B27="使用電線-4",V27,IF(B28="使用電線-4",V28,IF(B29="使用電線-4",V29,""))))</f>
        <v/>
      </c>
      <c r="BQ158" s="108" t="str">
        <f>IF(B26="使用電線-4",L26,IF(B27="使用電線-4",L27,IF(B28="使用電線-4",L28,IF(B29="使用電線-4",L29,""))))</f>
        <v/>
      </c>
      <c r="BR158" s="110" t="str">
        <f>IF(B26="使用電線-4",W26,IF(B27="使用電線-4",W27,IF(B28="使用電線-4",W28,IF(B29="使用電線-4",W29,""))))</f>
        <v/>
      </c>
      <c r="BT158" s="107"/>
      <c r="BU158" s="108" t="str">
        <f>IF(B27="使用電線-5",M27+U27,IF(B28="使用電線-5",M28+U28,IF(B29="使用電線-5",M29+U29,"")))</f>
        <v/>
      </c>
      <c r="BV158" s="108">
        <f>IF(I47="",L19*(F19/40)^2,I47)</f>
        <v>0</v>
      </c>
      <c r="BW158" s="108">
        <f>F19</f>
        <v>0</v>
      </c>
      <c r="BX158" s="127" t="e">
        <f>BU158*1600/(8*L19)</f>
        <v>#VALUE!</v>
      </c>
      <c r="BY158" s="109" t="str">
        <f>IF(B27="使用電線-5",V27,IF(B28="使用電線-5",V28,IF(B29="使用電線-5",V29,"")))</f>
        <v/>
      </c>
      <c r="BZ158" s="108" t="str">
        <f>IF(B27="使用電線-5",L27,IF(B28="使用電線-5",L28,IF(B29="使用電線-5",L29,"")))</f>
        <v/>
      </c>
      <c r="CA158" s="110" t="str">
        <f>IF(B27="使用電線-5",W27,IF(B28="使用電線-5",W28,IF(B29="使用電線-5",W29,"")))</f>
        <v/>
      </c>
    </row>
    <row r="159" spans="36:79" ht="18" hidden="1" customHeight="1" x14ac:dyDescent="0.15"/>
    <row r="160" spans="36:79" ht="18" hidden="1" customHeight="1" thickBot="1" x14ac:dyDescent="0.2"/>
    <row r="161" spans="36:79" ht="18" hidden="1" customHeight="1" x14ac:dyDescent="0.15">
      <c r="AJ161" s="2" t="s">
        <v>232</v>
      </c>
      <c r="AK161" s="111" t="s">
        <v>233</v>
      </c>
      <c r="AL161" s="12" t="s">
        <v>234</v>
      </c>
      <c r="AM161" s="12" t="s">
        <v>235</v>
      </c>
      <c r="AN161" s="12" t="s">
        <v>236</v>
      </c>
      <c r="AO161" s="12" t="s">
        <v>237</v>
      </c>
      <c r="AP161" s="12" t="s">
        <v>238</v>
      </c>
      <c r="AQ161" s="13" t="s">
        <v>239</v>
      </c>
      <c r="AS161" s="2" t="s">
        <v>232</v>
      </c>
      <c r="AT161" s="111" t="s">
        <v>233</v>
      </c>
      <c r="AU161" s="12" t="s">
        <v>234</v>
      </c>
      <c r="AV161" s="12" t="s">
        <v>235</v>
      </c>
      <c r="AW161" s="12" t="s">
        <v>236</v>
      </c>
      <c r="AX161" s="12" t="s">
        <v>237</v>
      </c>
      <c r="AY161" s="12" t="s">
        <v>238</v>
      </c>
      <c r="AZ161" s="13" t="s">
        <v>239</v>
      </c>
      <c r="BB161" s="2" t="s">
        <v>232</v>
      </c>
      <c r="BC161" s="111" t="s">
        <v>233</v>
      </c>
      <c r="BD161" s="12" t="s">
        <v>234</v>
      </c>
      <c r="BE161" s="12" t="s">
        <v>235</v>
      </c>
      <c r="BF161" s="12" t="s">
        <v>236</v>
      </c>
      <c r="BG161" s="12" t="s">
        <v>237</v>
      </c>
      <c r="BH161" s="12" t="s">
        <v>238</v>
      </c>
      <c r="BI161" s="13" t="s">
        <v>239</v>
      </c>
      <c r="BK161" s="2" t="s">
        <v>232</v>
      </c>
      <c r="BL161" s="111" t="s">
        <v>233</v>
      </c>
      <c r="BM161" s="12" t="s">
        <v>234</v>
      </c>
      <c r="BN161" s="12" t="s">
        <v>235</v>
      </c>
      <c r="BO161" s="12" t="s">
        <v>236</v>
      </c>
      <c r="BP161" s="12" t="s">
        <v>237</v>
      </c>
      <c r="BQ161" s="12" t="s">
        <v>238</v>
      </c>
      <c r="BR161" s="13" t="s">
        <v>239</v>
      </c>
      <c r="BT161" s="2" t="s">
        <v>232</v>
      </c>
      <c r="BU161" s="111" t="s">
        <v>233</v>
      </c>
      <c r="BV161" s="12" t="s">
        <v>234</v>
      </c>
      <c r="BW161" s="12" t="s">
        <v>235</v>
      </c>
      <c r="BX161" s="12" t="s">
        <v>236</v>
      </c>
      <c r="BY161" s="12" t="s">
        <v>237</v>
      </c>
      <c r="BZ161" s="12" t="s">
        <v>238</v>
      </c>
      <c r="CA161" s="13" t="s">
        <v>239</v>
      </c>
    </row>
    <row r="162" spans="36:79" ht="18" hidden="1" customHeight="1" x14ac:dyDescent="0.15">
      <c r="AJ162" s="16" t="e">
        <f>-AJ165+AJ168</f>
        <v>#VALUE!</v>
      </c>
      <c r="AK162" s="17" t="e">
        <f>-AJ171</f>
        <v>#VALUE!</v>
      </c>
      <c r="AL162" s="18" t="e">
        <f>IF(AND(AP165&lt;0,AQ165&lt;0),AQ162*1.2,IF(AND(AP165&gt;0,AQ165&gt;0),AP162*0.8,10))</f>
        <v>#VALUE!</v>
      </c>
      <c r="AM162" s="18" t="e">
        <f>AL162^3+AJ162*AL162+AK162</f>
        <v>#VALUE!</v>
      </c>
      <c r="AN162" s="18" t="e">
        <f>3*AL162^2+AJ162</f>
        <v>#VALUE!</v>
      </c>
      <c r="AO162" s="18" t="e">
        <f t="shared" ref="AO162:AO176" si="58">AL162-AM162/AN162</f>
        <v>#VALUE!</v>
      </c>
      <c r="AP162" s="18" t="e">
        <f>-SQRT(ABS(-4*3*AJ162))/6</f>
        <v>#VALUE!</v>
      </c>
      <c r="AQ162" s="19" t="e">
        <f>SQRT(ABS(-4*3*AJ162))/6</f>
        <v>#VALUE!</v>
      </c>
      <c r="AS162" s="16" t="e">
        <f>-AS165+AS168</f>
        <v>#VALUE!</v>
      </c>
      <c r="AT162" s="17" t="e">
        <f>-AS171</f>
        <v>#VALUE!</v>
      </c>
      <c r="AU162" s="18" t="e">
        <f>IF(AND(AY165&lt;0,AZ165&lt;0),AZ162*1.2,IF(AND(AY165&gt;0,AZ165&gt;0),AY162*0.8,10))</f>
        <v>#VALUE!</v>
      </c>
      <c r="AV162" s="18" t="e">
        <f>AU162^3+AS162*AU162+AT162</f>
        <v>#VALUE!</v>
      </c>
      <c r="AW162" s="18" t="e">
        <f>3*AU162^2+AS162</f>
        <v>#VALUE!</v>
      </c>
      <c r="AX162" s="18" t="e">
        <f t="shared" ref="AX162:AX176" si="59">AU162-AV162/AW162</f>
        <v>#VALUE!</v>
      </c>
      <c r="AY162" s="18" t="e">
        <f>-SQRT(ABS(-4*3*AS162))/6</f>
        <v>#VALUE!</v>
      </c>
      <c r="AZ162" s="19" t="e">
        <f>SQRT(ABS(-4*3*AS162))/6</f>
        <v>#VALUE!</v>
      </c>
      <c r="BB162" s="16" t="e">
        <f>-BB165+BB168</f>
        <v>#VALUE!</v>
      </c>
      <c r="BC162" s="17" t="e">
        <f>-BB171</f>
        <v>#VALUE!</v>
      </c>
      <c r="BD162" s="18" t="e">
        <f>IF(AND(BH165&lt;0,BI165&lt;0),BI162*1.2,IF(AND(BH165&gt;0,BI165&gt;0),BH162*0.8,10))</f>
        <v>#VALUE!</v>
      </c>
      <c r="BE162" s="18" t="e">
        <f>BD162^3+BB162*BD162+BC162</f>
        <v>#VALUE!</v>
      </c>
      <c r="BF162" s="18" t="e">
        <f>3*BD162^2+BB162</f>
        <v>#VALUE!</v>
      </c>
      <c r="BG162" s="18" t="e">
        <f t="shared" ref="BG162:BG176" si="60">BD162-BE162/BF162</f>
        <v>#VALUE!</v>
      </c>
      <c r="BH162" s="18" t="e">
        <f>-SQRT(ABS(-4*3*BB162))/6</f>
        <v>#VALUE!</v>
      </c>
      <c r="BI162" s="19" t="e">
        <f>SQRT(ABS(-4*3*BB162))/6</f>
        <v>#VALUE!</v>
      </c>
      <c r="BK162" s="16" t="e">
        <f>-BK165+BK168</f>
        <v>#VALUE!</v>
      </c>
      <c r="BL162" s="17" t="e">
        <f>-BK171</f>
        <v>#VALUE!</v>
      </c>
      <c r="BM162" s="18" t="e">
        <f>IF(AND(BQ165&lt;0,BR165&lt;0),BR162*1.2,IF(AND(BQ165&gt;0,BR165&gt;0),BQ162*0.8,10))</f>
        <v>#VALUE!</v>
      </c>
      <c r="BN162" s="18" t="e">
        <f>BM162^3+BK162*BM162+BL162</f>
        <v>#VALUE!</v>
      </c>
      <c r="BO162" s="18" t="e">
        <f>3*BM162^2+BK162</f>
        <v>#VALUE!</v>
      </c>
      <c r="BP162" s="18" t="e">
        <f t="shared" ref="BP162:BP176" si="61">BM162-BN162/BO162</f>
        <v>#VALUE!</v>
      </c>
      <c r="BQ162" s="18" t="e">
        <f>-SQRT(ABS(-4*3*BK162))/6</f>
        <v>#VALUE!</v>
      </c>
      <c r="BR162" s="19" t="e">
        <f>SQRT(ABS(-4*3*BK162))/6</f>
        <v>#VALUE!</v>
      </c>
      <c r="BT162" s="16" t="e">
        <f>-BT165+BT168</f>
        <v>#VALUE!</v>
      </c>
      <c r="BU162" s="17" t="e">
        <f>-BT171</f>
        <v>#VALUE!</v>
      </c>
      <c r="BV162" s="18" t="e">
        <f>IF(AND(BZ165&lt;0,CA165&lt;0),CA162*1.2,IF(AND(BZ165&gt;0,CA165&gt;0),BZ162*0.8,10))</f>
        <v>#VALUE!</v>
      </c>
      <c r="BW162" s="18" t="e">
        <f>BV162^3+BT162*BV162+BU162</f>
        <v>#VALUE!</v>
      </c>
      <c r="BX162" s="18" t="e">
        <f>3*BV162^2+BT162</f>
        <v>#VALUE!</v>
      </c>
      <c r="BY162" s="18" t="e">
        <f t="shared" ref="BY162:BY176" si="62">BV162-BW162/BX162</f>
        <v>#VALUE!</v>
      </c>
      <c r="BZ162" s="18" t="e">
        <f>-SQRT(ABS(-4*3*BT162))/6</f>
        <v>#VALUE!</v>
      </c>
      <c r="CA162" s="19" t="e">
        <f>SQRT(ABS(-4*3*BT162))/6</f>
        <v>#VALUE!</v>
      </c>
    </row>
    <row r="163" spans="36:79" ht="18" hidden="1" customHeight="1" x14ac:dyDescent="0.15">
      <c r="AJ163" s="267"/>
      <c r="AK163" s="268"/>
      <c r="AL163" s="18" t="e">
        <f t="shared" ref="AL163:AL176" si="63">AO162</f>
        <v>#VALUE!</v>
      </c>
      <c r="AM163" s="18" t="e">
        <f>AL163^3+AJ162*AL163+AK162</f>
        <v>#VALUE!</v>
      </c>
      <c r="AN163" s="18" t="e">
        <f>3*AL163^2+AJ162</f>
        <v>#VALUE!</v>
      </c>
      <c r="AO163" s="18" t="e">
        <f t="shared" si="58"/>
        <v>#VALUE!</v>
      </c>
      <c r="AP163" s="6"/>
      <c r="AQ163" s="7"/>
      <c r="AS163" s="267"/>
      <c r="AT163" s="268"/>
      <c r="AU163" s="18" t="e">
        <f t="shared" ref="AU163:AU176" si="64">AX162</f>
        <v>#VALUE!</v>
      </c>
      <c r="AV163" s="18" t="e">
        <f>AU163^3+AS162*AU163+AT162</f>
        <v>#VALUE!</v>
      </c>
      <c r="AW163" s="18" t="e">
        <f>3*AU163^2+AS162</f>
        <v>#VALUE!</v>
      </c>
      <c r="AX163" s="18" t="e">
        <f t="shared" si="59"/>
        <v>#VALUE!</v>
      </c>
      <c r="AY163" s="6"/>
      <c r="AZ163" s="7"/>
      <c r="BB163" s="267"/>
      <c r="BC163" s="268"/>
      <c r="BD163" s="18" t="e">
        <f t="shared" ref="BD163:BD176" si="65">BG162</f>
        <v>#VALUE!</v>
      </c>
      <c r="BE163" s="18" t="e">
        <f>BD163^3+BB162*BD163+BC162</f>
        <v>#VALUE!</v>
      </c>
      <c r="BF163" s="18" t="e">
        <f>3*BD163^2+BB162</f>
        <v>#VALUE!</v>
      </c>
      <c r="BG163" s="18" t="e">
        <f t="shared" si="60"/>
        <v>#VALUE!</v>
      </c>
      <c r="BH163" s="6"/>
      <c r="BI163" s="7"/>
      <c r="BK163" s="267"/>
      <c r="BL163" s="268"/>
      <c r="BM163" s="18" t="e">
        <f t="shared" ref="BM163:BM176" si="66">BP162</f>
        <v>#VALUE!</v>
      </c>
      <c r="BN163" s="18" t="e">
        <f>BM163^3+BK162*BM163+BL162</f>
        <v>#VALUE!</v>
      </c>
      <c r="BO163" s="18" t="e">
        <f>3*BM163^2+BK162</f>
        <v>#VALUE!</v>
      </c>
      <c r="BP163" s="18" t="e">
        <f t="shared" si="61"/>
        <v>#VALUE!</v>
      </c>
      <c r="BQ163" s="6"/>
      <c r="BR163" s="7"/>
      <c r="BT163" s="267"/>
      <c r="BU163" s="268"/>
      <c r="BV163" s="18" t="e">
        <f t="shared" ref="BV163:BV176" si="67">BY162</f>
        <v>#VALUE!</v>
      </c>
      <c r="BW163" s="18" t="e">
        <f>BV163^3+BT162*BV163+BU162</f>
        <v>#VALUE!</v>
      </c>
      <c r="BX163" s="18" t="e">
        <f>3*BV163^2+BT162</f>
        <v>#VALUE!</v>
      </c>
      <c r="BY163" s="18" t="e">
        <f t="shared" si="62"/>
        <v>#VALUE!</v>
      </c>
      <c r="BZ163" s="6"/>
      <c r="CA163" s="7"/>
    </row>
    <row r="164" spans="36:79" ht="18" hidden="1" customHeight="1" x14ac:dyDescent="0.15">
      <c r="AJ164" s="269" t="s">
        <v>240</v>
      </c>
      <c r="AK164" s="270"/>
      <c r="AL164" s="18" t="e">
        <f t="shared" si="63"/>
        <v>#VALUE!</v>
      </c>
      <c r="AM164" s="18" t="e">
        <f>AL164^3+AJ162*AL164+AK162</f>
        <v>#VALUE!</v>
      </c>
      <c r="AN164" s="18" t="e">
        <f>3*AL164^2+AJ162</f>
        <v>#VALUE!</v>
      </c>
      <c r="AO164" s="18" t="e">
        <f t="shared" si="58"/>
        <v>#VALUE!</v>
      </c>
      <c r="AP164" s="14" t="s">
        <v>241</v>
      </c>
      <c r="AQ164" s="15" t="s">
        <v>242</v>
      </c>
      <c r="AS164" s="269" t="s">
        <v>240</v>
      </c>
      <c r="AT164" s="270"/>
      <c r="AU164" s="18" t="e">
        <f t="shared" si="64"/>
        <v>#VALUE!</v>
      </c>
      <c r="AV164" s="18" t="e">
        <f>AU164^3+AS162*AU164+AT162</f>
        <v>#VALUE!</v>
      </c>
      <c r="AW164" s="18" t="e">
        <f>3*AU164^2+AS162</f>
        <v>#VALUE!</v>
      </c>
      <c r="AX164" s="18" t="e">
        <f t="shared" si="59"/>
        <v>#VALUE!</v>
      </c>
      <c r="AY164" s="14" t="s">
        <v>241</v>
      </c>
      <c r="AZ164" s="15" t="s">
        <v>242</v>
      </c>
      <c r="BB164" s="269" t="s">
        <v>240</v>
      </c>
      <c r="BC164" s="270"/>
      <c r="BD164" s="18" t="e">
        <f t="shared" si="65"/>
        <v>#VALUE!</v>
      </c>
      <c r="BE164" s="18" t="e">
        <f>BD164^3+BB162*BD164+BC162</f>
        <v>#VALUE!</v>
      </c>
      <c r="BF164" s="18" t="e">
        <f>3*BD164^2+BB162</f>
        <v>#VALUE!</v>
      </c>
      <c r="BG164" s="18" t="e">
        <f t="shared" si="60"/>
        <v>#VALUE!</v>
      </c>
      <c r="BH164" s="14" t="s">
        <v>241</v>
      </c>
      <c r="BI164" s="15" t="s">
        <v>242</v>
      </c>
      <c r="BK164" s="269" t="s">
        <v>240</v>
      </c>
      <c r="BL164" s="270"/>
      <c r="BM164" s="18" t="e">
        <f t="shared" si="66"/>
        <v>#VALUE!</v>
      </c>
      <c r="BN164" s="18" t="e">
        <f>BM164^3+BK162*BM164+BL162</f>
        <v>#VALUE!</v>
      </c>
      <c r="BO164" s="18" t="e">
        <f>3*BM164^2+BK162</f>
        <v>#VALUE!</v>
      </c>
      <c r="BP164" s="18" t="e">
        <f t="shared" si="61"/>
        <v>#VALUE!</v>
      </c>
      <c r="BQ164" s="14" t="s">
        <v>241</v>
      </c>
      <c r="BR164" s="15" t="s">
        <v>242</v>
      </c>
      <c r="BT164" s="269" t="s">
        <v>240</v>
      </c>
      <c r="BU164" s="270"/>
      <c r="BV164" s="18" t="e">
        <f t="shared" si="67"/>
        <v>#VALUE!</v>
      </c>
      <c r="BW164" s="18" t="e">
        <f>BV164^3+BT162*BV164+BU162</f>
        <v>#VALUE!</v>
      </c>
      <c r="BX164" s="18" t="e">
        <f>3*BV164^2+BT162</f>
        <v>#VALUE!</v>
      </c>
      <c r="BY164" s="18" t="e">
        <f t="shared" si="62"/>
        <v>#VALUE!</v>
      </c>
      <c r="BZ164" s="14" t="s">
        <v>241</v>
      </c>
      <c r="CA164" s="15" t="s">
        <v>242</v>
      </c>
    </row>
    <row r="165" spans="36:79" ht="18" hidden="1" customHeight="1" x14ac:dyDescent="0.15">
      <c r="AJ165" s="269">
        <f>(AL178^2)+3*(AM178^2)*AQ178*(AQ173-15)/(8*10^7)</f>
        <v>0</v>
      </c>
      <c r="AK165" s="270"/>
      <c r="AL165" s="18" t="e">
        <f t="shared" si="63"/>
        <v>#VALUE!</v>
      </c>
      <c r="AM165" s="18" t="e">
        <f>AL165^3+AJ162*AL165+AK162</f>
        <v>#VALUE!</v>
      </c>
      <c r="AN165" s="18" t="e">
        <f>3*AL165^2+AJ162</f>
        <v>#VALUE!</v>
      </c>
      <c r="AO165" s="18" t="e">
        <f t="shared" si="58"/>
        <v>#VALUE!</v>
      </c>
      <c r="AP165" s="18" t="e">
        <f>AP162^3+AJ162*AP162+AK162</f>
        <v>#VALUE!</v>
      </c>
      <c r="AQ165" s="19" t="e">
        <f>AQ162^3+AJ162*AQ162+AK162</f>
        <v>#VALUE!</v>
      </c>
      <c r="AS165" s="269" t="e">
        <f>(AU178^2)+3*(AV178^2)*AZ178*(AZ173-15)/(8*10^7)</f>
        <v>#VALUE!</v>
      </c>
      <c r="AT165" s="270"/>
      <c r="AU165" s="18" t="e">
        <f t="shared" si="64"/>
        <v>#VALUE!</v>
      </c>
      <c r="AV165" s="18" t="e">
        <f>AU165^3+AS162*AU165+AT162</f>
        <v>#VALUE!</v>
      </c>
      <c r="AW165" s="18" t="e">
        <f>3*AU165^2+AS162</f>
        <v>#VALUE!</v>
      </c>
      <c r="AX165" s="18" t="e">
        <f t="shared" si="59"/>
        <v>#VALUE!</v>
      </c>
      <c r="AY165" s="18" t="e">
        <f>AY162^3+AS162*AY162+AT162</f>
        <v>#VALUE!</v>
      </c>
      <c r="AZ165" s="19" t="e">
        <f>AZ162^3+AS162*AZ162+AT162</f>
        <v>#VALUE!</v>
      </c>
      <c r="BB165" s="269" t="e">
        <f>(BD178^2)+3*(BE178^2)*BI178*(BI173-15)/(8*10^7)</f>
        <v>#VALUE!</v>
      </c>
      <c r="BC165" s="270"/>
      <c r="BD165" s="18" t="e">
        <f t="shared" si="65"/>
        <v>#VALUE!</v>
      </c>
      <c r="BE165" s="18" t="e">
        <f>BD165^3+BB162*BD165+BC162</f>
        <v>#VALUE!</v>
      </c>
      <c r="BF165" s="18" t="e">
        <f>3*BD165^2+BB162</f>
        <v>#VALUE!</v>
      </c>
      <c r="BG165" s="18" t="e">
        <f t="shared" si="60"/>
        <v>#VALUE!</v>
      </c>
      <c r="BH165" s="18" t="e">
        <f>BH162^3+BB162*BH162+BC162</f>
        <v>#VALUE!</v>
      </c>
      <c r="BI165" s="19" t="e">
        <f>BI162^3+BB162*BI162+BC162</f>
        <v>#VALUE!</v>
      </c>
      <c r="BK165" s="269" t="e">
        <f>(BM178^2)+3*(BN178^2)*BR178*(BR173-15)/(8*10^7)</f>
        <v>#VALUE!</v>
      </c>
      <c r="BL165" s="270"/>
      <c r="BM165" s="18" t="e">
        <f t="shared" si="66"/>
        <v>#VALUE!</v>
      </c>
      <c r="BN165" s="18" t="e">
        <f>BM165^3+BK162*BM165+BL162</f>
        <v>#VALUE!</v>
      </c>
      <c r="BO165" s="18" t="e">
        <f>3*BM165^2+BK162</f>
        <v>#VALUE!</v>
      </c>
      <c r="BP165" s="18" t="e">
        <f t="shared" si="61"/>
        <v>#VALUE!</v>
      </c>
      <c r="BQ165" s="18" t="e">
        <f>BQ162^3+BK162*BQ162+BL162</f>
        <v>#VALUE!</v>
      </c>
      <c r="BR165" s="19" t="e">
        <f>BR162^3+BK162*BR162+BL162</f>
        <v>#VALUE!</v>
      </c>
      <c r="BT165" s="269" t="e">
        <f>(BV178^2)+3*(BW178^2)*CA178*(CA173-15)/(8*10^7)</f>
        <v>#VALUE!</v>
      </c>
      <c r="BU165" s="270"/>
      <c r="BV165" s="18" t="e">
        <f t="shared" si="67"/>
        <v>#VALUE!</v>
      </c>
      <c r="BW165" s="18" t="e">
        <f>BV165^3+BT162*BV165+BU162</f>
        <v>#VALUE!</v>
      </c>
      <c r="BX165" s="18" t="e">
        <f>3*BV165^2+BT162</f>
        <v>#VALUE!</v>
      </c>
      <c r="BY165" s="18" t="e">
        <f t="shared" si="62"/>
        <v>#VALUE!</v>
      </c>
      <c r="BZ165" s="18" t="e">
        <f>BZ162^3+BT162*BZ162+BU162</f>
        <v>#VALUE!</v>
      </c>
      <c r="CA165" s="19" t="e">
        <f>CA162^3+BT162*CA162+BU162</f>
        <v>#VALUE!</v>
      </c>
    </row>
    <row r="166" spans="36:79" ht="18" hidden="1" customHeight="1" x14ac:dyDescent="0.15">
      <c r="AJ166" s="267"/>
      <c r="AK166" s="268"/>
      <c r="AL166" s="18" t="e">
        <f t="shared" si="63"/>
        <v>#VALUE!</v>
      </c>
      <c r="AM166" s="18" t="e">
        <f>AL166^3+AJ162*AL166+AK162</f>
        <v>#VALUE!</v>
      </c>
      <c r="AN166" s="18" t="e">
        <f>3*AL166^2+AJ162</f>
        <v>#VALUE!</v>
      </c>
      <c r="AO166" s="18" t="e">
        <f t="shared" si="58"/>
        <v>#VALUE!</v>
      </c>
      <c r="AP166" s="31"/>
      <c r="AQ166" s="32"/>
      <c r="AS166" s="267"/>
      <c r="AT166" s="268"/>
      <c r="AU166" s="18" t="e">
        <f t="shared" si="64"/>
        <v>#VALUE!</v>
      </c>
      <c r="AV166" s="18" t="e">
        <f>AU166^3+AS162*AU166+AT162</f>
        <v>#VALUE!</v>
      </c>
      <c r="AW166" s="18" t="e">
        <f>3*AU166^2+AS162</f>
        <v>#VALUE!</v>
      </c>
      <c r="AX166" s="18" t="e">
        <f t="shared" si="59"/>
        <v>#VALUE!</v>
      </c>
      <c r="AY166" s="31"/>
      <c r="AZ166" s="32"/>
      <c r="BB166" s="267"/>
      <c r="BC166" s="268"/>
      <c r="BD166" s="18" t="e">
        <f t="shared" si="65"/>
        <v>#VALUE!</v>
      </c>
      <c r="BE166" s="18" t="e">
        <f>BD166^3+BB162*BD166+BC162</f>
        <v>#VALUE!</v>
      </c>
      <c r="BF166" s="18" t="e">
        <f>3*BD166^2+BB162</f>
        <v>#VALUE!</v>
      </c>
      <c r="BG166" s="18" t="e">
        <f t="shared" si="60"/>
        <v>#VALUE!</v>
      </c>
      <c r="BH166" s="31"/>
      <c r="BI166" s="32"/>
      <c r="BK166" s="267"/>
      <c r="BL166" s="268"/>
      <c r="BM166" s="18" t="e">
        <f t="shared" si="66"/>
        <v>#VALUE!</v>
      </c>
      <c r="BN166" s="18" t="e">
        <f>BM166^3+BK162*BM166+BL162</f>
        <v>#VALUE!</v>
      </c>
      <c r="BO166" s="18" t="e">
        <f>3*BM166^2+BK162</f>
        <v>#VALUE!</v>
      </c>
      <c r="BP166" s="18" t="e">
        <f t="shared" si="61"/>
        <v>#VALUE!</v>
      </c>
      <c r="BQ166" s="31"/>
      <c r="BR166" s="32"/>
      <c r="BT166" s="267"/>
      <c r="BU166" s="268"/>
      <c r="BV166" s="18" t="e">
        <f t="shared" si="67"/>
        <v>#VALUE!</v>
      </c>
      <c r="BW166" s="18" t="e">
        <f>BV166^3+BT162*BV166+BU162</f>
        <v>#VALUE!</v>
      </c>
      <c r="BX166" s="18" t="e">
        <f>3*BV166^2+BT162</f>
        <v>#VALUE!</v>
      </c>
      <c r="BY166" s="18" t="e">
        <f t="shared" si="62"/>
        <v>#VALUE!</v>
      </c>
      <c r="BZ166" s="31"/>
      <c r="CA166" s="32"/>
    </row>
    <row r="167" spans="36:79" ht="18" hidden="1" customHeight="1" x14ac:dyDescent="0.15">
      <c r="AJ167" s="269" t="s">
        <v>243</v>
      </c>
      <c r="AK167" s="270"/>
      <c r="AL167" s="18" t="e">
        <f t="shared" si="63"/>
        <v>#VALUE!</v>
      </c>
      <c r="AM167" s="18" t="e">
        <f>AL167^3+AJ162*AL167+AK162</f>
        <v>#VALUE!</v>
      </c>
      <c r="AN167" s="18" t="e">
        <f>3*AL167^2+AJ162</f>
        <v>#VALUE!</v>
      </c>
      <c r="AO167" s="18" t="e">
        <f t="shared" si="58"/>
        <v>#VALUE!</v>
      </c>
      <c r="AP167" s="31"/>
      <c r="AQ167" s="32"/>
      <c r="AS167" s="269" t="s">
        <v>243</v>
      </c>
      <c r="AT167" s="270"/>
      <c r="AU167" s="18" t="e">
        <f t="shared" si="64"/>
        <v>#VALUE!</v>
      </c>
      <c r="AV167" s="18" t="e">
        <f>AU167^3+AS162*AU167+AT162</f>
        <v>#VALUE!</v>
      </c>
      <c r="AW167" s="18" t="e">
        <f>3*AU167^2+AS162</f>
        <v>#VALUE!</v>
      </c>
      <c r="AX167" s="18" t="e">
        <f t="shared" si="59"/>
        <v>#VALUE!</v>
      </c>
      <c r="AY167" s="31"/>
      <c r="AZ167" s="32"/>
      <c r="BB167" s="269" t="s">
        <v>243</v>
      </c>
      <c r="BC167" s="270"/>
      <c r="BD167" s="18" t="e">
        <f t="shared" si="65"/>
        <v>#VALUE!</v>
      </c>
      <c r="BE167" s="18" t="e">
        <f>BD167^3+BB162*BD167+BC162</f>
        <v>#VALUE!</v>
      </c>
      <c r="BF167" s="18" t="e">
        <f>3*BD167^2+BB162</f>
        <v>#VALUE!</v>
      </c>
      <c r="BG167" s="18" t="e">
        <f t="shared" si="60"/>
        <v>#VALUE!</v>
      </c>
      <c r="BH167" s="31"/>
      <c r="BI167" s="32"/>
      <c r="BK167" s="269" t="s">
        <v>243</v>
      </c>
      <c r="BL167" s="270"/>
      <c r="BM167" s="18" t="e">
        <f t="shared" si="66"/>
        <v>#VALUE!</v>
      </c>
      <c r="BN167" s="18" t="e">
        <f>BM167^3+BK162*BM167+BL162</f>
        <v>#VALUE!</v>
      </c>
      <c r="BO167" s="18" t="e">
        <f>3*BM167^2+BK162</f>
        <v>#VALUE!</v>
      </c>
      <c r="BP167" s="18" t="e">
        <f t="shared" si="61"/>
        <v>#VALUE!</v>
      </c>
      <c r="BQ167" s="31"/>
      <c r="BR167" s="32"/>
      <c r="BT167" s="269" t="s">
        <v>243</v>
      </c>
      <c r="BU167" s="270"/>
      <c r="BV167" s="18" t="e">
        <f t="shared" si="67"/>
        <v>#VALUE!</v>
      </c>
      <c r="BW167" s="18" t="e">
        <f>BV167^3+BT162*BV167+BU162</f>
        <v>#VALUE!</v>
      </c>
      <c r="BX167" s="18" t="e">
        <f>3*BV167^2+BT162</f>
        <v>#VALUE!</v>
      </c>
      <c r="BY167" s="18" t="e">
        <f t="shared" si="62"/>
        <v>#VALUE!</v>
      </c>
      <c r="BZ167" s="31"/>
      <c r="CA167" s="32"/>
    </row>
    <row r="168" spans="36:79" ht="18" hidden="1" customHeight="1" x14ac:dyDescent="0.15">
      <c r="AJ168" s="277" t="e">
        <f>3*(AM178^2)*AN178/(8*AO178*AP178)</f>
        <v>#VALUE!</v>
      </c>
      <c r="AK168" s="278"/>
      <c r="AL168" s="118" t="e">
        <f t="shared" si="63"/>
        <v>#VALUE!</v>
      </c>
      <c r="AM168" s="118" t="e">
        <f>AL168^3+AJ162*AL168+AK162</f>
        <v>#VALUE!</v>
      </c>
      <c r="AN168" s="118" t="e">
        <f>3*AL168^2+AJ162</f>
        <v>#VALUE!</v>
      </c>
      <c r="AO168" s="118" t="e">
        <f t="shared" si="58"/>
        <v>#VALUE!</v>
      </c>
      <c r="AP168" s="116"/>
      <c r="AQ168" s="117"/>
      <c r="AS168" s="277" t="e">
        <f>3*(AV178^2)*AW178/(8*AX178*AY178)</f>
        <v>#VALUE!</v>
      </c>
      <c r="AT168" s="278"/>
      <c r="AU168" s="118" t="e">
        <f t="shared" si="64"/>
        <v>#VALUE!</v>
      </c>
      <c r="AV168" s="118" t="e">
        <f>AU168^3+AS162*AU168+AT162</f>
        <v>#VALUE!</v>
      </c>
      <c r="AW168" s="118" t="e">
        <f>3*AU168^2+AS162</f>
        <v>#VALUE!</v>
      </c>
      <c r="AX168" s="118" t="e">
        <f t="shared" si="59"/>
        <v>#VALUE!</v>
      </c>
      <c r="AY168" s="116"/>
      <c r="AZ168" s="117"/>
      <c r="BB168" s="277" t="e">
        <f>3*(BE178^2)*BF178/(8*BG178*BH178)</f>
        <v>#VALUE!</v>
      </c>
      <c r="BC168" s="278"/>
      <c r="BD168" s="118" t="e">
        <f t="shared" si="65"/>
        <v>#VALUE!</v>
      </c>
      <c r="BE168" s="118" t="e">
        <f>BD168^3+BB162*BD168+BC162</f>
        <v>#VALUE!</v>
      </c>
      <c r="BF168" s="118" t="e">
        <f>3*BD168^2+BB162</f>
        <v>#VALUE!</v>
      </c>
      <c r="BG168" s="118" t="e">
        <f t="shared" si="60"/>
        <v>#VALUE!</v>
      </c>
      <c r="BH168" s="116"/>
      <c r="BI168" s="117"/>
      <c r="BK168" s="277" t="e">
        <f>3*(BN178^2)*BO178/(8*BP178*BQ178)</f>
        <v>#VALUE!</v>
      </c>
      <c r="BL168" s="278"/>
      <c r="BM168" s="118" t="e">
        <f t="shared" si="66"/>
        <v>#VALUE!</v>
      </c>
      <c r="BN168" s="118" t="e">
        <f>BM168^3+BK162*BM168+BL162</f>
        <v>#VALUE!</v>
      </c>
      <c r="BO168" s="118" t="e">
        <f>3*BM168^2+BK162</f>
        <v>#VALUE!</v>
      </c>
      <c r="BP168" s="118" t="e">
        <f t="shared" si="61"/>
        <v>#VALUE!</v>
      </c>
      <c r="BQ168" s="116"/>
      <c r="BR168" s="117"/>
      <c r="BT168" s="277" t="e">
        <f>3*(BW178^2)*BX178/(8*BY178*BZ178)</f>
        <v>#VALUE!</v>
      </c>
      <c r="BU168" s="278"/>
      <c r="BV168" s="118" t="e">
        <f t="shared" si="67"/>
        <v>#VALUE!</v>
      </c>
      <c r="BW168" s="118" t="e">
        <f>BV168^3+BT162*BV168+BU162</f>
        <v>#VALUE!</v>
      </c>
      <c r="BX168" s="118" t="e">
        <f>3*BV168^2+BT162</f>
        <v>#VALUE!</v>
      </c>
      <c r="BY168" s="118" t="e">
        <f t="shared" si="62"/>
        <v>#VALUE!</v>
      </c>
      <c r="BZ168" s="116"/>
      <c r="CA168" s="117"/>
    </row>
    <row r="169" spans="36:79" ht="18" hidden="1" customHeight="1" x14ac:dyDescent="0.15">
      <c r="AJ169" s="121"/>
      <c r="AK169" s="122"/>
      <c r="AL169" s="118" t="e">
        <f t="shared" si="63"/>
        <v>#VALUE!</v>
      </c>
      <c r="AM169" s="118" t="e">
        <f>AL169^3+AJ162*AL169+AK162</f>
        <v>#VALUE!</v>
      </c>
      <c r="AN169" s="118" t="e">
        <f>3*AL169^2+AJ162</f>
        <v>#VALUE!</v>
      </c>
      <c r="AO169" s="118" t="e">
        <f t="shared" si="58"/>
        <v>#VALUE!</v>
      </c>
      <c r="AP169" s="119"/>
      <c r="AQ169" s="120"/>
      <c r="AS169" s="121"/>
      <c r="AT169" s="122"/>
      <c r="AU169" s="118" t="e">
        <f t="shared" si="64"/>
        <v>#VALUE!</v>
      </c>
      <c r="AV169" s="118" t="e">
        <f>AU169^3+AS162*AU169+AT162</f>
        <v>#VALUE!</v>
      </c>
      <c r="AW169" s="118" t="e">
        <f>3*AU169^2+AS162</f>
        <v>#VALUE!</v>
      </c>
      <c r="AX169" s="118" t="e">
        <f t="shared" si="59"/>
        <v>#VALUE!</v>
      </c>
      <c r="AY169" s="119"/>
      <c r="AZ169" s="120"/>
      <c r="BB169" s="121"/>
      <c r="BC169" s="122"/>
      <c r="BD169" s="118" t="e">
        <f t="shared" si="65"/>
        <v>#VALUE!</v>
      </c>
      <c r="BE169" s="118" t="e">
        <f>BD169^3+BB162*BD169+BC162</f>
        <v>#VALUE!</v>
      </c>
      <c r="BF169" s="118" t="e">
        <f>3*BD169^2+BB162</f>
        <v>#VALUE!</v>
      </c>
      <c r="BG169" s="118" t="e">
        <f t="shared" si="60"/>
        <v>#VALUE!</v>
      </c>
      <c r="BH169" s="119"/>
      <c r="BI169" s="120"/>
      <c r="BK169" s="121"/>
      <c r="BL169" s="122"/>
      <c r="BM169" s="118" t="e">
        <f t="shared" si="66"/>
        <v>#VALUE!</v>
      </c>
      <c r="BN169" s="118" t="e">
        <f>BM169^3+BK162*BM169+BL162</f>
        <v>#VALUE!</v>
      </c>
      <c r="BO169" s="118" t="e">
        <f>3*BM169^2+BK162</f>
        <v>#VALUE!</v>
      </c>
      <c r="BP169" s="118" t="e">
        <f t="shared" si="61"/>
        <v>#VALUE!</v>
      </c>
      <c r="BQ169" s="119"/>
      <c r="BR169" s="120"/>
      <c r="BT169" s="121"/>
      <c r="BU169" s="122"/>
      <c r="BV169" s="118" t="e">
        <f t="shared" si="67"/>
        <v>#VALUE!</v>
      </c>
      <c r="BW169" s="118" t="e">
        <f>BV169^3+BT162*BV169+BU162</f>
        <v>#VALUE!</v>
      </c>
      <c r="BX169" s="118" t="e">
        <f>3*BV169^2+BT162</f>
        <v>#VALUE!</v>
      </c>
      <c r="BY169" s="118" t="e">
        <f t="shared" si="62"/>
        <v>#VALUE!</v>
      </c>
      <c r="BZ169" s="119"/>
      <c r="CA169" s="120"/>
    </row>
    <row r="170" spans="36:79" ht="18" hidden="1" customHeight="1" x14ac:dyDescent="0.15">
      <c r="AJ170" s="269" t="s">
        <v>244</v>
      </c>
      <c r="AK170" s="270"/>
      <c r="AL170" s="118" t="e">
        <f t="shared" si="63"/>
        <v>#VALUE!</v>
      </c>
      <c r="AM170" s="118" t="e">
        <f>AL170^3+AJ162*AL170+AK162</f>
        <v>#VALUE!</v>
      </c>
      <c r="AN170" s="118" t="e">
        <f>3*AL170^2+AJ162</f>
        <v>#VALUE!</v>
      </c>
      <c r="AO170" s="118" t="e">
        <f t="shared" si="58"/>
        <v>#VALUE!</v>
      </c>
      <c r="AP170" s="14" t="s">
        <v>245</v>
      </c>
      <c r="AQ170" s="123" t="e">
        <f>AO176</f>
        <v>#VALUE!</v>
      </c>
      <c r="AS170" s="269" t="s">
        <v>244</v>
      </c>
      <c r="AT170" s="270"/>
      <c r="AU170" s="118" t="e">
        <f t="shared" si="64"/>
        <v>#VALUE!</v>
      </c>
      <c r="AV170" s="118" t="e">
        <f>AU170^3+AS162*AU170+AT162</f>
        <v>#VALUE!</v>
      </c>
      <c r="AW170" s="118" t="e">
        <f>3*AU170^2+AS162</f>
        <v>#VALUE!</v>
      </c>
      <c r="AX170" s="118" t="e">
        <f t="shared" si="59"/>
        <v>#VALUE!</v>
      </c>
      <c r="AY170" s="14" t="s">
        <v>245</v>
      </c>
      <c r="AZ170" s="123" t="e">
        <f>AX176</f>
        <v>#VALUE!</v>
      </c>
      <c r="BB170" s="269" t="s">
        <v>244</v>
      </c>
      <c r="BC170" s="270"/>
      <c r="BD170" s="118" t="e">
        <f t="shared" si="65"/>
        <v>#VALUE!</v>
      </c>
      <c r="BE170" s="118" t="e">
        <f>BD170^3+BB162*BD170+BC162</f>
        <v>#VALUE!</v>
      </c>
      <c r="BF170" s="118" t="e">
        <f>3*BD170^2+BB162</f>
        <v>#VALUE!</v>
      </c>
      <c r="BG170" s="118" t="e">
        <f t="shared" si="60"/>
        <v>#VALUE!</v>
      </c>
      <c r="BH170" s="14" t="s">
        <v>245</v>
      </c>
      <c r="BI170" s="123" t="e">
        <f>BG176</f>
        <v>#VALUE!</v>
      </c>
      <c r="BK170" s="269" t="s">
        <v>244</v>
      </c>
      <c r="BL170" s="270"/>
      <c r="BM170" s="118" t="e">
        <f t="shared" si="66"/>
        <v>#VALUE!</v>
      </c>
      <c r="BN170" s="118" t="e">
        <f>BM170^3+BK162*BM170+BL162</f>
        <v>#VALUE!</v>
      </c>
      <c r="BO170" s="118" t="e">
        <f>3*BM170^2+BK162</f>
        <v>#VALUE!</v>
      </c>
      <c r="BP170" s="118" t="e">
        <f t="shared" si="61"/>
        <v>#VALUE!</v>
      </c>
      <c r="BQ170" s="14" t="s">
        <v>245</v>
      </c>
      <c r="BR170" s="123" t="e">
        <f>BP176</f>
        <v>#VALUE!</v>
      </c>
      <c r="BT170" s="269" t="s">
        <v>244</v>
      </c>
      <c r="BU170" s="270"/>
      <c r="BV170" s="118" t="e">
        <f t="shared" si="67"/>
        <v>#VALUE!</v>
      </c>
      <c r="BW170" s="118" t="e">
        <f>BV170^3+BT162*BV170+BU162</f>
        <v>#VALUE!</v>
      </c>
      <c r="BX170" s="118" t="e">
        <f>3*BV170^2+BT162</f>
        <v>#VALUE!</v>
      </c>
      <c r="BY170" s="118" t="e">
        <f t="shared" si="62"/>
        <v>#VALUE!</v>
      </c>
      <c r="BZ170" s="14" t="s">
        <v>245</v>
      </c>
      <c r="CA170" s="123" t="e">
        <f>BY176</f>
        <v>#VALUE!</v>
      </c>
    </row>
    <row r="171" spans="36:79" ht="18" hidden="1" customHeight="1" x14ac:dyDescent="0.15">
      <c r="AJ171" s="271" t="e">
        <f>AJ168*AL178*AK178/AK178</f>
        <v>#VALUE!</v>
      </c>
      <c r="AK171" s="272"/>
      <c r="AL171" s="118" t="e">
        <f t="shared" si="63"/>
        <v>#VALUE!</v>
      </c>
      <c r="AM171" s="118" t="e">
        <f>AL171^3+AJ162*AL171+AK162</f>
        <v>#VALUE!</v>
      </c>
      <c r="AN171" s="118" t="e">
        <f>3*AL171^2+AJ162</f>
        <v>#VALUE!</v>
      </c>
      <c r="AO171" s="118" t="e">
        <f t="shared" si="58"/>
        <v>#VALUE!</v>
      </c>
      <c r="AP171" s="14" t="s">
        <v>246</v>
      </c>
      <c r="AQ171" s="124" t="e">
        <f>AK178*AM178^2/(8*AO176)</f>
        <v>#VALUE!</v>
      </c>
      <c r="AS171" s="271" t="e">
        <f>AS168*AU178*AT178/AT178</f>
        <v>#VALUE!</v>
      </c>
      <c r="AT171" s="272"/>
      <c r="AU171" s="118" t="e">
        <f t="shared" si="64"/>
        <v>#VALUE!</v>
      </c>
      <c r="AV171" s="118" t="e">
        <f>AU171^3+AS162*AU171+AT162</f>
        <v>#VALUE!</v>
      </c>
      <c r="AW171" s="118" t="e">
        <f>3*AU171^2+AS162</f>
        <v>#VALUE!</v>
      </c>
      <c r="AX171" s="118" t="e">
        <f t="shared" si="59"/>
        <v>#VALUE!</v>
      </c>
      <c r="AY171" s="14" t="s">
        <v>246</v>
      </c>
      <c r="AZ171" s="124" t="e">
        <f>AT178*AV178^2/(8*AX176)</f>
        <v>#VALUE!</v>
      </c>
      <c r="BB171" s="271" t="e">
        <f>BB168*BD178*BC178/BC178</f>
        <v>#VALUE!</v>
      </c>
      <c r="BC171" s="272"/>
      <c r="BD171" s="118" t="e">
        <f t="shared" si="65"/>
        <v>#VALUE!</v>
      </c>
      <c r="BE171" s="118" t="e">
        <f>BD171^3+BB162*BD171+BC162</f>
        <v>#VALUE!</v>
      </c>
      <c r="BF171" s="118" t="e">
        <f>3*BD171^2+BB162</f>
        <v>#VALUE!</v>
      </c>
      <c r="BG171" s="118" t="e">
        <f t="shared" si="60"/>
        <v>#VALUE!</v>
      </c>
      <c r="BH171" s="14" t="s">
        <v>246</v>
      </c>
      <c r="BI171" s="124" t="e">
        <f>BC178*BE178^2/(8*BG176)</f>
        <v>#VALUE!</v>
      </c>
      <c r="BK171" s="271" t="e">
        <f>BK168*BM178*BL178/BL178</f>
        <v>#VALUE!</v>
      </c>
      <c r="BL171" s="272"/>
      <c r="BM171" s="118" t="e">
        <f t="shared" si="66"/>
        <v>#VALUE!</v>
      </c>
      <c r="BN171" s="118" t="e">
        <f>BM171^3+BK162*BM171+BL162</f>
        <v>#VALUE!</v>
      </c>
      <c r="BO171" s="118" t="e">
        <f>3*BM171^2+BK162</f>
        <v>#VALUE!</v>
      </c>
      <c r="BP171" s="118" t="e">
        <f t="shared" si="61"/>
        <v>#VALUE!</v>
      </c>
      <c r="BQ171" s="14" t="s">
        <v>246</v>
      </c>
      <c r="BR171" s="124" t="e">
        <f>BL178*BN178^2/(8*BP176)</f>
        <v>#VALUE!</v>
      </c>
      <c r="BT171" s="271" t="e">
        <f>BT168*BV178*BU178/BU178</f>
        <v>#VALUE!</v>
      </c>
      <c r="BU171" s="272"/>
      <c r="BV171" s="118" t="e">
        <f t="shared" si="67"/>
        <v>#VALUE!</v>
      </c>
      <c r="BW171" s="118" t="e">
        <f>BV171^3+BT162*BV171+BU162</f>
        <v>#VALUE!</v>
      </c>
      <c r="BX171" s="118" t="e">
        <f>3*BV171^2+BT162</f>
        <v>#VALUE!</v>
      </c>
      <c r="BY171" s="118" t="e">
        <f t="shared" si="62"/>
        <v>#VALUE!</v>
      </c>
      <c r="BZ171" s="14" t="s">
        <v>246</v>
      </c>
      <c r="CA171" s="124" t="e">
        <f>BU178*BW178^2/(8*BY176)</f>
        <v>#VALUE!</v>
      </c>
    </row>
    <row r="172" spans="36:79" ht="18" hidden="1" customHeight="1" x14ac:dyDescent="0.15">
      <c r="AJ172" s="125"/>
      <c r="AK172" s="126"/>
      <c r="AL172" s="118" t="e">
        <f t="shared" si="63"/>
        <v>#VALUE!</v>
      </c>
      <c r="AM172" s="118" t="e">
        <f>AL172^3+AJ162*AL172+AK162</f>
        <v>#VALUE!</v>
      </c>
      <c r="AN172" s="118" t="e">
        <f>3*AL172^2+AJ162</f>
        <v>#VALUE!</v>
      </c>
      <c r="AO172" s="118" t="e">
        <f t="shared" si="58"/>
        <v>#VALUE!</v>
      </c>
      <c r="AP172" s="116"/>
      <c r="AQ172" s="117"/>
      <c r="AS172" s="125"/>
      <c r="AT172" s="126"/>
      <c r="AU172" s="118" t="e">
        <f t="shared" si="64"/>
        <v>#VALUE!</v>
      </c>
      <c r="AV172" s="118" t="e">
        <f>AU172^3+AS162*AU172+AT162</f>
        <v>#VALUE!</v>
      </c>
      <c r="AW172" s="118" t="e">
        <f>3*AU172^2+AS162</f>
        <v>#VALUE!</v>
      </c>
      <c r="AX172" s="118" t="e">
        <f t="shared" si="59"/>
        <v>#VALUE!</v>
      </c>
      <c r="AY172" s="116"/>
      <c r="AZ172" s="117"/>
      <c r="BB172" s="125"/>
      <c r="BC172" s="126"/>
      <c r="BD172" s="118" t="e">
        <f t="shared" si="65"/>
        <v>#VALUE!</v>
      </c>
      <c r="BE172" s="118" t="e">
        <f>BD172^3+BB162*BD172+BC162</f>
        <v>#VALUE!</v>
      </c>
      <c r="BF172" s="118" t="e">
        <f>3*BD172^2+BB162</f>
        <v>#VALUE!</v>
      </c>
      <c r="BG172" s="118" t="e">
        <f t="shared" si="60"/>
        <v>#VALUE!</v>
      </c>
      <c r="BH172" s="116"/>
      <c r="BI172" s="117"/>
      <c r="BK172" s="125"/>
      <c r="BL172" s="126"/>
      <c r="BM172" s="118" t="e">
        <f t="shared" si="66"/>
        <v>#VALUE!</v>
      </c>
      <c r="BN172" s="118" t="e">
        <f>BM172^3+BK162*BM172+BL162</f>
        <v>#VALUE!</v>
      </c>
      <c r="BO172" s="118" t="e">
        <f>3*BM172^2+BK162</f>
        <v>#VALUE!</v>
      </c>
      <c r="BP172" s="118" t="e">
        <f t="shared" si="61"/>
        <v>#VALUE!</v>
      </c>
      <c r="BQ172" s="116"/>
      <c r="BR172" s="117"/>
      <c r="BT172" s="125"/>
      <c r="BU172" s="126"/>
      <c r="BV172" s="118" t="e">
        <f t="shared" si="67"/>
        <v>#VALUE!</v>
      </c>
      <c r="BW172" s="118" t="e">
        <f>BV172^3+BT162*BV172+BU162</f>
        <v>#VALUE!</v>
      </c>
      <c r="BX172" s="118" t="e">
        <f>3*BV172^2+BT162</f>
        <v>#VALUE!</v>
      </c>
      <c r="BY172" s="118" t="e">
        <f t="shared" si="62"/>
        <v>#VALUE!</v>
      </c>
      <c r="BZ172" s="116"/>
      <c r="CA172" s="117"/>
    </row>
    <row r="173" spans="36:79" ht="18" hidden="1" customHeight="1" x14ac:dyDescent="0.15">
      <c r="AJ173" s="125"/>
      <c r="AK173" s="126"/>
      <c r="AL173" s="118" t="e">
        <f t="shared" si="63"/>
        <v>#VALUE!</v>
      </c>
      <c r="AM173" s="118" t="e">
        <f>AL173^3+AJ162*AL173+AK162</f>
        <v>#VALUE!</v>
      </c>
      <c r="AN173" s="118" t="e">
        <f>3*AL173^2+AJ162</f>
        <v>#VALUE!</v>
      </c>
      <c r="AO173" s="118" t="e">
        <f t="shared" si="58"/>
        <v>#VALUE!</v>
      </c>
      <c r="AP173" s="112" t="s">
        <v>147</v>
      </c>
      <c r="AQ173" s="113">
        <v>30</v>
      </c>
      <c r="AS173" s="125"/>
      <c r="AT173" s="126"/>
      <c r="AU173" s="118" t="e">
        <f t="shared" si="64"/>
        <v>#VALUE!</v>
      </c>
      <c r="AV173" s="118" t="e">
        <f>AU173^3+AS162*AU173+AT162</f>
        <v>#VALUE!</v>
      </c>
      <c r="AW173" s="118" t="e">
        <f>3*AU173^2+AS162</f>
        <v>#VALUE!</v>
      </c>
      <c r="AX173" s="118" t="e">
        <f t="shared" si="59"/>
        <v>#VALUE!</v>
      </c>
      <c r="AY173" s="112" t="s">
        <v>147</v>
      </c>
      <c r="AZ173" s="113">
        <v>30</v>
      </c>
      <c r="BB173" s="125"/>
      <c r="BC173" s="126"/>
      <c r="BD173" s="118" t="e">
        <f t="shared" si="65"/>
        <v>#VALUE!</v>
      </c>
      <c r="BE173" s="118" t="e">
        <f>BD173^3+BB162*BD173+BC162</f>
        <v>#VALUE!</v>
      </c>
      <c r="BF173" s="118" t="e">
        <f>3*BD173^2+BB162</f>
        <v>#VALUE!</v>
      </c>
      <c r="BG173" s="118" t="e">
        <f t="shared" si="60"/>
        <v>#VALUE!</v>
      </c>
      <c r="BH173" s="112" t="s">
        <v>147</v>
      </c>
      <c r="BI173" s="113">
        <v>30</v>
      </c>
      <c r="BK173" s="125"/>
      <c r="BL173" s="126"/>
      <c r="BM173" s="118" t="e">
        <f t="shared" si="66"/>
        <v>#VALUE!</v>
      </c>
      <c r="BN173" s="118" t="e">
        <f>BM173^3+BK162*BM173+BL162</f>
        <v>#VALUE!</v>
      </c>
      <c r="BO173" s="118" t="e">
        <f>3*BM173^2+BK162</f>
        <v>#VALUE!</v>
      </c>
      <c r="BP173" s="118" t="e">
        <f t="shared" si="61"/>
        <v>#VALUE!</v>
      </c>
      <c r="BQ173" s="112" t="s">
        <v>147</v>
      </c>
      <c r="BR173" s="113">
        <v>30</v>
      </c>
      <c r="BT173" s="125"/>
      <c r="BU173" s="126"/>
      <c r="BV173" s="118" t="e">
        <f t="shared" si="67"/>
        <v>#VALUE!</v>
      </c>
      <c r="BW173" s="118" t="e">
        <f>BV173^3+BT162*BV173+BU162</f>
        <v>#VALUE!</v>
      </c>
      <c r="BX173" s="118" t="e">
        <f>3*BV173^2+BT162</f>
        <v>#VALUE!</v>
      </c>
      <c r="BY173" s="118" t="e">
        <f t="shared" si="62"/>
        <v>#VALUE!</v>
      </c>
      <c r="BZ173" s="112" t="s">
        <v>147</v>
      </c>
      <c r="CA173" s="113">
        <v>30</v>
      </c>
    </row>
    <row r="174" spans="36:79" ht="18" hidden="1" customHeight="1" x14ac:dyDescent="0.15">
      <c r="AJ174" s="125"/>
      <c r="AK174" s="126"/>
      <c r="AL174" s="118" t="e">
        <f t="shared" si="63"/>
        <v>#VALUE!</v>
      </c>
      <c r="AM174" s="118" t="e">
        <f>AL174^3+AJ162*AL174+AK162</f>
        <v>#VALUE!</v>
      </c>
      <c r="AN174" s="118" t="e">
        <f>3*AL174^2+AJ162</f>
        <v>#VALUE!</v>
      </c>
      <c r="AO174" s="118" t="e">
        <f t="shared" si="58"/>
        <v>#VALUE!</v>
      </c>
      <c r="AP174" s="128" t="s">
        <v>218</v>
      </c>
      <c r="AQ174" s="32"/>
      <c r="AS174" s="125"/>
      <c r="AT174" s="126"/>
      <c r="AU174" s="118" t="e">
        <f t="shared" si="64"/>
        <v>#VALUE!</v>
      </c>
      <c r="AV174" s="118" t="e">
        <f>AU174^3+AS162*AU174+AT162</f>
        <v>#VALUE!</v>
      </c>
      <c r="AW174" s="118" t="e">
        <f>3*AU174^2+AS162</f>
        <v>#VALUE!</v>
      </c>
      <c r="AX174" s="118" t="e">
        <f t="shared" si="59"/>
        <v>#VALUE!</v>
      </c>
      <c r="AY174" s="128" t="s">
        <v>219</v>
      </c>
      <c r="AZ174" s="32"/>
      <c r="BB174" s="125"/>
      <c r="BC174" s="126"/>
      <c r="BD174" s="118" t="e">
        <f t="shared" si="65"/>
        <v>#VALUE!</v>
      </c>
      <c r="BE174" s="118" t="e">
        <f>BD174^3+BB162*BD174+BC162</f>
        <v>#VALUE!</v>
      </c>
      <c r="BF174" s="118" t="e">
        <f>3*BD174^2+BB162</f>
        <v>#VALUE!</v>
      </c>
      <c r="BG174" s="118" t="e">
        <f t="shared" si="60"/>
        <v>#VALUE!</v>
      </c>
      <c r="BH174" s="128" t="s">
        <v>220</v>
      </c>
      <c r="BI174" s="32"/>
      <c r="BK174" s="125"/>
      <c r="BL174" s="126"/>
      <c r="BM174" s="118" t="e">
        <f t="shared" si="66"/>
        <v>#VALUE!</v>
      </c>
      <c r="BN174" s="118" t="e">
        <f>BM174^3+BK162*BM174+BL162</f>
        <v>#VALUE!</v>
      </c>
      <c r="BO174" s="118" t="e">
        <f>3*BM174^2+BK162</f>
        <v>#VALUE!</v>
      </c>
      <c r="BP174" s="118" t="e">
        <f t="shared" si="61"/>
        <v>#VALUE!</v>
      </c>
      <c r="BQ174" s="128" t="s">
        <v>221</v>
      </c>
      <c r="BR174" s="32"/>
      <c r="BT174" s="125"/>
      <c r="BU174" s="126"/>
      <c r="BV174" s="118" t="e">
        <f t="shared" si="67"/>
        <v>#VALUE!</v>
      </c>
      <c r="BW174" s="118" t="e">
        <f>BV174^3+BT162*BV174+BU162</f>
        <v>#VALUE!</v>
      </c>
      <c r="BX174" s="118" t="e">
        <f>3*BV174^2+BT162</f>
        <v>#VALUE!</v>
      </c>
      <c r="BY174" s="118" t="e">
        <f t="shared" si="62"/>
        <v>#VALUE!</v>
      </c>
      <c r="BZ174" s="128" t="s">
        <v>222</v>
      </c>
      <c r="CA174" s="32"/>
    </row>
    <row r="175" spans="36:79" ht="18" hidden="1" customHeight="1" x14ac:dyDescent="0.15">
      <c r="AJ175" s="125"/>
      <c r="AK175" s="126"/>
      <c r="AL175" s="18" t="e">
        <f t="shared" si="63"/>
        <v>#VALUE!</v>
      </c>
      <c r="AM175" s="18" t="e">
        <f>AL175^3+AJ162*AL175+AK162</f>
        <v>#VALUE!</v>
      </c>
      <c r="AN175" s="18" t="e">
        <f>3*AL175^2+AJ162</f>
        <v>#VALUE!</v>
      </c>
      <c r="AO175" s="18" t="e">
        <f t="shared" si="58"/>
        <v>#VALUE!</v>
      </c>
      <c r="AP175" s="273" t="str">
        <f>M56</f>
        <v>無 風 時　30[℃]</v>
      </c>
      <c r="AQ175" s="274"/>
      <c r="AS175" s="125"/>
      <c r="AT175" s="126"/>
      <c r="AU175" s="18" t="e">
        <f t="shared" si="64"/>
        <v>#VALUE!</v>
      </c>
      <c r="AV175" s="18" t="e">
        <f>AU175^3+AS162*AU175+AT162</f>
        <v>#VALUE!</v>
      </c>
      <c r="AW175" s="18" t="e">
        <f>3*AU175^2+AS162</f>
        <v>#VALUE!</v>
      </c>
      <c r="AX175" s="18" t="e">
        <f t="shared" si="59"/>
        <v>#VALUE!</v>
      </c>
      <c r="AY175" s="273" t="str">
        <f>M56</f>
        <v>無 風 時　30[℃]</v>
      </c>
      <c r="AZ175" s="274"/>
      <c r="BB175" s="125"/>
      <c r="BC175" s="126"/>
      <c r="BD175" s="18" t="e">
        <f t="shared" si="65"/>
        <v>#VALUE!</v>
      </c>
      <c r="BE175" s="18" t="e">
        <f>BD175^3+BB162*BD175+BC162</f>
        <v>#VALUE!</v>
      </c>
      <c r="BF175" s="18" t="e">
        <f>3*BD175^2+BB162</f>
        <v>#VALUE!</v>
      </c>
      <c r="BG175" s="18" t="e">
        <f t="shared" si="60"/>
        <v>#VALUE!</v>
      </c>
      <c r="BH175" s="273" t="str">
        <f>M56</f>
        <v>無 風 時　30[℃]</v>
      </c>
      <c r="BI175" s="274"/>
      <c r="BK175" s="125"/>
      <c r="BL175" s="126"/>
      <c r="BM175" s="18" t="e">
        <f t="shared" si="66"/>
        <v>#VALUE!</v>
      </c>
      <c r="BN175" s="18" t="e">
        <f>BM175^3+BK162*BM175+BL162</f>
        <v>#VALUE!</v>
      </c>
      <c r="BO175" s="18" t="e">
        <f>3*BM175^2+BK162</f>
        <v>#VALUE!</v>
      </c>
      <c r="BP175" s="18" t="e">
        <f t="shared" si="61"/>
        <v>#VALUE!</v>
      </c>
      <c r="BQ175" s="273" t="str">
        <f>M56</f>
        <v>無 風 時　30[℃]</v>
      </c>
      <c r="BR175" s="274"/>
      <c r="BT175" s="125"/>
      <c r="BU175" s="126"/>
      <c r="BV175" s="18" t="e">
        <f t="shared" si="67"/>
        <v>#VALUE!</v>
      </c>
      <c r="BW175" s="18" t="e">
        <f>BV175^3+BT162*BV175+BU162</f>
        <v>#VALUE!</v>
      </c>
      <c r="BX175" s="18" t="e">
        <f>3*BV175^2+BT162</f>
        <v>#VALUE!</v>
      </c>
      <c r="BY175" s="18" t="e">
        <f t="shared" si="62"/>
        <v>#VALUE!</v>
      </c>
      <c r="BZ175" s="273" t="str">
        <f>M56</f>
        <v>無 風 時　30[℃]</v>
      </c>
      <c r="CA175" s="274"/>
    </row>
    <row r="176" spans="36:79" ht="18" hidden="1" customHeight="1" thickBot="1" x14ac:dyDescent="0.2">
      <c r="AJ176" s="125"/>
      <c r="AK176" s="126"/>
      <c r="AL176" s="114" t="e">
        <f t="shared" si="63"/>
        <v>#VALUE!</v>
      </c>
      <c r="AM176" s="115" t="e">
        <f>AL176^3+AJ162*AL176+AK162</f>
        <v>#VALUE!</v>
      </c>
      <c r="AN176" s="115" t="e">
        <f>3*AL176^2+AJ162</f>
        <v>#VALUE!</v>
      </c>
      <c r="AO176" s="115" t="e">
        <f t="shared" si="58"/>
        <v>#VALUE!</v>
      </c>
      <c r="AP176" s="275"/>
      <c r="AQ176" s="276"/>
      <c r="AS176" s="125"/>
      <c r="AT176" s="126"/>
      <c r="AU176" s="114" t="e">
        <f t="shared" si="64"/>
        <v>#VALUE!</v>
      </c>
      <c r="AV176" s="115" t="e">
        <f>AU176^3+AS162*AU176+AT162</f>
        <v>#VALUE!</v>
      </c>
      <c r="AW176" s="115" t="e">
        <f>3*AU176^2+AS162</f>
        <v>#VALUE!</v>
      </c>
      <c r="AX176" s="115" t="e">
        <f t="shared" si="59"/>
        <v>#VALUE!</v>
      </c>
      <c r="AY176" s="275"/>
      <c r="AZ176" s="276"/>
      <c r="BB176" s="125"/>
      <c r="BC176" s="126"/>
      <c r="BD176" s="114" t="e">
        <f t="shared" si="65"/>
        <v>#VALUE!</v>
      </c>
      <c r="BE176" s="115" t="e">
        <f>BD176^3+BB162*BD176+BC162</f>
        <v>#VALUE!</v>
      </c>
      <c r="BF176" s="115" t="e">
        <f>3*BD176^2+BB162</f>
        <v>#VALUE!</v>
      </c>
      <c r="BG176" s="115" t="e">
        <f t="shared" si="60"/>
        <v>#VALUE!</v>
      </c>
      <c r="BH176" s="275"/>
      <c r="BI176" s="276"/>
      <c r="BK176" s="125"/>
      <c r="BL176" s="126"/>
      <c r="BM176" s="114" t="e">
        <f t="shared" si="66"/>
        <v>#VALUE!</v>
      </c>
      <c r="BN176" s="115" t="e">
        <f>BM176^3+BK162*BM176+BL162</f>
        <v>#VALUE!</v>
      </c>
      <c r="BO176" s="115" t="e">
        <f>3*BM176^2+BK162</f>
        <v>#VALUE!</v>
      </c>
      <c r="BP176" s="115" t="e">
        <f t="shared" si="61"/>
        <v>#VALUE!</v>
      </c>
      <c r="BQ176" s="275"/>
      <c r="BR176" s="276"/>
      <c r="BT176" s="125"/>
      <c r="BU176" s="126"/>
      <c r="BV176" s="114" t="e">
        <f t="shared" si="67"/>
        <v>#VALUE!</v>
      </c>
      <c r="BW176" s="115" t="e">
        <f>BV176^3+BT162*BV176+BU162</f>
        <v>#VALUE!</v>
      </c>
      <c r="BX176" s="115" t="e">
        <f>3*BV176^2+BT162</f>
        <v>#VALUE!</v>
      </c>
      <c r="BY176" s="115" t="e">
        <f t="shared" si="62"/>
        <v>#VALUE!</v>
      </c>
      <c r="BZ176" s="275"/>
      <c r="CA176" s="276"/>
    </row>
    <row r="177" spans="36:79" ht="18" hidden="1" customHeight="1" x14ac:dyDescent="0.15">
      <c r="AJ177" s="62"/>
      <c r="AK177" s="12" t="s">
        <v>224</v>
      </c>
      <c r="AL177" s="12" t="s">
        <v>225</v>
      </c>
      <c r="AM177" s="12" t="s">
        <v>226</v>
      </c>
      <c r="AN177" s="12" t="s">
        <v>227</v>
      </c>
      <c r="AO177" s="63" t="s">
        <v>228</v>
      </c>
      <c r="AP177" s="12" t="s">
        <v>229</v>
      </c>
      <c r="AQ177" s="13" t="s">
        <v>230</v>
      </c>
      <c r="AS177" s="62"/>
      <c r="AT177" s="12" t="s">
        <v>224</v>
      </c>
      <c r="AU177" s="12" t="s">
        <v>225</v>
      </c>
      <c r="AV177" s="12" t="s">
        <v>226</v>
      </c>
      <c r="AW177" s="12" t="s">
        <v>227</v>
      </c>
      <c r="AX177" s="63" t="s">
        <v>228</v>
      </c>
      <c r="AY177" s="12" t="s">
        <v>229</v>
      </c>
      <c r="AZ177" s="13" t="s">
        <v>230</v>
      </c>
      <c r="BB177" s="62"/>
      <c r="BC177" s="12" t="s">
        <v>224</v>
      </c>
      <c r="BD177" s="12" t="s">
        <v>225</v>
      </c>
      <c r="BE177" s="12" t="s">
        <v>226</v>
      </c>
      <c r="BF177" s="12" t="s">
        <v>227</v>
      </c>
      <c r="BG177" s="63" t="s">
        <v>228</v>
      </c>
      <c r="BH177" s="12" t="s">
        <v>229</v>
      </c>
      <c r="BI177" s="13" t="s">
        <v>230</v>
      </c>
      <c r="BK177" s="62"/>
      <c r="BL177" s="12" t="s">
        <v>224</v>
      </c>
      <c r="BM177" s="12" t="s">
        <v>225</v>
      </c>
      <c r="BN177" s="12" t="s">
        <v>226</v>
      </c>
      <c r="BO177" s="12" t="s">
        <v>227</v>
      </c>
      <c r="BP177" s="63" t="s">
        <v>228</v>
      </c>
      <c r="BQ177" s="12" t="s">
        <v>229</v>
      </c>
      <c r="BR177" s="13" t="s">
        <v>230</v>
      </c>
      <c r="BT177" s="62"/>
      <c r="BU177" s="12" t="s">
        <v>224</v>
      </c>
      <c r="BV177" s="12" t="s">
        <v>225</v>
      </c>
      <c r="BW177" s="12" t="s">
        <v>226</v>
      </c>
      <c r="BX177" s="12" t="s">
        <v>227</v>
      </c>
      <c r="BY177" s="63" t="s">
        <v>228</v>
      </c>
      <c r="BZ177" s="12" t="s">
        <v>229</v>
      </c>
      <c r="CA177" s="13" t="s">
        <v>230</v>
      </c>
    </row>
    <row r="178" spans="36:79" ht="18" hidden="1" customHeight="1" thickBot="1" x14ac:dyDescent="0.2">
      <c r="AJ178" s="107"/>
      <c r="AK178" s="108" t="e">
        <f>M23+U23</f>
        <v>#VALUE!</v>
      </c>
      <c r="AL178" s="108">
        <f>IF(C33="",L19*(F19/40)^2,C33)</f>
        <v>0</v>
      </c>
      <c r="AM178" s="108">
        <f>F19</f>
        <v>0</v>
      </c>
      <c r="AN178" s="108" t="e">
        <f>AK78*1600/(8*L19)</f>
        <v>#VALUE!</v>
      </c>
      <c r="AO178" s="109">
        <f>V23</f>
        <v>0</v>
      </c>
      <c r="AP178" s="108" t="str">
        <f>L23</f>
        <v/>
      </c>
      <c r="AQ178" s="110">
        <f>W23</f>
        <v>0</v>
      </c>
      <c r="AS178" s="107"/>
      <c r="AT178" s="108" t="str">
        <f>IF(B24="使用電線-2",M24+U24,IF(B25="使用電線-2",M25+U25,IF(B26="使用電線-2",M26+U26,IF(B27="使用電線-2",M27+U27,IF(B28="使用電線-2",M28+U28,IF(B29="使用電線-2",M29+U29,""))))))</f>
        <v/>
      </c>
      <c r="AU178" s="108">
        <f>IF(I33="",L19*(F19/40)^2,I33)</f>
        <v>0</v>
      </c>
      <c r="AV178" s="108">
        <f>F19</f>
        <v>0</v>
      </c>
      <c r="AW178" s="108" t="e">
        <f>AT178*1600/(8*L19)</f>
        <v>#VALUE!</v>
      </c>
      <c r="AX178" s="109" t="str">
        <f>IF(B24="使用電線-2",V24,IF(B25="使用電線-2",V25,IF(B26="使用電線-2",V26,IF(B27="使用電線-2",V27,IF(B28="使用電線-2",V28,IF(B29="使用電線-2",V29,""))))))</f>
        <v/>
      </c>
      <c r="AY178" s="108" t="str">
        <f>IF(B24="使用電線-2",L24,IF(B25="使用電線-2",L25,IF(B26="使用電線-2",L26,IF(B27="使用電線-2",L27,IF(B28="使用電線-2",L28,IF(B29="使用電線-2",L29,""))))))</f>
        <v/>
      </c>
      <c r="AZ178" s="110" t="str">
        <f>IF(B24="使用電線-2",W24,IF(B25="使用電線-2",W25,IF(B26="使用電線-2",W26,IF(B27="使用電線-2",W27,IF(B28="使用電線-2",W28,IF(B29="使用電線-2",W29,""))))))</f>
        <v/>
      </c>
      <c r="BB178" s="107"/>
      <c r="BC178" s="108" t="str">
        <f>IF(B25="使用電線-3",M25+U25,IF(B26="使用電線-3",M26+U26,IF(B27="使用電線-3",M27+U27,IF(B28="使用電線-3",M28+U28,IF(B29="使用電線-3",M29+U29,"")))))</f>
        <v/>
      </c>
      <c r="BD178" s="108">
        <f>IF(N33="",L19*(F19/40)^2,N33)</f>
        <v>0</v>
      </c>
      <c r="BE178" s="108">
        <f>F19</f>
        <v>0</v>
      </c>
      <c r="BF178" s="108" t="e">
        <f>BC178*1600/(8*L19)</f>
        <v>#VALUE!</v>
      </c>
      <c r="BG178" s="109" t="str">
        <f>IF(B25="使用電線-3",V25,IF(B26="使用電線-3",V26,IF(B27="使用電線-3",V27,IF(B28="使用電線-3",V28,IF(B29="使用電線-3",V29,"")))))</f>
        <v/>
      </c>
      <c r="BH178" s="108" t="str">
        <f>IF(B25="使用電線-3",L25,IF(B26="使用電線-3",L26,IF(B27="使用電線-3",L27,IF(B28="使用電線-3",L28,IF(B29="使用電線-3",L29,"")))))</f>
        <v/>
      </c>
      <c r="BI178" s="110" t="str">
        <f>IF(B25="使用電線-3",W25,IF(B26="使用電線-3",W26,IF(B27="使用電線-3",W27,IF(B28="使用電線-3",W28,IF(B29="使用電線-3",W29,"")))))</f>
        <v/>
      </c>
      <c r="BK178" s="107"/>
      <c r="BL178" s="108" t="str">
        <f>IF(B26="使用電線-4",M26+U26,IF(B27="使用電線-4",M27+U27,IF(B28="使用電線-4",M28+U28,IF(B29="使用電線-4",M29+U29,""))))</f>
        <v/>
      </c>
      <c r="BM178" s="108">
        <f>IF(C47="",L19*(F19/40)^2,C47)</f>
        <v>0</v>
      </c>
      <c r="BN178" s="108">
        <f>F19</f>
        <v>0</v>
      </c>
      <c r="BO178" s="127" t="e">
        <f>BL178*1600/(8*L19)</f>
        <v>#VALUE!</v>
      </c>
      <c r="BP178" s="109" t="str">
        <f>IF(B26="使用電線-4",V26,IF(B27="使用電線-4",V27,IF(B28="使用電線-4",V28,IF(B29="使用電線-4",V29,""))))</f>
        <v/>
      </c>
      <c r="BQ178" s="108" t="str">
        <f>IF(B26="使用電線-4",L26,IF(B27="使用電線-4",L27,IF(B28="使用電線-4",L28,IF(B29="使用電線-4",L29,""))))</f>
        <v/>
      </c>
      <c r="BR178" s="110" t="str">
        <f>IF(B26="使用電線-4",W26,IF(B27="使用電線-4",W27,IF(B28="使用電線-4",W28,IF(B29="使用電線-4",W29,""))))</f>
        <v/>
      </c>
      <c r="BT178" s="107"/>
      <c r="BU178" s="108" t="str">
        <f>IF(B27="使用電線-5",M27+U27,IF(B28="使用電線-5",M28+U28,IF(B29="使用電線-5",M29+U29,"")))</f>
        <v/>
      </c>
      <c r="BV178" s="108">
        <f>IF(I47="",L19*(F19/40)^2,I47)</f>
        <v>0</v>
      </c>
      <c r="BW178" s="108">
        <f>F19</f>
        <v>0</v>
      </c>
      <c r="BX178" s="127" t="e">
        <f>BU178*1600/(8*L19)</f>
        <v>#VALUE!</v>
      </c>
      <c r="BY178" s="109" t="str">
        <f>IF(B27="使用電線-5",V27,IF(B28="使用電線-5",V28,IF(B29="使用電線-5",V29,"")))</f>
        <v/>
      </c>
      <c r="BZ178" s="108" t="str">
        <f>IF(B27="使用電線-5",L27,IF(B28="使用電線-5",L28,IF(B29="使用電線-5",L29,"")))</f>
        <v/>
      </c>
      <c r="CA178" s="110" t="str">
        <f>IF(B27="使用電線-5",W27,IF(B28="使用電線-5",W28,IF(B29="使用電線-5",W29,"")))</f>
        <v/>
      </c>
    </row>
    <row r="179" spans="36:79" ht="18" hidden="1" customHeight="1" x14ac:dyDescent="0.15"/>
    <row r="180" spans="36:79" ht="18" hidden="1" customHeight="1" thickBot="1" x14ac:dyDescent="0.2"/>
    <row r="181" spans="36:79" ht="18" hidden="1" customHeight="1" x14ac:dyDescent="0.15">
      <c r="AJ181" s="2" t="s">
        <v>232</v>
      </c>
      <c r="AK181" s="111" t="s">
        <v>233</v>
      </c>
      <c r="AL181" s="12" t="s">
        <v>234</v>
      </c>
      <c r="AM181" s="12" t="s">
        <v>235</v>
      </c>
      <c r="AN181" s="12" t="s">
        <v>236</v>
      </c>
      <c r="AO181" s="12" t="s">
        <v>237</v>
      </c>
      <c r="AP181" s="12" t="s">
        <v>238</v>
      </c>
      <c r="AQ181" s="13" t="s">
        <v>239</v>
      </c>
      <c r="AS181" s="2" t="s">
        <v>232</v>
      </c>
      <c r="AT181" s="111" t="s">
        <v>233</v>
      </c>
      <c r="AU181" s="12" t="s">
        <v>234</v>
      </c>
      <c r="AV181" s="12" t="s">
        <v>235</v>
      </c>
      <c r="AW181" s="12" t="s">
        <v>236</v>
      </c>
      <c r="AX181" s="12" t="s">
        <v>237</v>
      </c>
      <c r="AY181" s="12" t="s">
        <v>238</v>
      </c>
      <c r="AZ181" s="13" t="s">
        <v>239</v>
      </c>
      <c r="BB181" s="2" t="s">
        <v>232</v>
      </c>
      <c r="BC181" s="111" t="s">
        <v>233</v>
      </c>
      <c r="BD181" s="12" t="s">
        <v>234</v>
      </c>
      <c r="BE181" s="12" t="s">
        <v>235</v>
      </c>
      <c r="BF181" s="12" t="s">
        <v>236</v>
      </c>
      <c r="BG181" s="12" t="s">
        <v>237</v>
      </c>
      <c r="BH181" s="12" t="s">
        <v>238</v>
      </c>
      <c r="BI181" s="13" t="s">
        <v>239</v>
      </c>
      <c r="BK181" s="2" t="s">
        <v>232</v>
      </c>
      <c r="BL181" s="111" t="s">
        <v>233</v>
      </c>
      <c r="BM181" s="12" t="s">
        <v>234</v>
      </c>
      <c r="BN181" s="12" t="s">
        <v>235</v>
      </c>
      <c r="BO181" s="12" t="s">
        <v>236</v>
      </c>
      <c r="BP181" s="12" t="s">
        <v>237</v>
      </c>
      <c r="BQ181" s="12" t="s">
        <v>238</v>
      </c>
      <c r="BR181" s="13" t="s">
        <v>239</v>
      </c>
      <c r="BT181" s="2" t="s">
        <v>232</v>
      </c>
      <c r="BU181" s="111" t="s">
        <v>233</v>
      </c>
      <c r="BV181" s="12" t="s">
        <v>234</v>
      </c>
      <c r="BW181" s="12" t="s">
        <v>235</v>
      </c>
      <c r="BX181" s="12" t="s">
        <v>236</v>
      </c>
      <c r="BY181" s="12" t="s">
        <v>237</v>
      </c>
      <c r="BZ181" s="12" t="s">
        <v>238</v>
      </c>
      <c r="CA181" s="13" t="s">
        <v>239</v>
      </c>
    </row>
    <row r="182" spans="36:79" ht="18" hidden="1" customHeight="1" x14ac:dyDescent="0.15">
      <c r="AJ182" s="16" t="e">
        <f>-AJ185+AJ188</f>
        <v>#VALUE!</v>
      </c>
      <c r="AK182" s="17" t="e">
        <f>-AJ191</f>
        <v>#VALUE!</v>
      </c>
      <c r="AL182" s="18" t="e">
        <f>IF(AND(AP185&lt;0,AQ185&lt;0),AQ182*1.2,IF(AND(AP185&gt;0,AQ185&gt;0),AP182*0.8,10))</f>
        <v>#VALUE!</v>
      </c>
      <c r="AM182" s="18" t="e">
        <f>AL182^3+AJ182*AL182+AK182</f>
        <v>#VALUE!</v>
      </c>
      <c r="AN182" s="18" t="e">
        <f>3*AL182^2+AJ182</f>
        <v>#VALUE!</v>
      </c>
      <c r="AO182" s="18" t="e">
        <f t="shared" ref="AO182:AO196" si="68">AL182-AM182/AN182</f>
        <v>#VALUE!</v>
      </c>
      <c r="AP182" s="18" t="e">
        <f>-SQRT(ABS(-4*3*AJ182))/6</f>
        <v>#VALUE!</v>
      </c>
      <c r="AQ182" s="19" t="e">
        <f>SQRT(ABS(-4*3*AJ182))/6</f>
        <v>#VALUE!</v>
      </c>
      <c r="AS182" s="16" t="e">
        <f>-AS185+AS188</f>
        <v>#VALUE!</v>
      </c>
      <c r="AT182" s="17" t="e">
        <f>-AS191</f>
        <v>#VALUE!</v>
      </c>
      <c r="AU182" s="18" t="e">
        <f>IF(AND(AY185&lt;0,AZ185&lt;0),AZ182*1.2,IF(AND(AY185&gt;0,AZ185&gt;0),AY182*0.8,10))</f>
        <v>#VALUE!</v>
      </c>
      <c r="AV182" s="18" t="e">
        <f>AU182^3+AS182*AU182+AT182</f>
        <v>#VALUE!</v>
      </c>
      <c r="AW182" s="18" t="e">
        <f>3*AU182^2+AS182</f>
        <v>#VALUE!</v>
      </c>
      <c r="AX182" s="18" t="e">
        <f t="shared" ref="AX182:AX196" si="69">AU182-AV182/AW182</f>
        <v>#VALUE!</v>
      </c>
      <c r="AY182" s="18" t="e">
        <f>-SQRT(ABS(-4*3*AS182))/6</f>
        <v>#VALUE!</v>
      </c>
      <c r="AZ182" s="19" t="e">
        <f>SQRT(ABS(-4*3*AS182))/6</f>
        <v>#VALUE!</v>
      </c>
      <c r="BB182" s="16" t="e">
        <f>-BB185+BB188</f>
        <v>#VALUE!</v>
      </c>
      <c r="BC182" s="17" t="e">
        <f>-BB191</f>
        <v>#VALUE!</v>
      </c>
      <c r="BD182" s="18" t="e">
        <f>IF(AND(BH185&lt;0,BI185&lt;0),BI182*1.2,IF(AND(BH185&gt;0,BI185&gt;0),BH182*0.8,10))</f>
        <v>#VALUE!</v>
      </c>
      <c r="BE182" s="18" t="e">
        <f>BD182^3+BB182*BD182+BC182</f>
        <v>#VALUE!</v>
      </c>
      <c r="BF182" s="18" t="e">
        <f>3*BD182^2+BB182</f>
        <v>#VALUE!</v>
      </c>
      <c r="BG182" s="18" t="e">
        <f t="shared" ref="BG182:BG196" si="70">BD182-BE182/BF182</f>
        <v>#VALUE!</v>
      </c>
      <c r="BH182" s="18" t="e">
        <f>-SQRT(ABS(-4*3*BB182))/6</f>
        <v>#VALUE!</v>
      </c>
      <c r="BI182" s="19" t="e">
        <f>SQRT(ABS(-4*3*BB182))/6</f>
        <v>#VALUE!</v>
      </c>
      <c r="BK182" s="16" t="e">
        <f>-BK185+BK188</f>
        <v>#VALUE!</v>
      </c>
      <c r="BL182" s="17" t="e">
        <f>-BK191</f>
        <v>#VALUE!</v>
      </c>
      <c r="BM182" s="18" t="e">
        <f>IF(AND(BQ185&lt;0,BR185&lt;0),BR182*1.2,IF(AND(BQ185&gt;0,BR185&gt;0),BQ182*0.8,10))</f>
        <v>#VALUE!</v>
      </c>
      <c r="BN182" s="18" t="e">
        <f>BM182^3+BK182*BM182+BL182</f>
        <v>#VALUE!</v>
      </c>
      <c r="BO182" s="18" t="e">
        <f>3*BM182^2+BK182</f>
        <v>#VALUE!</v>
      </c>
      <c r="BP182" s="18" t="e">
        <f t="shared" ref="BP182:BP196" si="71">BM182-BN182/BO182</f>
        <v>#VALUE!</v>
      </c>
      <c r="BQ182" s="18" t="e">
        <f>-SQRT(ABS(-4*3*BK182))/6</f>
        <v>#VALUE!</v>
      </c>
      <c r="BR182" s="19" t="e">
        <f>SQRT(ABS(-4*3*BK182))/6</f>
        <v>#VALUE!</v>
      </c>
      <c r="BT182" s="16" t="e">
        <f>-BT185+BT188</f>
        <v>#VALUE!</v>
      </c>
      <c r="BU182" s="17" t="e">
        <f>-BT191</f>
        <v>#VALUE!</v>
      </c>
      <c r="BV182" s="18" t="e">
        <f>IF(AND(BZ185&lt;0,CA185&lt;0),CA182*1.2,IF(AND(BZ185&gt;0,CA185&gt;0),BZ182*0.8,10))</f>
        <v>#VALUE!</v>
      </c>
      <c r="BW182" s="18" t="e">
        <f>BV182^3+BT182*BV182+BU182</f>
        <v>#VALUE!</v>
      </c>
      <c r="BX182" s="18" t="e">
        <f>3*BV182^2+BT182</f>
        <v>#VALUE!</v>
      </c>
      <c r="BY182" s="18" t="e">
        <f t="shared" ref="BY182:BY196" si="72">BV182-BW182/BX182</f>
        <v>#VALUE!</v>
      </c>
      <c r="BZ182" s="18" t="e">
        <f>-SQRT(ABS(-4*3*BT182))/6</f>
        <v>#VALUE!</v>
      </c>
      <c r="CA182" s="19" t="e">
        <f>SQRT(ABS(-4*3*BT182))/6</f>
        <v>#VALUE!</v>
      </c>
    </row>
    <row r="183" spans="36:79" ht="18" hidden="1" customHeight="1" x14ac:dyDescent="0.15">
      <c r="AJ183" s="267"/>
      <c r="AK183" s="268"/>
      <c r="AL183" s="18" t="e">
        <f t="shared" ref="AL183:AL196" si="73">AO182</f>
        <v>#VALUE!</v>
      </c>
      <c r="AM183" s="18" t="e">
        <f>AL183^3+AJ182*AL183+AK182</f>
        <v>#VALUE!</v>
      </c>
      <c r="AN183" s="18" t="e">
        <f>3*AL183^2+AJ182</f>
        <v>#VALUE!</v>
      </c>
      <c r="AO183" s="18" t="e">
        <f t="shared" si="68"/>
        <v>#VALUE!</v>
      </c>
      <c r="AP183" s="6"/>
      <c r="AQ183" s="7"/>
      <c r="AS183" s="267"/>
      <c r="AT183" s="268"/>
      <c r="AU183" s="18" t="e">
        <f t="shared" ref="AU183:AU196" si="74">AX182</f>
        <v>#VALUE!</v>
      </c>
      <c r="AV183" s="18" t="e">
        <f>AU183^3+AS182*AU183+AT182</f>
        <v>#VALUE!</v>
      </c>
      <c r="AW183" s="18" t="e">
        <f>3*AU183^2+AS182</f>
        <v>#VALUE!</v>
      </c>
      <c r="AX183" s="18" t="e">
        <f t="shared" si="69"/>
        <v>#VALUE!</v>
      </c>
      <c r="AY183" s="6"/>
      <c r="AZ183" s="7"/>
      <c r="BB183" s="267"/>
      <c r="BC183" s="268"/>
      <c r="BD183" s="18" t="e">
        <f t="shared" ref="BD183:BD196" si="75">BG182</f>
        <v>#VALUE!</v>
      </c>
      <c r="BE183" s="18" t="e">
        <f>BD183^3+BB182*BD183+BC182</f>
        <v>#VALUE!</v>
      </c>
      <c r="BF183" s="18" t="e">
        <f>3*BD183^2+BB182</f>
        <v>#VALUE!</v>
      </c>
      <c r="BG183" s="18" t="e">
        <f t="shared" si="70"/>
        <v>#VALUE!</v>
      </c>
      <c r="BH183" s="6"/>
      <c r="BI183" s="7"/>
      <c r="BK183" s="267"/>
      <c r="BL183" s="268"/>
      <c r="BM183" s="18" t="e">
        <f t="shared" ref="BM183:BM196" si="76">BP182</f>
        <v>#VALUE!</v>
      </c>
      <c r="BN183" s="18" t="e">
        <f>BM183^3+BK182*BM183+BL182</f>
        <v>#VALUE!</v>
      </c>
      <c r="BO183" s="18" t="e">
        <f>3*BM183^2+BK182</f>
        <v>#VALUE!</v>
      </c>
      <c r="BP183" s="18" t="e">
        <f t="shared" si="71"/>
        <v>#VALUE!</v>
      </c>
      <c r="BQ183" s="6"/>
      <c r="BR183" s="7"/>
      <c r="BT183" s="267"/>
      <c r="BU183" s="268"/>
      <c r="BV183" s="18" t="e">
        <f t="shared" ref="BV183:BV196" si="77">BY182</f>
        <v>#VALUE!</v>
      </c>
      <c r="BW183" s="18" t="e">
        <f>BV183^3+BT182*BV183+BU182</f>
        <v>#VALUE!</v>
      </c>
      <c r="BX183" s="18" t="e">
        <f>3*BV183^2+BT182</f>
        <v>#VALUE!</v>
      </c>
      <c r="BY183" s="18" t="e">
        <f t="shared" si="72"/>
        <v>#VALUE!</v>
      </c>
      <c r="BZ183" s="6"/>
      <c r="CA183" s="7"/>
    </row>
    <row r="184" spans="36:79" ht="18" hidden="1" customHeight="1" x14ac:dyDescent="0.15">
      <c r="AJ184" s="269" t="s">
        <v>240</v>
      </c>
      <c r="AK184" s="270"/>
      <c r="AL184" s="18" t="e">
        <f t="shared" si="73"/>
        <v>#VALUE!</v>
      </c>
      <c r="AM184" s="18" t="e">
        <f>AL184^3+AJ182*AL184+AK182</f>
        <v>#VALUE!</v>
      </c>
      <c r="AN184" s="18" t="e">
        <f>3*AL184^2+AJ182</f>
        <v>#VALUE!</v>
      </c>
      <c r="AO184" s="18" t="e">
        <f t="shared" si="68"/>
        <v>#VALUE!</v>
      </c>
      <c r="AP184" s="14" t="s">
        <v>241</v>
      </c>
      <c r="AQ184" s="15" t="s">
        <v>242</v>
      </c>
      <c r="AS184" s="269" t="s">
        <v>240</v>
      </c>
      <c r="AT184" s="270"/>
      <c r="AU184" s="18" t="e">
        <f t="shared" si="74"/>
        <v>#VALUE!</v>
      </c>
      <c r="AV184" s="18" t="e">
        <f>AU184^3+AS182*AU184+AT182</f>
        <v>#VALUE!</v>
      </c>
      <c r="AW184" s="18" t="e">
        <f>3*AU184^2+AS182</f>
        <v>#VALUE!</v>
      </c>
      <c r="AX184" s="18" t="e">
        <f t="shared" si="69"/>
        <v>#VALUE!</v>
      </c>
      <c r="AY184" s="14" t="s">
        <v>241</v>
      </c>
      <c r="AZ184" s="15" t="s">
        <v>242</v>
      </c>
      <c r="BB184" s="269" t="s">
        <v>240</v>
      </c>
      <c r="BC184" s="270"/>
      <c r="BD184" s="18" t="e">
        <f t="shared" si="75"/>
        <v>#VALUE!</v>
      </c>
      <c r="BE184" s="18" t="e">
        <f>BD184^3+BB182*BD184+BC182</f>
        <v>#VALUE!</v>
      </c>
      <c r="BF184" s="18" t="e">
        <f>3*BD184^2+BB182</f>
        <v>#VALUE!</v>
      </c>
      <c r="BG184" s="18" t="e">
        <f t="shared" si="70"/>
        <v>#VALUE!</v>
      </c>
      <c r="BH184" s="14" t="s">
        <v>241</v>
      </c>
      <c r="BI184" s="15" t="s">
        <v>242</v>
      </c>
      <c r="BK184" s="269" t="s">
        <v>240</v>
      </c>
      <c r="BL184" s="270"/>
      <c r="BM184" s="18" t="e">
        <f t="shared" si="76"/>
        <v>#VALUE!</v>
      </c>
      <c r="BN184" s="18" t="e">
        <f>BM184^3+BK182*BM184+BL182</f>
        <v>#VALUE!</v>
      </c>
      <c r="BO184" s="18" t="e">
        <f>3*BM184^2+BK182</f>
        <v>#VALUE!</v>
      </c>
      <c r="BP184" s="18" t="e">
        <f t="shared" si="71"/>
        <v>#VALUE!</v>
      </c>
      <c r="BQ184" s="14" t="s">
        <v>241</v>
      </c>
      <c r="BR184" s="15" t="s">
        <v>242</v>
      </c>
      <c r="BT184" s="269" t="s">
        <v>240</v>
      </c>
      <c r="BU184" s="270"/>
      <c r="BV184" s="18" t="e">
        <f t="shared" si="77"/>
        <v>#VALUE!</v>
      </c>
      <c r="BW184" s="18" t="e">
        <f>BV184^3+BT182*BV184+BU182</f>
        <v>#VALUE!</v>
      </c>
      <c r="BX184" s="18" t="e">
        <f>3*BV184^2+BT182</f>
        <v>#VALUE!</v>
      </c>
      <c r="BY184" s="18" t="e">
        <f t="shared" si="72"/>
        <v>#VALUE!</v>
      </c>
      <c r="BZ184" s="14" t="s">
        <v>241</v>
      </c>
      <c r="CA184" s="15" t="s">
        <v>242</v>
      </c>
    </row>
    <row r="185" spans="36:79" ht="18" hidden="1" customHeight="1" x14ac:dyDescent="0.15">
      <c r="AJ185" s="269">
        <f>(AL198^2)+3*(AM198^2)*AQ198*(AQ193-15)/(8*10^7)</f>
        <v>0</v>
      </c>
      <c r="AK185" s="270"/>
      <c r="AL185" s="18" t="e">
        <f t="shared" si="73"/>
        <v>#VALUE!</v>
      </c>
      <c r="AM185" s="18" t="e">
        <f>AL185^3+AJ182*AL185+AK182</f>
        <v>#VALUE!</v>
      </c>
      <c r="AN185" s="18" t="e">
        <f>3*AL185^2+AJ182</f>
        <v>#VALUE!</v>
      </c>
      <c r="AO185" s="18" t="e">
        <f t="shared" si="68"/>
        <v>#VALUE!</v>
      </c>
      <c r="AP185" s="18" t="e">
        <f>AP182^3+AJ182*AP182+AK182</f>
        <v>#VALUE!</v>
      </c>
      <c r="AQ185" s="19" t="e">
        <f>AQ182^3+AJ182*AQ182+AK182</f>
        <v>#VALUE!</v>
      </c>
      <c r="AS185" s="269" t="e">
        <f>(AU198^2)+3*(AV198^2)*AZ198*(AZ193-15)/(8*10^7)</f>
        <v>#VALUE!</v>
      </c>
      <c r="AT185" s="270"/>
      <c r="AU185" s="18" t="e">
        <f t="shared" si="74"/>
        <v>#VALUE!</v>
      </c>
      <c r="AV185" s="18" t="e">
        <f>AU185^3+AS182*AU185+AT182</f>
        <v>#VALUE!</v>
      </c>
      <c r="AW185" s="18" t="e">
        <f>3*AU185^2+AS182</f>
        <v>#VALUE!</v>
      </c>
      <c r="AX185" s="18" t="e">
        <f t="shared" si="69"/>
        <v>#VALUE!</v>
      </c>
      <c r="AY185" s="18" t="e">
        <f>AY182^3+AS182*AY182+AT182</f>
        <v>#VALUE!</v>
      </c>
      <c r="AZ185" s="19" t="e">
        <f>AZ182^3+AS182*AZ182+AT182</f>
        <v>#VALUE!</v>
      </c>
      <c r="BB185" s="269" t="e">
        <f>(BD198^2)+3*(BE198^2)*BI198*(BI193-15)/(8*10^7)</f>
        <v>#VALUE!</v>
      </c>
      <c r="BC185" s="270"/>
      <c r="BD185" s="18" t="e">
        <f t="shared" si="75"/>
        <v>#VALUE!</v>
      </c>
      <c r="BE185" s="18" t="e">
        <f>BD185^3+BB182*BD185+BC182</f>
        <v>#VALUE!</v>
      </c>
      <c r="BF185" s="18" t="e">
        <f>3*BD185^2+BB182</f>
        <v>#VALUE!</v>
      </c>
      <c r="BG185" s="18" t="e">
        <f t="shared" si="70"/>
        <v>#VALUE!</v>
      </c>
      <c r="BH185" s="18" t="e">
        <f>BH182^3+BB182*BH182+BC182</f>
        <v>#VALUE!</v>
      </c>
      <c r="BI185" s="19" t="e">
        <f>BI182^3+BB182*BI182+BC182</f>
        <v>#VALUE!</v>
      </c>
      <c r="BK185" s="269" t="e">
        <f>(BM198^2)+3*(BN198^2)*BR198*(BR193-15)/(8*10^7)</f>
        <v>#VALUE!</v>
      </c>
      <c r="BL185" s="270"/>
      <c r="BM185" s="18" t="e">
        <f t="shared" si="76"/>
        <v>#VALUE!</v>
      </c>
      <c r="BN185" s="18" t="e">
        <f>BM185^3+BK182*BM185+BL182</f>
        <v>#VALUE!</v>
      </c>
      <c r="BO185" s="18" t="e">
        <f>3*BM185^2+BK182</f>
        <v>#VALUE!</v>
      </c>
      <c r="BP185" s="18" t="e">
        <f t="shared" si="71"/>
        <v>#VALUE!</v>
      </c>
      <c r="BQ185" s="18" t="e">
        <f>BQ182^3+BK182*BQ182+BL182</f>
        <v>#VALUE!</v>
      </c>
      <c r="BR185" s="19" t="e">
        <f>BR182^3+BK182*BR182+BL182</f>
        <v>#VALUE!</v>
      </c>
      <c r="BT185" s="269" t="e">
        <f>(BV198^2)+3*(BW198^2)*CA198*(CA193-15)/(8*10^7)</f>
        <v>#VALUE!</v>
      </c>
      <c r="BU185" s="270"/>
      <c r="BV185" s="18" t="e">
        <f t="shared" si="77"/>
        <v>#VALUE!</v>
      </c>
      <c r="BW185" s="18" t="e">
        <f>BV185^3+BT182*BV185+BU182</f>
        <v>#VALUE!</v>
      </c>
      <c r="BX185" s="18" t="e">
        <f>3*BV185^2+BT182</f>
        <v>#VALUE!</v>
      </c>
      <c r="BY185" s="18" t="e">
        <f t="shared" si="72"/>
        <v>#VALUE!</v>
      </c>
      <c r="BZ185" s="18" t="e">
        <f>BZ182^3+BT182*BZ182+BU182</f>
        <v>#VALUE!</v>
      </c>
      <c r="CA185" s="19" t="e">
        <f>CA182^3+BT182*CA182+BU182</f>
        <v>#VALUE!</v>
      </c>
    </row>
    <row r="186" spans="36:79" ht="18" hidden="1" customHeight="1" x14ac:dyDescent="0.15">
      <c r="AJ186" s="267"/>
      <c r="AK186" s="268"/>
      <c r="AL186" s="18" t="e">
        <f t="shared" si="73"/>
        <v>#VALUE!</v>
      </c>
      <c r="AM186" s="18" t="e">
        <f>AL186^3+AJ182*AL186+AK182</f>
        <v>#VALUE!</v>
      </c>
      <c r="AN186" s="18" t="e">
        <f>3*AL186^2+AJ182</f>
        <v>#VALUE!</v>
      </c>
      <c r="AO186" s="18" t="e">
        <f t="shared" si="68"/>
        <v>#VALUE!</v>
      </c>
      <c r="AP186" s="31"/>
      <c r="AQ186" s="32"/>
      <c r="AS186" s="267"/>
      <c r="AT186" s="268"/>
      <c r="AU186" s="18" t="e">
        <f t="shared" si="74"/>
        <v>#VALUE!</v>
      </c>
      <c r="AV186" s="18" t="e">
        <f>AU186^3+AS182*AU186+AT182</f>
        <v>#VALUE!</v>
      </c>
      <c r="AW186" s="18" t="e">
        <f>3*AU186^2+AS182</f>
        <v>#VALUE!</v>
      </c>
      <c r="AX186" s="18" t="e">
        <f t="shared" si="69"/>
        <v>#VALUE!</v>
      </c>
      <c r="AY186" s="31"/>
      <c r="AZ186" s="32"/>
      <c r="BB186" s="267"/>
      <c r="BC186" s="268"/>
      <c r="BD186" s="18" t="e">
        <f t="shared" si="75"/>
        <v>#VALUE!</v>
      </c>
      <c r="BE186" s="18" t="e">
        <f>BD186^3+BB182*BD186+BC182</f>
        <v>#VALUE!</v>
      </c>
      <c r="BF186" s="18" t="e">
        <f>3*BD186^2+BB182</f>
        <v>#VALUE!</v>
      </c>
      <c r="BG186" s="18" t="e">
        <f t="shared" si="70"/>
        <v>#VALUE!</v>
      </c>
      <c r="BH186" s="31"/>
      <c r="BI186" s="32"/>
      <c r="BK186" s="267"/>
      <c r="BL186" s="268"/>
      <c r="BM186" s="18" t="e">
        <f t="shared" si="76"/>
        <v>#VALUE!</v>
      </c>
      <c r="BN186" s="18" t="e">
        <f>BM186^3+BK182*BM186+BL182</f>
        <v>#VALUE!</v>
      </c>
      <c r="BO186" s="18" t="e">
        <f>3*BM186^2+BK182</f>
        <v>#VALUE!</v>
      </c>
      <c r="BP186" s="18" t="e">
        <f t="shared" si="71"/>
        <v>#VALUE!</v>
      </c>
      <c r="BQ186" s="31"/>
      <c r="BR186" s="32"/>
      <c r="BT186" s="267"/>
      <c r="BU186" s="268"/>
      <c r="BV186" s="18" t="e">
        <f t="shared" si="77"/>
        <v>#VALUE!</v>
      </c>
      <c r="BW186" s="18" t="e">
        <f>BV186^3+BT182*BV186+BU182</f>
        <v>#VALUE!</v>
      </c>
      <c r="BX186" s="18" t="e">
        <f>3*BV186^2+BT182</f>
        <v>#VALUE!</v>
      </c>
      <c r="BY186" s="18" t="e">
        <f t="shared" si="72"/>
        <v>#VALUE!</v>
      </c>
      <c r="BZ186" s="31"/>
      <c r="CA186" s="32"/>
    </row>
    <row r="187" spans="36:79" ht="18" hidden="1" customHeight="1" x14ac:dyDescent="0.15">
      <c r="AJ187" s="269" t="s">
        <v>243</v>
      </c>
      <c r="AK187" s="270"/>
      <c r="AL187" s="18" t="e">
        <f t="shared" si="73"/>
        <v>#VALUE!</v>
      </c>
      <c r="AM187" s="18" t="e">
        <f>AL187^3+AJ182*AL187+AK182</f>
        <v>#VALUE!</v>
      </c>
      <c r="AN187" s="18" t="e">
        <f>3*AL187^2+AJ182</f>
        <v>#VALUE!</v>
      </c>
      <c r="AO187" s="18" t="e">
        <f t="shared" si="68"/>
        <v>#VALUE!</v>
      </c>
      <c r="AP187" s="31"/>
      <c r="AQ187" s="32"/>
      <c r="AS187" s="269" t="s">
        <v>243</v>
      </c>
      <c r="AT187" s="270"/>
      <c r="AU187" s="18" t="e">
        <f t="shared" si="74"/>
        <v>#VALUE!</v>
      </c>
      <c r="AV187" s="18" t="e">
        <f>AU187^3+AS182*AU187+AT182</f>
        <v>#VALUE!</v>
      </c>
      <c r="AW187" s="18" t="e">
        <f>3*AU187^2+AS182</f>
        <v>#VALUE!</v>
      </c>
      <c r="AX187" s="18" t="e">
        <f t="shared" si="69"/>
        <v>#VALUE!</v>
      </c>
      <c r="AY187" s="31"/>
      <c r="AZ187" s="32"/>
      <c r="BB187" s="269" t="s">
        <v>243</v>
      </c>
      <c r="BC187" s="270"/>
      <c r="BD187" s="18" t="e">
        <f t="shared" si="75"/>
        <v>#VALUE!</v>
      </c>
      <c r="BE187" s="18" t="e">
        <f>BD187^3+BB182*BD187+BC182</f>
        <v>#VALUE!</v>
      </c>
      <c r="BF187" s="18" t="e">
        <f>3*BD187^2+BB182</f>
        <v>#VALUE!</v>
      </c>
      <c r="BG187" s="18" t="e">
        <f t="shared" si="70"/>
        <v>#VALUE!</v>
      </c>
      <c r="BH187" s="31"/>
      <c r="BI187" s="32"/>
      <c r="BK187" s="269" t="s">
        <v>243</v>
      </c>
      <c r="BL187" s="270"/>
      <c r="BM187" s="18" t="e">
        <f t="shared" si="76"/>
        <v>#VALUE!</v>
      </c>
      <c r="BN187" s="18" t="e">
        <f>BM187^3+BK182*BM187+BL182</f>
        <v>#VALUE!</v>
      </c>
      <c r="BO187" s="18" t="e">
        <f>3*BM187^2+BK182</f>
        <v>#VALUE!</v>
      </c>
      <c r="BP187" s="18" t="e">
        <f t="shared" si="71"/>
        <v>#VALUE!</v>
      </c>
      <c r="BQ187" s="31"/>
      <c r="BR187" s="32"/>
      <c r="BT187" s="269" t="s">
        <v>243</v>
      </c>
      <c r="BU187" s="270"/>
      <c r="BV187" s="18" t="e">
        <f t="shared" si="77"/>
        <v>#VALUE!</v>
      </c>
      <c r="BW187" s="18" t="e">
        <f>BV187^3+BT182*BV187+BU182</f>
        <v>#VALUE!</v>
      </c>
      <c r="BX187" s="18" t="e">
        <f>3*BV187^2+BT182</f>
        <v>#VALUE!</v>
      </c>
      <c r="BY187" s="18" t="e">
        <f t="shared" si="72"/>
        <v>#VALUE!</v>
      </c>
      <c r="BZ187" s="31"/>
      <c r="CA187" s="32"/>
    </row>
    <row r="188" spans="36:79" ht="18" hidden="1" customHeight="1" x14ac:dyDescent="0.15">
      <c r="AJ188" s="277" t="e">
        <f>3*(AM198^2)*AN198/(8*AO198*AP198)</f>
        <v>#VALUE!</v>
      </c>
      <c r="AK188" s="278"/>
      <c r="AL188" s="118" t="e">
        <f t="shared" si="73"/>
        <v>#VALUE!</v>
      </c>
      <c r="AM188" s="118" t="e">
        <f>AL188^3+AJ182*AL188+AK182</f>
        <v>#VALUE!</v>
      </c>
      <c r="AN188" s="118" t="e">
        <f>3*AL188^2+AJ182</f>
        <v>#VALUE!</v>
      </c>
      <c r="AO188" s="118" t="e">
        <f t="shared" si="68"/>
        <v>#VALUE!</v>
      </c>
      <c r="AP188" s="116"/>
      <c r="AQ188" s="117"/>
      <c r="AS188" s="277" t="e">
        <f>3*(AV198^2)*AW198/(8*AX198*AY198)</f>
        <v>#VALUE!</v>
      </c>
      <c r="AT188" s="278"/>
      <c r="AU188" s="118" t="e">
        <f t="shared" si="74"/>
        <v>#VALUE!</v>
      </c>
      <c r="AV188" s="118" t="e">
        <f>AU188^3+AS182*AU188+AT182</f>
        <v>#VALUE!</v>
      </c>
      <c r="AW188" s="118" t="e">
        <f>3*AU188^2+AS182</f>
        <v>#VALUE!</v>
      </c>
      <c r="AX188" s="118" t="e">
        <f t="shared" si="69"/>
        <v>#VALUE!</v>
      </c>
      <c r="AY188" s="116"/>
      <c r="AZ188" s="117"/>
      <c r="BB188" s="277" t="e">
        <f>3*(BE198^2)*BF198/(8*BG198*BH198)</f>
        <v>#VALUE!</v>
      </c>
      <c r="BC188" s="278"/>
      <c r="BD188" s="118" t="e">
        <f t="shared" si="75"/>
        <v>#VALUE!</v>
      </c>
      <c r="BE188" s="118" t="e">
        <f>BD188^3+BB182*BD188+BC182</f>
        <v>#VALUE!</v>
      </c>
      <c r="BF188" s="118" t="e">
        <f>3*BD188^2+BB182</f>
        <v>#VALUE!</v>
      </c>
      <c r="BG188" s="118" t="e">
        <f t="shared" si="70"/>
        <v>#VALUE!</v>
      </c>
      <c r="BH188" s="116"/>
      <c r="BI188" s="117"/>
      <c r="BK188" s="277" t="e">
        <f>3*(BN198^2)*BO198/(8*BP198*BQ198)</f>
        <v>#VALUE!</v>
      </c>
      <c r="BL188" s="278"/>
      <c r="BM188" s="118" t="e">
        <f t="shared" si="76"/>
        <v>#VALUE!</v>
      </c>
      <c r="BN188" s="118" t="e">
        <f>BM188^3+BK182*BM188+BL182</f>
        <v>#VALUE!</v>
      </c>
      <c r="BO188" s="118" t="e">
        <f>3*BM188^2+BK182</f>
        <v>#VALUE!</v>
      </c>
      <c r="BP188" s="118" t="e">
        <f t="shared" si="71"/>
        <v>#VALUE!</v>
      </c>
      <c r="BQ188" s="116"/>
      <c r="BR188" s="117"/>
      <c r="BT188" s="277" t="e">
        <f>3*(BW198^2)*BX198/(8*BY198*BZ198)</f>
        <v>#VALUE!</v>
      </c>
      <c r="BU188" s="278"/>
      <c r="BV188" s="118" t="e">
        <f t="shared" si="77"/>
        <v>#VALUE!</v>
      </c>
      <c r="BW188" s="118" t="e">
        <f>BV188^3+BT182*BV188+BU182</f>
        <v>#VALUE!</v>
      </c>
      <c r="BX188" s="118" t="e">
        <f>3*BV188^2+BT182</f>
        <v>#VALUE!</v>
      </c>
      <c r="BY188" s="118" t="e">
        <f t="shared" si="72"/>
        <v>#VALUE!</v>
      </c>
      <c r="BZ188" s="116"/>
      <c r="CA188" s="117"/>
    </row>
    <row r="189" spans="36:79" ht="18" hidden="1" customHeight="1" x14ac:dyDescent="0.15">
      <c r="AJ189" s="121"/>
      <c r="AK189" s="122"/>
      <c r="AL189" s="118" t="e">
        <f t="shared" si="73"/>
        <v>#VALUE!</v>
      </c>
      <c r="AM189" s="118" t="e">
        <f>AL189^3+AJ182*AL189+AK182</f>
        <v>#VALUE!</v>
      </c>
      <c r="AN189" s="118" t="e">
        <f>3*AL189^2+AJ182</f>
        <v>#VALUE!</v>
      </c>
      <c r="AO189" s="118" t="e">
        <f t="shared" si="68"/>
        <v>#VALUE!</v>
      </c>
      <c r="AP189" s="119"/>
      <c r="AQ189" s="120"/>
      <c r="AS189" s="121"/>
      <c r="AT189" s="122"/>
      <c r="AU189" s="118" t="e">
        <f t="shared" si="74"/>
        <v>#VALUE!</v>
      </c>
      <c r="AV189" s="118" t="e">
        <f>AU189^3+AS182*AU189+AT182</f>
        <v>#VALUE!</v>
      </c>
      <c r="AW189" s="118" t="e">
        <f>3*AU189^2+AS182</f>
        <v>#VALUE!</v>
      </c>
      <c r="AX189" s="118" t="e">
        <f t="shared" si="69"/>
        <v>#VALUE!</v>
      </c>
      <c r="AY189" s="119"/>
      <c r="AZ189" s="120"/>
      <c r="BB189" s="121"/>
      <c r="BC189" s="122"/>
      <c r="BD189" s="118" t="e">
        <f t="shared" si="75"/>
        <v>#VALUE!</v>
      </c>
      <c r="BE189" s="118" t="e">
        <f>BD189^3+BB182*BD189+BC182</f>
        <v>#VALUE!</v>
      </c>
      <c r="BF189" s="118" t="e">
        <f>3*BD189^2+BB182</f>
        <v>#VALUE!</v>
      </c>
      <c r="BG189" s="118" t="e">
        <f t="shared" si="70"/>
        <v>#VALUE!</v>
      </c>
      <c r="BH189" s="119"/>
      <c r="BI189" s="120"/>
      <c r="BK189" s="121"/>
      <c r="BL189" s="122"/>
      <c r="BM189" s="118" t="e">
        <f t="shared" si="76"/>
        <v>#VALUE!</v>
      </c>
      <c r="BN189" s="118" t="e">
        <f>BM189^3+BK182*BM189+BL182</f>
        <v>#VALUE!</v>
      </c>
      <c r="BO189" s="118" t="e">
        <f>3*BM189^2+BK182</f>
        <v>#VALUE!</v>
      </c>
      <c r="BP189" s="118" t="e">
        <f t="shared" si="71"/>
        <v>#VALUE!</v>
      </c>
      <c r="BQ189" s="119"/>
      <c r="BR189" s="120"/>
      <c r="BT189" s="121"/>
      <c r="BU189" s="122"/>
      <c r="BV189" s="118" t="e">
        <f t="shared" si="77"/>
        <v>#VALUE!</v>
      </c>
      <c r="BW189" s="118" t="e">
        <f>BV189^3+BT182*BV189+BU182</f>
        <v>#VALUE!</v>
      </c>
      <c r="BX189" s="118" t="e">
        <f>3*BV189^2+BT182</f>
        <v>#VALUE!</v>
      </c>
      <c r="BY189" s="118" t="e">
        <f t="shared" si="72"/>
        <v>#VALUE!</v>
      </c>
      <c r="BZ189" s="119"/>
      <c r="CA189" s="120"/>
    </row>
    <row r="190" spans="36:79" ht="18" hidden="1" customHeight="1" x14ac:dyDescent="0.15">
      <c r="AJ190" s="269" t="s">
        <v>244</v>
      </c>
      <c r="AK190" s="270"/>
      <c r="AL190" s="118" t="e">
        <f t="shared" si="73"/>
        <v>#VALUE!</v>
      </c>
      <c r="AM190" s="118" t="e">
        <f>AL190^3+AJ182*AL190+AK182</f>
        <v>#VALUE!</v>
      </c>
      <c r="AN190" s="118" t="e">
        <f>3*AL190^2+AJ182</f>
        <v>#VALUE!</v>
      </c>
      <c r="AO190" s="118" t="e">
        <f t="shared" si="68"/>
        <v>#VALUE!</v>
      </c>
      <c r="AP190" s="14" t="s">
        <v>245</v>
      </c>
      <c r="AQ190" s="123" t="e">
        <f>AO196</f>
        <v>#VALUE!</v>
      </c>
      <c r="AS190" s="269" t="s">
        <v>244</v>
      </c>
      <c r="AT190" s="270"/>
      <c r="AU190" s="118" t="e">
        <f t="shared" si="74"/>
        <v>#VALUE!</v>
      </c>
      <c r="AV190" s="118" t="e">
        <f>AU190^3+AS182*AU190+AT182</f>
        <v>#VALUE!</v>
      </c>
      <c r="AW190" s="118" t="e">
        <f>3*AU190^2+AS182</f>
        <v>#VALUE!</v>
      </c>
      <c r="AX190" s="118" t="e">
        <f t="shared" si="69"/>
        <v>#VALUE!</v>
      </c>
      <c r="AY190" s="14" t="s">
        <v>245</v>
      </c>
      <c r="AZ190" s="123" t="e">
        <f>AX196</f>
        <v>#VALUE!</v>
      </c>
      <c r="BB190" s="269" t="s">
        <v>244</v>
      </c>
      <c r="BC190" s="270"/>
      <c r="BD190" s="118" t="e">
        <f t="shared" si="75"/>
        <v>#VALUE!</v>
      </c>
      <c r="BE190" s="118" t="e">
        <f>BD190^3+BB182*BD190+BC182</f>
        <v>#VALUE!</v>
      </c>
      <c r="BF190" s="118" t="e">
        <f>3*BD190^2+BB182</f>
        <v>#VALUE!</v>
      </c>
      <c r="BG190" s="118" t="e">
        <f t="shared" si="70"/>
        <v>#VALUE!</v>
      </c>
      <c r="BH190" s="14" t="s">
        <v>245</v>
      </c>
      <c r="BI190" s="123" t="e">
        <f>BG196</f>
        <v>#VALUE!</v>
      </c>
      <c r="BK190" s="269" t="s">
        <v>244</v>
      </c>
      <c r="BL190" s="270"/>
      <c r="BM190" s="118" t="e">
        <f t="shared" si="76"/>
        <v>#VALUE!</v>
      </c>
      <c r="BN190" s="118" t="e">
        <f>BM190^3+BK182*BM190+BL182</f>
        <v>#VALUE!</v>
      </c>
      <c r="BO190" s="118" t="e">
        <f>3*BM190^2+BK182</f>
        <v>#VALUE!</v>
      </c>
      <c r="BP190" s="118" t="e">
        <f t="shared" si="71"/>
        <v>#VALUE!</v>
      </c>
      <c r="BQ190" s="14" t="s">
        <v>245</v>
      </c>
      <c r="BR190" s="123" t="e">
        <f>BP196</f>
        <v>#VALUE!</v>
      </c>
      <c r="BT190" s="269" t="s">
        <v>244</v>
      </c>
      <c r="BU190" s="270"/>
      <c r="BV190" s="118" t="e">
        <f t="shared" si="77"/>
        <v>#VALUE!</v>
      </c>
      <c r="BW190" s="118" t="e">
        <f>BV190^3+BT182*BV190+BU182</f>
        <v>#VALUE!</v>
      </c>
      <c r="BX190" s="118" t="e">
        <f>3*BV190^2+BT182</f>
        <v>#VALUE!</v>
      </c>
      <c r="BY190" s="118" t="e">
        <f t="shared" si="72"/>
        <v>#VALUE!</v>
      </c>
      <c r="BZ190" s="14" t="s">
        <v>245</v>
      </c>
      <c r="CA190" s="123" t="e">
        <f>BY196</f>
        <v>#VALUE!</v>
      </c>
    </row>
    <row r="191" spans="36:79" ht="18" hidden="1" customHeight="1" x14ac:dyDescent="0.15">
      <c r="AJ191" s="271" t="e">
        <f>AJ188*AL198*AK198/AK198</f>
        <v>#VALUE!</v>
      </c>
      <c r="AK191" s="272"/>
      <c r="AL191" s="118" t="e">
        <f t="shared" si="73"/>
        <v>#VALUE!</v>
      </c>
      <c r="AM191" s="118" t="e">
        <f>AL191^3+AJ182*AL191+AK182</f>
        <v>#VALUE!</v>
      </c>
      <c r="AN191" s="118" t="e">
        <f>3*AL191^2+AJ182</f>
        <v>#VALUE!</v>
      </c>
      <c r="AO191" s="118" t="e">
        <f t="shared" si="68"/>
        <v>#VALUE!</v>
      </c>
      <c r="AP191" s="14" t="s">
        <v>246</v>
      </c>
      <c r="AQ191" s="124" t="e">
        <f>AK198*AM198^2/(8*AO196)</f>
        <v>#VALUE!</v>
      </c>
      <c r="AS191" s="271" t="e">
        <f>AS188*AU198*AT198/AT198</f>
        <v>#VALUE!</v>
      </c>
      <c r="AT191" s="272"/>
      <c r="AU191" s="118" t="e">
        <f t="shared" si="74"/>
        <v>#VALUE!</v>
      </c>
      <c r="AV191" s="118" t="e">
        <f>AU191^3+AS182*AU191+AT182</f>
        <v>#VALUE!</v>
      </c>
      <c r="AW191" s="118" t="e">
        <f>3*AU191^2+AS182</f>
        <v>#VALUE!</v>
      </c>
      <c r="AX191" s="118" t="e">
        <f t="shared" si="69"/>
        <v>#VALUE!</v>
      </c>
      <c r="AY191" s="14" t="s">
        <v>246</v>
      </c>
      <c r="AZ191" s="124" t="e">
        <f>AT198*AV198^2/(8*AX196)</f>
        <v>#VALUE!</v>
      </c>
      <c r="BB191" s="271" t="e">
        <f>BB188*BD198*BC198/BC198</f>
        <v>#VALUE!</v>
      </c>
      <c r="BC191" s="272"/>
      <c r="BD191" s="118" t="e">
        <f t="shared" si="75"/>
        <v>#VALUE!</v>
      </c>
      <c r="BE191" s="118" t="e">
        <f>BD191^3+BB182*BD191+BC182</f>
        <v>#VALUE!</v>
      </c>
      <c r="BF191" s="118" t="e">
        <f>3*BD191^2+BB182</f>
        <v>#VALUE!</v>
      </c>
      <c r="BG191" s="118" t="e">
        <f t="shared" si="70"/>
        <v>#VALUE!</v>
      </c>
      <c r="BH191" s="14" t="s">
        <v>246</v>
      </c>
      <c r="BI191" s="124" t="e">
        <f>BC198*BE198^2/(8*BG196)</f>
        <v>#VALUE!</v>
      </c>
      <c r="BK191" s="271" t="e">
        <f>BK188*BM198*BL198/BL198</f>
        <v>#VALUE!</v>
      </c>
      <c r="BL191" s="272"/>
      <c r="BM191" s="118" t="e">
        <f t="shared" si="76"/>
        <v>#VALUE!</v>
      </c>
      <c r="BN191" s="118" t="e">
        <f>BM191^3+BK182*BM191+BL182</f>
        <v>#VALUE!</v>
      </c>
      <c r="BO191" s="118" t="e">
        <f>3*BM191^2+BK182</f>
        <v>#VALUE!</v>
      </c>
      <c r="BP191" s="118" t="e">
        <f t="shared" si="71"/>
        <v>#VALUE!</v>
      </c>
      <c r="BQ191" s="14" t="s">
        <v>246</v>
      </c>
      <c r="BR191" s="124" t="e">
        <f>BL198*BN198^2/(8*BP196)</f>
        <v>#VALUE!</v>
      </c>
      <c r="BT191" s="271" t="e">
        <f>BT188*BV198*BU198/BU198</f>
        <v>#VALUE!</v>
      </c>
      <c r="BU191" s="272"/>
      <c r="BV191" s="118" t="e">
        <f t="shared" si="77"/>
        <v>#VALUE!</v>
      </c>
      <c r="BW191" s="118" t="e">
        <f>BV191^3+BT182*BV191+BU182</f>
        <v>#VALUE!</v>
      </c>
      <c r="BX191" s="118" t="e">
        <f>3*BV191^2+BT182</f>
        <v>#VALUE!</v>
      </c>
      <c r="BY191" s="118" t="e">
        <f t="shared" si="72"/>
        <v>#VALUE!</v>
      </c>
      <c r="BZ191" s="14" t="s">
        <v>246</v>
      </c>
      <c r="CA191" s="124" t="e">
        <f>BU198*BW198^2/(8*BY196)</f>
        <v>#VALUE!</v>
      </c>
    </row>
    <row r="192" spans="36:79" ht="18" hidden="1" customHeight="1" x14ac:dyDescent="0.15">
      <c r="AJ192" s="125"/>
      <c r="AK192" s="126"/>
      <c r="AL192" s="118" t="e">
        <f t="shared" si="73"/>
        <v>#VALUE!</v>
      </c>
      <c r="AM192" s="118" t="e">
        <f>AL192^3+AJ182*AL192+AK182</f>
        <v>#VALUE!</v>
      </c>
      <c r="AN192" s="118" t="e">
        <f>3*AL192^2+AJ182</f>
        <v>#VALUE!</v>
      </c>
      <c r="AO192" s="118" t="e">
        <f t="shared" si="68"/>
        <v>#VALUE!</v>
      </c>
      <c r="AP192" s="116"/>
      <c r="AQ192" s="117"/>
      <c r="AS192" s="125"/>
      <c r="AT192" s="126"/>
      <c r="AU192" s="118" t="e">
        <f t="shared" si="74"/>
        <v>#VALUE!</v>
      </c>
      <c r="AV192" s="118" t="e">
        <f>AU192^3+AS182*AU192+AT182</f>
        <v>#VALUE!</v>
      </c>
      <c r="AW192" s="118" t="e">
        <f>3*AU192^2+AS182</f>
        <v>#VALUE!</v>
      </c>
      <c r="AX192" s="118" t="e">
        <f t="shared" si="69"/>
        <v>#VALUE!</v>
      </c>
      <c r="AY192" s="116"/>
      <c r="AZ192" s="117"/>
      <c r="BB192" s="125"/>
      <c r="BC192" s="126"/>
      <c r="BD192" s="118" t="e">
        <f t="shared" si="75"/>
        <v>#VALUE!</v>
      </c>
      <c r="BE192" s="118" t="e">
        <f>BD192^3+BB182*BD192+BC182</f>
        <v>#VALUE!</v>
      </c>
      <c r="BF192" s="118" t="e">
        <f>3*BD192^2+BB182</f>
        <v>#VALUE!</v>
      </c>
      <c r="BG192" s="118" t="e">
        <f t="shared" si="70"/>
        <v>#VALUE!</v>
      </c>
      <c r="BH192" s="116"/>
      <c r="BI192" s="117"/>
      <c r="BK192" s="125"/>
      <c r="BL192" s="126"/>
      <c r="BM192" s="118" t="e">
        <f t="shared" si="76"/>
        <v>#VALUE!</v>
      </c>
      <c r="BN192" s="118" t="e">
        <f>BM192^3+BK182*BM192+BL182</f>
        <v>#VALUE!</v>
      </c>
      <c r="BO192" s="118" t="e">
        <f>3*BM192^2+BK182</f>
        <v>#VALUE!</v>
      </c>
      <c r="BP192" s="118" t="e">
        <f t="shared" si="71"/>
        <v>#VALUE!</v>
      </c>
      <c r="BQ192" s="116"/>
      <c r="BR192" s="117"/>
      <c r="BT192" s="125"/>
      <c r="BU192" s="126"/>
      <c r="BV192" s="118" t="e">
        <f t="shared" si="77"/>
        <v>#VALUE!</v>
      </c>
      <c r="BW192" s="118" t="e">
        <f>BV192^3+BT182*BV192+BU182</f>
        <v>#VALUE!</v>
      </c>
      <c r="BX192" s="118" t="e">
        <f>3*BV192^2+BT182</f>
        <v>#VALUE!</v>
      </c>
      <c r="BY192" s="118" t="e">
        <f t="shared" si="72"/>
        <v>#VALUE!</v>
      </c>
      <c r="BZ192" s="116"/>
      <c r="CA192" s="117"/>
    </row>
    <row r="193" spans="36:79" ht="18" hidden="1" customHeight="1" x14ac:dyDescent="0.15">
      <c r="AJ193" s="125"/>
      <c r="AK193" s="126"/>
      <c r="AL193" s="118" t="e">
        <f t="shared" si="73"/>
        <v>#VALUE!</v>
      </c>
      <c r="AM193" s="118" t="e">
        <f>AL193^3+AJ182*AL193+AK182</f>
        <v>#VALUE!</v>
      </c>
      <c r="AN193" s="118" t="e">
        <f>3*AL193^2+AJ182</f>
        <v>#VALUE!</v>
      </c>
      <c r="AO193" s="118" t="e">
        <f t="shared" si="68"/>
        <v>#VALUE!</v>
      </c>
      <c r="AP193" s="112" t="s">
        <v>147</v>
      </c>
      <c r="AQ193" s="113">
        <v>60</v>
      </c>
      <c r="AS193" s="125"/>
      <c r="AT193" s="126"/>
      <c r="AU193" s="118" t="e">
        <f t="shared" si="74"/>
        <v>#VALUE!</v>
      </c>
      <c r="AV193" s="118" t="e">
        <f>AU193^3+AS182*AU193+AT182</f>
        <v>#VALUE!</v>
      </c>
      <c r="AW193" s="118" t="e">
        <f>3*AU193^2+AS182</f>
        <v>#VALUE!</v>
      </c>
      <c r="AX193" s="118" t="e">
        <f t="shared" si="69"/>
        <v>#VALUE!</v>
      </c>
      <c r="AY193" s="112" t="s">
        <v>147</v>
      </c>
      <c r="AZ193" s="113">
        <v>60</v>
      </c>
      <c r="BB193" s="125"/>
      <c r="BC193" s="126"/>
      <c r="BD193" s="118" t="e">
        <f t="shared" si="75"/>
        <v>#VALUE!</v>
      </c>
      <c r="BE193" s="118" t="e">
        <f>BD193^3+BB182*BD193+BC182</f>
        <v>#VALUE!</v>
      </c>
      <c r="BF193" s="118" t="e">
        <f>3*BD193^2+BB182</f>
        <v>#VALUE!</v>
      </c>
      <c r="BG193" s="118" t="e">
        <f t="shared" si="70"/>
        <v>#VALUE!</v>
      </c>
      <c r="BH193" s="112" t="s">
        <v>147</v>
      </c>
      <c r="BI193" s="113">
        <v>60</v>
      </c>
      <c r="BK193" s="125"/>
      <c r="BL193" s="126"/>
      <c r="BM193" s="118" t="e">
        <f t="shared" si="76"/>
        <v>#VALUE!</v>
      </c>
      <c r="BN193" s="118" t="e">
        <f>BM193^3+BK182*BM193+BL182</f>
        <v>#VALUE!</v>
      </c>
      <c r="BO193" s="118" t="e">
        <f>3*BM193^2+BK182</f>
        <v>#VALUE!</v>
      </c>
      <c r="BP193" s="118" t="e">
        <f t="shared" si="71"/>
        <v>#VALUE!</v>
      </c>
      <c r="BQ193" s="112" t="s">
        <v>147</v>
      </c>
      <c r="BR193" s="113">
        <v>60</v>
      </c>
      <c r="BT193" s="125"/>
      <c r="BU193" s="126"/>
      <c r="BV193" s="118" t="e">
        <f t="shared" si="77"/>
        <v>#VALUE!</v>
      </c>
      <c r="BW193" s="118" t="e">
        <f>BV193^3+BT182*BV193+BU182</f>
        <v>#VALUE!</v>
      </c>
      <c r="BX193" s="118" t="e">
        <f>3*BV193^2+BT182</f>
        <v>#VALUE!</v>
      </c>
      <c r="BY193" s="118" t="e">
        <f t="shared" si="72"/>
        <v>#VALUE!</v>
      </c>
      <c r="BZ193" s="112" t="s">
        <v>147</v>
      </c>
      <c r="CA193" s="113">
        <v>60</v>
      </c>
    </row>
    <row r="194" spans="36:79" ht="18" hidden="1" customHeight="1" x14ac:dyDescent="0.15">
      <c r="AJ194" s="125"/>
      <c r="AK194" s="126"/>
      <c r="AL194" s="118" t="e">
        <f t="shared" si="73"/>
        <v>#VALUE!</v>
      </c>
      <c r="AM194" s="118" t="e">
        <f>AL194^3+AJ182*AL194+AK182</f>
        <v>#VALUE!</v>
      </c>
      <c r="AN194" s="118" t="e">
        <f>3*AL194^2+AJ182</f>
        <v>#VALUE!</v>
      </c>
      <c r="AO194" s="118" t="e">
        <f t="shared" si="68"/>
        <v>#VALUE!</v>
      </c>
      <c r="AP194" s="128" t="s">
        <v>218</v>
      </c>
      <c r="AQ194" s="32"/>
      <c r="AS194" s="125"/>
      <c r="AT194" s="126"/>
      <c r="AU194" s="118" t="e">
        <f t="shared" si="74"/>
        <v>#VALUE!</v>
      </c>
      <c r="AV194" s="118" t="e">
        <f>AU194^3+AS182*AU194+AT182</f>
        <v>#VALUE!</v>
      </c>
      <c r="AW194" s="118" t="e">
        <f>3*AU194^2+AS182</f>
        <v>#VALUE!</v>
      </c>
      <c r="AX194" s="118" t="e">
        <f t="shared" si="69"/>
        <v>#VALUE!</v>
      </c>
      <c r="AY194" s="128" t="s">
        <v>219</v>
      </c>
      <c r="AZ194" s="32"/>
      <c r="BB194" s="125"/>
      <c r="BC194" s="126"/>
      <c r="BD194" s="118" t="e">
        <f t="shared" si="75"/>
        <v>#VALUE!</v>
      </c>
      <c r="BE194" s="118" t="e">
        <f>BD194^3+BB182*BD194+BC182</f>
        <v>#VALUE!</v>
      </c>
      <c r="BF194" s="118" t="e">
        <f>3*BD194^2+BB182</f>
        <v>#VALUE!</v>
      </c>
      <c r="BG194" s="118" t="e">
        <f t="shared" si="70"/>
        <v>#VALUE!</v>
      </c>
      <c r="BH194" s="128" t="s">
        <v>220</v>
      </c>
      <c r="BI194" s="32"/>
      <c r="BK194" s="125"/>
      <c r="BL194" s="126"/>
      <c r="BM194" s="118" t="e">
        <f t="shared" si="76"/>
        <v>#VALUE!</v>
      </c>
      <c r="BN194" s="118" t="e">
        <f>BM194^3+BK182*BM194+BL182</f>
        <v>#VALUE!</v>
      </c>
      <c r="BO194" s="118" t="e">
        <f>3*BM194^2+BK182</f>
        <v>#VALUE!</v>
      </c>
      <c r="BP194" s="118" t="e">
        <f t="shared" si="71"/>
        <v>#VALUE!</v>
      </c>
      <c r="BQ194" s="128" t="s">
        <v>221</v>
      </c>
      <c r="BR194" s="32"/>
      <c r="BT194" s="125"/>
      <c r="BU194" s="126"/>
      <c r="BV194" s="118" t="e">
        <f t="shared" si="77"/>
        <v>#VALUE!</v>
      </c>
      <c r="BW194" s="118" t="e">
        <f>BV194^3+BT182*BV194+BU182</f>
        <v>#VALUE!</v>
      </c>
      <c r="BX194" s="118" t="e">
        <f>3*BV194^2+BT182</f>
        <v>#VALUE!</v>
      </c>
      <c r="BY194" s="118" t="e">
        <f t="shared" si="72"/>
        <v>#VALUE!</v>
      </c>
      <c r="BZ194" s="128" t="s">
        <v>222</v>
      </c>
      <c r="CA194" s="32"/>
    </row>
    <row r="195" spans="36:79" ht="18" hidden="1" customHeight="1" x14ac:dyDescent="0.15">
      <c r="AJ195" s="125"/>
      <c r="AK195" s="126"/>
      <c r="AL195" s="18" t="e">
        <f t="shared" si="73"/>
        <v>#VALUE!</v>
      </c>
      <c r="AM195" s="18" t="e">
        <f>AL195^3+AJ182*AL195+AK182</f>
        <v>#VALUE!</v>
      </c>
      <c r="AN195" s="18" t="e">
        <f>3*AL195^2+AJ182</f>
        <v>#VALUE!</v>
      </c>
      <c r="AO195" s="18" t="e">
        <f t="shared" si="68"/>
        <v>#VALUE!</v>
      </c>
      <c r="AP195" s="273" t="str">
        <f>M57</f>
        <v>無 風 時　60[℃]</v>
      </c>
      <c r="AQ195" s="274"/>
      <c r="AS195" s="125"/>
      <c r="AT195" s="126"/>
      <c r="AU195" s="18" t="e">
        <f t="shared" si="74"/>
        <v>#VALUE!</v>
      </c>
      <c r="AV195" s="18" t="e">
        <f>AU195^3+AS182*AU195+AT182</f>
        <v>#VALUE!</v>
      </c>
      <c r="AW195" s="18" t="e">
        <f>3*AU195^2+AS182</f>
        <v>#VALUE!</v>
      </c>
      <c r="AX195" s="18" t="e">
        <f t="shared" si="69"/>
        <v>#VALUE!</v>
      </c>
      <c r="AY195" s="273" t="str">
        <f>M57</f>
        <v>無 風 時　60[℃]</v>
      </c>
      <c r="AZ195" s="274"/>
      <c r="BB195" s="125"/>
      <c r="BC195" s="126"/>
      <c r="BD195" s="18" t="e">
        <f t="shared" si="75"/>
        <v>#VALUE!</v>
      </c>
      <c r="BE195" s="18" t="e">
        <f>BD195^3+BB182*BD195+BC182</f>
        <v>#VALUE!</v>
      </c>
      <c r="BF195" s="18" t="e">
        <f>3*BD195^2+BB182</f>
        <v>#VALUE!</v>
      </c>
      <c r="BG195" s="18" t="e">
        <f t="shared" si="70"/>
        <v>#VALUE!</v>
      </c>
      <c r="BH195" s="273" t="str">
        <f>M57</f>
        <v>無 風 時　60[℃]</v>
      </c>
      <c r="BI195" s="274"/>
      <c r="BK195" s="125"/>
      <c r="BL195" s="126"/>
      <c r="BM195" s="18" t="e">
        <f t="shared" si="76"/>
        <v>#VALUE!</v>
      </c>
      <c r="BN195" s="18" t="e">
        <f>BM195^3+BK182*BM195+BL182</f>
        <v>#VALUE!</v>
      </c>
      <c r="BO195" s="18" t="e">
        <f>3*BM195^2+BK182</f>
        <v>#VALUE!</v>
      </c>
      <c r="BP195" s="18" t="e">
        <f t="shared" si="71"/>
        <v>#VALUE!</v>
      </c>
      <c r="BQ195" s="273" t="str">
        <f>M57</f>
        <v>無 風 時　60[℃]</v>
      </c>
      <c r="BR195" s="274"/>
      <c r="BT195" s="125"/>
      <c r="BU195" s="126"/>
      <c r="BV195" s="18" t="e">
        <f t="shared" si="77"/>
        <v>#VALUE!</v>
      </c>
      <c r="BW195" s="18" t="e">
        <f>BV195^3+BT182*BV195+BU182</f>
        <v>#VALUE!</v>
      </c>
      <c r="BX195" s="18" t="e">
        <f>3*BV195^2+BT182</f>
        <v>#VALUE!</v>
      </c>
      <c r="BY195" s="18" t="e">
        <f t="shared" si="72"/>
        <v>#VALUE!</v>
      </c>
      <c r="BZ195" s="273" t="str">
        <f>M57</f>
        <v>無 風 時　60[℃]</v>
      </c>
      <c r="CA195" s="274"/>
    </row>
    <row r="196" spans="36:79" ht="18" hidden="1" customHeight="1" thickBot="1" x14ac:dyDescent="0.2">
      <c r="AJ196" s="125"/>
      <c r="AK196" s="126"/>
      <c r="AL196" s="114" t="e">
        <f t="shared" si="73"/>
        <v>#VALUE!</v>
      </c>
      <c r="AM196" s="115" t="e">
        <f>AL196^3+AJ182*AL196+AK182</f>
        <v>#VALUE!</v>
      </c>
      <c r="AN196" s="115" t="e">
        <f>3*AL196^2+AJ182</f>
        <v>#VALUE!</v>
      </c>
      <c r="AO196" s="115" t="e">
        <f t="shared" si="68"/>
        <v>#VALUE!</v>
      </c>
      <c r="AP196" s="275"/>
      <c r="AQ196" s="276"/>
      <c r="AS196" s="125"/>
      <c r="AT196" s="126"/>
      <c r="AU196" s="114" t="e">
        <f t="shared" si="74"/>
        <v>#VALUE!</v>
      </c>
      <c r="AV196" s="115" t="e">
        <f>AU196^3+AS182*AU196+AT182</f>
        <v>#VALUE!</v>
      </c>
      <c r="AW196" s="115" t="e">
        <f>3*AU196^2+AS182</f>
        <v>#VALUE!</v>
      </c>
      <c r="AX196" s="115" t="e">
        <f t="shared" si="69"/>
        <v>#VALUE!</v>
      </c>
      <c r="AY196" s="275"/>
      <c r="AZ196" s="276"/>
      <c r="BB196" s="125"/>
      <c r="BC196" s="126"/>
      <c r="BD196" s="114" t="e">
        <f t="shared" si="75"/>
        <v>#VALUE!</v>
      </c>
      <c r="BE196" s="115" t="e">
        <f>BD196^3+BB182*BD196+BC182</f>
        <v>#VALUE!</v>
      </c>
      <c r="BF196" s="115" t="e">
        <f>3*BD196^2+BB182</f>
        <v>#VALUE!</v>
      </c>
      <c r="BG196" s="115" t="e">
        <f t="shared" si="70"/>
        <v>#VALUE!</v>
      </c>
      <c r="BH196" s="275"/>
      <c r="BI196" s="276"/>
      <c r="BK196" s="125"/>
      <c r="BL196" s="126"/>
      <c r="BM196" s="114" t="e">
        <f t="shared" si="76"/>
        <v>#VALUE!</v>
      </c>
      <c r="BN196" s="115" t="e">
        <f>BM196^3+BK182*BM196+BL182</f>
        <v>#VALUE!</v>
      </c>
      <c r="BO196" s="115" t="e">
        <f>3*BM196^2+BK182</f>
        <v>#VALUE!</v>
      </c>
      <c r="BP196" s="115" t="e">
        <f t="shared" si="71"/>
        <v>#VALUE!</v>
      </c>
      <c r="BQ196" s="275"/>
      <c r="BR196" s="276"/>
      <c r="BT196" s="125"/>
      <c r="BU196" s="126"/>
      <c r="BV196" s="114" t="e">
        <f t="shared" si="77"/>
        <v>#VALUE!</v>
      </c>
      <c r="BW196" s="115" t="e">
        <f>BV196^3+BT182*BV196+BU182</f>
        <v>#VALUE!</v>
      </c>
      <c r="BX196" s="115" t="e">
        <f>3*BV196^2+BT182</f>
        <v>#VALUE!</v>
      </c>
      <c r="BY196" s="115" t="e">
        <f t="shared" si="72"/>
        <v>#VALUE!</v>
      </c>
      <c r="BZ196" s="275"/>
      <c r="CA196" s="276"/>
    </row>
    <row r="197" spans="36:79" ht="18" hidden="1" customHeight="1" x14ac:dyDescent="0.15">
      <c r="AJ197" s="62"/>
      <c r="AK197" s="12" t="s">
        <v>224</v>
      </c>
      <c r="AL197" s="12" t="s">
        <v>225</v>
      </c>
      <c r="AM197" s="12" t="s">
        <v>226</v>
      </c>
      <c r="AN197" s="12" t="s">
        <v>227</v>
      </c>
      <c r="AO197" s="63" t="s">
        <v>228</v>
      </c>
      <c r="AP197" s="12" t="s">
        <v>229</v>
      </c>
      <c r="AQ197" s="13" t="s">
        <v>230</v>
      </c>
      <c r="AS197" s="62"/>
      <c r="AT197" s="12" t="s">
        <v>224</v>
      </c>
      <c r="AU197" s="12" t="s">
        <v>225</v>
      </c>
      <c r="AV197" s="12" t="s">
        <v>226</v>
      </c>
      <c r="AW197" s="12" t="s">
        <v>227</v>
      </c>
      <c r="AX197" s="63" t="s">
        <v>228</v>
      </c>
      <c r="AY197" s="12" t="s">
        <v>229</v>
      </c>
      <c r="AZ197" s="13" t="s">
        <v>230</v>
      </c>
      <c r="BB197" s="62"/>
      <c r="BC197" s="12" t="s">
        <v>224</v>
      </c>
      <c r="BD197" s="12" t="s">
        <v>225</v>
      </c>
      <c r="BE197" s="12" t="s">
        <v>226</v>
      </c>
      <c r="BF197" s="12" t="s">
        <v>227</v>
      </c>
      <c r="BG197" s="63" t="s">
        <v>228</v>
      </c>
      <c r="BH197" s="12" t="s">
        <v>229</v>
      </c>
      <c r="BI197" s="13" t="s">
        <v>230</v>
      </c>
      <c r="BK197" s="62"/>
      <c r="BL197" s="12" t="s">
        <v>224</v>
      </c>
      <c r="BM197" s="12" t="s">
        <v>225</v>
      </c>
      <c r="BN197" s="12" t="s">
        <v>226</v>
      </c>
      <c r="BO197" s="12" t="s">
        <v>227</v>
      </c>
      <c r="BP197" s="63" t="s">
        <v>228</v>
      </c>
      <c r="BQ197" s="12" t="s">
        <v>229</v>
      </c>
      <c r="BR197" s="13" t="s">
        <v>230</v>
      </c>
      <c r="BT197" s="62"/>
      <c r="BU197" s="12" t="s">
        <v>224</v>
      </c>
      <c r="BV197" s="12" t="s">
        <v>225</v>
      </c>
      <c r="BW197" s="12" t="s">
        <v>226</v>
      </c>
      <c r="BX197" s="12" t="s">
        <v>227</v>
      </c>
      <c r="BY197" s="63" t="s">
        <v>228</v>
      </c>
      <c r="BZ197" s="12" t="s">
        <v>229</v>
      </c>
      <c r="CA197" s="13" t="s">
        <v>230</v>
      </c>
    </row>
    <row r="198" spans="36:79" ht="18" hidden="1" customHeight="1" thickBot="1" x14ac:dyDescent="0.2">
      <c r="AJ198" s="107"/>
      <c r="AK198" s="108" t="e">
        <f>M23+U23</f>
        <v>#VALUE!</v>
      </c>
      <c r="AL198" s="108">
        <f>IF(C33="",L19*(F19/40)^2,C33)</f>
        <v>0</v>
      </c>
      <c r="AM198" s="108">
        <f>F19</f>
        <v>0</v>
      </c>
      <c r="AN198" s="108" t="e">
        <f>AK78*1600/(8*L19)</f>
        <v>#VALUE!</v>
      </c>
      <c r="AO198" s="109">
        <f>V23</f>
        <v>0</v>
      </c>
      <c r="AP198" s="108" t="str">
        <f>L23</f>
        <v/>
      </c>
      <c r="AQ198" s="110">
        <f>W23</f>
        <v>0</v>
      </c>
      <c r="AS198" s="107"/>
      <c r="AT198" s="108" t="str">
        <f>IF(B24="使用電線-2",M24+U24,IF(B25="使用電線-2",M25+U25,IF(B26="使用電線-2",M26+U26,IF(B27="使用電線-2",M27+U27,IF(B28="使用電線-2",M28+U28,IF(B29="使用電線-2",M29+U29,""))))))</f>
        <v/>
      </c>
      <c r="AU198" s="108">
        <f>IF(I33="",L19*(F19/40)^2,I33)</f>
        <v>0</v>
      </c>
      <c r="AV198" s="108">
        <f>F19</f>
        <v>0</v>
      </c>
      <c r="AW198" s="108" t="e">
        <f>AT198*1600/(8*L19)</f>
        <v>#VALUE!</v>
      </c>
      <c r="AX198" s="109" t="str">
        <f>IF(B24="使用電線-2",V24,IF(B25="使用電線-2",V25,IF(B26="使用電線-2",V26,IF(B27="使用電線-2",V27,IF(B28="使用電線-2",V28,IF(B29="使用電線-2",V29,""))))))</f>
        <v/>
      </c>
      <c r="AY198" s="108" t="str">
        <f>IF(B24="使用電線-2",L24,IF(B25="使用電線-2",L25,IF(B26="使用電線-2",L26,IF(B27="使用電線-2",L27,IF(B28="使用電線-2",L28,IF(B29="使用電線-2",L29,""))))))</f>
        <v/>
      </c>
      <c r="AZ198" s="110" t="str">
        <f>IF(B24="使用電線-2",W24,IF(B25="使用電線-2",W25,IF(B26="使用電線-2",W26,IF(B27="使用電線-2",W27,IF(B28="使用電線-2",W28,IF(B29="使用電線-2",W29,""))))))</f>
        <v/>
      </c>
      <c r="BB198" s="107"/>
      <c r="BC198" s="108" t="str">
        <f>IF(B25="使用電線-3",M25+U25,IF(B26="使用電線-3",M26+U26,IF(B27="使用電線-3",M27+U27,IF(B28="使用電線-3",M28+U28,IF(B29="使用電線-3",M29+U29,"")))))</f>
        <v/>
      </c>
      <c r="BD198" s="108">
        <f>IF(N33="",L19*(F19/40)^2,N33)</f>
        <v>0</v>
      </c>
      <c r="BE198" s="108">
        <f>F19</f>
        <v>0</v>
      </c>
      <c r="BF198" s="108" t="e">
        <f>BC198*1600/(8*L19)</f>
        <v>#VALUE!</v>
      </c>
      <c r="BG198" s="109" t="str">
        <f>IF(B25="使用電線-3",V25,IF(B26="使用電線-3",V26,IF(B27="使用電線-3",V27,IF(B28="使用電線-3",V28,IF(B29="使用電線-3",V29,"")))))</f>
        <v/>
      </c>
      <c r="BH198" s="108" t="str">
        <f>IF(B25="使用電線-3",L25,IF(B26="使用電線-3",L26,IF(B27="使用電線-3",L27,IF(B28="使用電線-3",L28,IF(B29="使用電線-3",L29,"")))))</f>
        <v/>
      </c>
      <c r="BI198" s="110" t="str">
        <f>IF(B25="使用電線-3",W25,IF(B26="使用電線-3",W26,IF(B27="使用電線-3",W27,IF(B28="使用電線-3",W28,IF(B29="使用電線-3",W29,"")))))</f>
        <v/>
      </c>
      <c r="BK198" s="107"/>
      <c r="BL198" s="108" t="str">
        <f>IF(B26="使用電線-4",M26+U26,IF(B27="使用電線-4",M27+U27,IF(B28="使用電線-4",M28+U28,IF(B29="使用電線-4",M29+U29,""))))</f>
        <v/>
      </c>
      <c r="BM198" s="108">
        <f>IF(C47="",L19*(F19/40)^2,C47)</f>
        <v>0</v>
      </c>
      <c r="BN198" s="108">
        <f>F19</f>
        <v>0</v>
      </c>
      <c r="BO198" s="127" t="e">
        <f>BL198*1600/(8*L19)</f>
        <v>#VALUE!</v>
      </c>
      <c r="BP198" s="109" t="str">
        <f>IF(B26="使用電線-4",V26,IF(B27="使用電線-4",V27,IF(B28="使用電線-4",V28,IF(B29="使用電線-4",V29,""))))</f>
        <v/>
      </c>
      <c r="BQ198" s="108" t="str">
        <f>IF(B26="使用電線-4",L26,IF(B27="使用電線-4",L27,IF(B28="使用電線-4",L28,IF(B29="使用電線-4",L29,""))))</f>
        <v/>
      </c>
      <c r="BR198" s="110" t="str">
        <f>IF(B26="使用電線-4",W26,IF(B27="使用電線-4",W27,IF(B28="使用電線-4",W28,IF(B29="使用電線-4",W29,""))))</f>
        <v/>
      </c>
      <c r="BT198" s="107"/>
      <c r="BU198" s="108" t="str">
        <f>IF(B27="使用電線-5",M27+U27,IF(B28="使用電線-5",M28+U28,IF(B29="使用電線-5",M29+U29,"")))</f>
        <v/>
      </c>
      <c r="BV198" s="108">
        <f>IF(I47="",L19*(F19/40)^2,I47)</f>
        <v>0</v>
      </c>
      <c r="BW198" s="108">
        <f>F19</f>
        <v>0</v>
      </c>
      <c r="BX198" s="127" t="e">
        <f>BU198*1600/(8*L19)</f>
        <v>#VALUE!</v>
      </c>
      <c r="BY198" s="109" t="str">
        <f>IF(B27="使用電線-5",V27,IF(B28="使用電線-5",V28,IF(B29="使用電線-5",V29,"")))</f>
        <v/>
      </c>
      <c r="BZ198" s="108" t="str">
        <f>IF(B27="使用電線-5",L27,IF(B28="使用電線-5",L28,IF(B29="使用電線-5",L29,"")))</f>
        <v/>
      </c>
      <c r="CA198" s="110" t="str">
        <f>IF(B27="使用電線-5",W27,IF(B28="使用電線-5",W28,IF(B29="使用電線-5",W29,"")))</f>
        <v/>
      </c>
    </row>
    <row r="199" spans="36:79" ht="18" hidden="1" customHeight="1" x14ac:dyDescent="0.15"/>
    <row r="200" spans="36:79" ht="18" hidden="1" customHeight="1" thickBot="1" x14ac:dyDescent="0.2"/>
    <row r="201" spans="36:79" ht="18" hidden="1" customHeight="1" x14ac:dyDescent="0.15">
      <c r="AJ201" s="2" t="s">
        <v>232</v>
      </c>
      <c r="AK201" s="111" t="s">
        <v>233</v>
      </c>
      <c r="AL201" s="12" t="s">
        <v>234</v>
      </c>
      <c r="AM201" s="12" t="s">
        <v>235</v>
      </c>
      <c r="AN201" s="12" t="s">
        <v>236</v>
      </c>
      <c r="AO201" s="12" t="s">
        <v>237</v>
      </c>
      <c r="AP201" s="12" t="s">
        <v>238</v>
      </c>
      <c r="AQ201" s="13" t="s">
        <v>239</v>
      </c>
      <c r="AS201" s="2" t="s">
        <v>232</v>
      </c>
      <c r="AT201" s="111" t="s">
        <v>233</v>
      </c>
      <c r="AU201" s="12" t="s">
        <v>234</v>
      </c>
      <c r="AV201" s="12" t="s">
        <v>235</v>
      </c>
      <c r="AW201" s="12" t="s">
        <v>236</v>
      </c>
      <c r="AX201" s="12" t="s">
        <v>237</v>
      </c>
      <c r="AY201" s="12" t="s">
        <v>238</v>
      </c>
      <c r="AZ201" s="13" t="s">
        <v>239</v>
      </c>
      <c r="BB201" s="2" t="s">
        <v>232</v>
      </c>
      <c r="BC201" s="111" t="s">
        <v>233</v>
      </c>
      <c r="BD201" s="12" t="s">
        <v>234</v>
      </c>
      <c r="BE201" s="12" t="s">
        <v>235</v>
      </c>
      <c r="BF201" s="12" t="s">
        <v>236</v>
      </c>
      <c r="BG201" s="12" t="s">
        <v>237</v>
      </c>
      <c r="BH201" s="12" t="s">
        <v>238</v>
      </c>
      <c r="BI201" s="13" t="s">
        <v>239</v>
      </c>
      <c r="BK201" s="2" t="s">
        <v>232</v>
      </c>
      <c r="BL201" s="111" t="s">
        <v>233</v>
      </c>
      <c r="BM201" s="12" t="s">
        <v>234</v>
      </c>
      <c r="BN201" s="12" t="s">
        <v>235</v>
      </c>
      <c r="BO201" s="12" t="s">
        <v>236</v>
      </c>
      <c r="BP201" s="12" t="s">
        <v>237</v>
      </c>
      <c r="BQ201" s="12" t="s">
        <v>238</v>
      </c>
      <c r="BR201" s="13" t="s">
        <v>239</v>
      </c>
      <c r="BT201" s="2" t="s">
        <v>232</v>
      </c>
      <c r="BU201" s="111" t="s">
        <v>233</v>
      </c>
      <c r="BV201" s="12" t="s">
        <v>234</v>
      </c>
      <c r="BW201" s="12" t="s">
        <v>235</v>
      </c>
      <c r="BX201" s="12" t="s">
        <v>236</v>
      </c>
      <c r="BY201" s="12" t="s">
        <v>237</v>
      </c>
      <c r="BZ201" s="12" t="s">
        <v>238</v>
      </c>
      <c r="CA201" s="13" t="s">
        <v>239</v>
      </c>
    </row>
    <row r="202" spans="36:79" ht="18" hidden="1" customHeight="1" x14ac:dyDescent="0.15">
      <c r="AJ202" s="16" t="e">
        <f>-AJ205+AJ208</f>
        <v>#VALUE!</v>
      </c>
      <c r="AK202" s="17" t="e">
        <f>-AJ211</f>
        <v>#VALUE!</v>
      </c>
      <c r="AL202" s="18" t="e">
        <f>IF(AND(AP205&lt;0,AQ205&lt;0),AQ202*1.2,IF(AND(AP205&gt;0,AQ205&gt;0),AP202*0.8,10))</f>
        <v>#VALUE!</v>
      </c>
      <c r="AM202" s="18" t="e">
        <f>AL202^3+AJ202*AL202+AK202</f>
        <v>#VALUE!</v>
      </c>
      <c r="AN202" s="18" t="e">
        <f>3*AL202^2+AJ202</f>
        <v>#VALUE!</v>
      </c>
      <c r="AO202" s="18" t="e">
        <f t="shared" ref="AO202:AO216" si="78">AL202-AM202/AN202</f>
        <v>#VALUE!</v>
      </c>
      <c r="AP202" s="18" t="e">
        <f>-SQRT(ABS(-4*3*AJ202))/6</f>
        <v>#VALUE!</v>
      </c>
      <c r="AQ202" s="19" t="e">
        <f>SQRT(ABS(-4*3*AJ202))/6</f>
        <v>#VALUE!</v>
      </c>
      <c r="AS202" s="16" t="e">
        <f>-AS205+AS208</f>
        <v>#VALUE!</v>
      </c>
      <c r="AT202" s="17" t="e">
        <f>-AS211</f>
        <v>#VALUE!</v>
      </c>
      <c r="AU202" s="18" t="e">
        <f>IF(AND(AY205&lt;0,AZ205&lt;0),AZ202*1.2,IF(AND(AY205&gt;0,AZ205&gt;0),AY202*0.8,10))</f>
        <v>#VALUE!</v>
      </c>
      <c r="AV202" s="18" t="e">
        <f>AU202^3+AS202*AU202+AT202</f>
        <v>#VALUE!</v>
      </c>
      <c r="AW202" s="18" t="e">
        <f>3*AU202^2+AS202</f>
        <v>#VALUE!</v>
      </c>
      <c r="AX202" s="18" t="e">
        <f t="shared" ref="AX202:AX216" si="79">AU202-AV202/AW202</f>
        <v>#VALUE!</v>
      </c>
      <c r="AY202" s="18" t="e">
        <f>-SQRT(ABS(-4*3*AS202))/6</f>
        <v>#VALUE!</v>
      </c>
      <c r="AZ202" s="19" t="e">
        <f>SQRT(ABS(-4*3*AS202))/6</f>
        <v>#VALUE!</v>
      </c>
      <c r="BB202" s="16" t="e">
        <f>-BB205+BB208</f>
        <v>#VALUE!</v>
      </c>
      <c r="BC202" s="17" t="e">
        <f>-BB211</f>
        <v>#VALUE!</v>
      </c>
      <c r="BD202" s="18" t="e">
        <f>IF(AND(BH205&lt;0,BI205&lt;0),BI202*1.2,IF(AND(BH205&gt;0,BI205&gt;0),BH202*0.8,10))</f>
        <v>#VALUE!</v>
      </c>
      <c r="BE202" s="18" t="e">
        <f>BD202^3+BB202*BD202+BC202</f>
        <v>#VALUE!</v>
      </c>
      <c r="BF202" s="18" t="e">
        <f>3*BD202^2+BB202</f>
        <v>#VALUE!</v>
      </c>
      <c r="BG202" s="18" t="e">
        <f t="shared" ref="BG202:BG216" si="80">BD202-BE202/BF202</f>
        <v>#VALUE!</v>
      </c>
      <c r="BH202" s="18" t="e">
        <f>-SQRT(ABS(-4*3*BB202))/6</f>
        <v>#VALUE!</v>
      </c>
      <c r="BI202" s="19" t="e">
        <f>SQRT(ABS(-4*3*BB202))/6</f>
        <v>#VALUE!</v>
      </c>
      <c r="BK202" s="16" t="e">
        <f>-BK205+BK208</f>
        <v>#VALUE!</v>
      </c>
      <c r="BL202" s="17" t="e">
        <f>-BK211</f>
        <v>#VALUE!</v>
      </c>
      <c r="BM202" s="18" t="e">
        <f>IF(AND(BQ205&lt;0,BR205&lt;0),BR202*1.2,IF(AND(BQ205&gt;0,BR205&gt;0),BQ202*0.8,10))</f>
        <v>#VALUE!</v>
      </c>
      <c r="BN202" s="18" t="e">
        <f>BM202^3+BK202*BM202+BL202</f>
        <v>#VALUE!</v>
      </c>
      <c r="BO202" s="18" t="e">
        <f>3*BM202^2+BK202</f>
        <v>#VALUE!</v>
      </c>
      <c r="BP202" s="18" t="e">
        <f t="shared" ref="BP202:BP216" si="81">BM202-BN202/BO202</f>
        <v>#VALUE!</v>
      </c>
      <c r="BQ202" s="18" t="e">
        <f>-SQRT(ABS(-4*3*BK202))/6</f>
        <v>#VALUE!</v>
      </c>
      <c r="BR202" s="19" t="e">
        <f>SQRT(ABS(-4*3*BK202))/6</f>
        <v>#VALUE!</v>
      </c>
      <c r="BT202" s="16" t="e">
        <f>-BT205+BT208</f>
        <v>#VALUE!</v>
      </c>
      <c r="BU202" s="17" t="e">
        <f>-BT211</f>
        <v>#VALUE!</v>
      </c>
      <c r="BV202" s="18" t="e">
        <f>IF(AND(BZ205&lt;0,CA205&lt;0),CA202*1.2,IF(AND(BZ205&gt;0,CA205&gt;0),BZ202*0.8,10))</f>
        <v>#VALUE!</v>
      </c>
      <c r="BW202" s="18" t="e">
        <f>BV202^3+BT202*BV202+BU202</f>
        <v>#VALUE!</v>
      </c>
      <c r="BX202" s="18" t="e">
        <f>3*BV202^2+BT202</f>
        <v>#VALUE!</v>
      </c>
      <c r="BY202" s="18" t="e">
        <f t="shared" ref="BY202:BY216" si="82">BV202-BW202/BX202</f>
        <v>#VALUE!</v>
      </c>
      <c r="BZ202" s="18" t="e">
        <f>-SQRT(ABS(-4*3*BT202))/6</f>
        <v>#VALUE!</v>
      </c>
      <c r="CA202" s="19" t="e">
        <f>SQRT(ABS(-4*3*BT202))/6</f>
        <v>#VALUE!</v>
      </c>
    </row>
    <row r="203" spans="36:79" ht="18" hidden="1" customHeight="1" x14ac:dyDescent="0.15">
      <c r="AJ203" s="267"/>
      <c r="AK203" s="268"/>
      <c r="AL203" s="18" t="e">
        <f t="shared" ref="AL203:AL216" si="83">AO202</f>
        <v>#VALUE!</v>
      </c>
      <c r="AM203" s="18" t="e">
        <f>AL203^3+AJ202*AL203+AK202</f>
        <v>#VALUE!</v>
      </c>
      <c r="AN203" s="18" t="e">
        <f>3*AL203^2+AJ202</f>
        <v>#VALUE!</v>
      </c>
      <c r="AO203" s="18" t="e">
        <f t="shared" si="78"/>
        <v>#VALUE!</v>
      </c>
      <c r="AP203" s="6"/>
      <c r="AQ203" s="7"/>
      <c r="AS203" s="267"/>
      <c r="AT203" s="268"/>
      <c r="AU203" s="18" t="e">
        <f t="shared" ref="AU203:AU216" si="84">AX202</f>
        <v>#VALUE!</v>
      </c>
      <c r="AV203" s="18" t="e">
        <f>AU203^3+AS202*AU203+AT202</f>
        <v>#VALUE!</v>
      </c>
      <c r="AW203" s="18" t="e">
        <f>3*AU203^2+AS202</f>
        <v>#VALUE!</v>
      </c>
      <c r="AX203" s="18" t="e">
        <f t="shared" si="79"/>
        <v>#VALUE!</v>
      </c>
      <c r="AY203" s="6"/>
      <c r="AZ203" s="7"/>
      <c r="BB203" s="267"/>
      <c r="BC203" s="268"/>
      <c r="BD203" s="18" t="e">
        <f t="shared" ref="BD203:BD216" si="85">BG202</f>
        <v>#VALUE!</v>
      </c>
      <c r="BE203" s="18" t="e">
        <f>BD203^3+BB202*BD203+BC202</f>
        <v>#VALUE!</v>
      </c>
      <c r="BF203" s="18" t="e">
        <f>3*BD203^2+BB202</f>
        <v>#VALUE!</v>
      </c>
      <c r="BG203" s="18" t="e">
        <f t="shared" si="80"/>
        <v>#VALUE!</v>
      </c>
      <c r="BH203" s="6"/>
      <c r="BI203" s="7"/>
      <c r="BK203" s="267"/>
      <c r="BL203" s="268"/>
      <c r="BM203" s="18" t="e">
        <f t="shared" ref="BM203:BM216" si="86">BP202</f>
        <v>#VALUE!</v>
      </c>
      <c r="BN203" s="18" t="e">
        <f>BM203^3+BK202*BM203+BL202</f>
        <v>#VALUE!</v>
      </c>
      <c r="BO203" s="18" t="e">
        <f>3*BM203^2+BK202</f>
        <v>#VALUE!</v>
      </c>
      <c r="BP203" s="18" t="e">
        <f t="shared" si="81"/>
        <v>#VALUE!</v>
      </c>
      <c r="BQ203" s="6"/>
      <c r="BR203" s="7"/>
      <c r="BT203" s="267"/>
      <c r="BU203" s="268"/>
      <c r="BV203" s="18" t="e">
        <f t="shared" ref="BV203:BV216" si="87">BY202</f>
        <v>#VALUE!</v>
      </c>
      <c r="BW203" s="18" t="e">
        <f>BV203^3+BT202*BV203+BU202</f>
        <v>#VALUE!</v>
      </c>
      <c r="BX203" s="18" t="e">
        <f>3*BV203^2+BT202</f>
        <v>#VALUE!</v>
      </c>
      <c r="BY203" s="18" t="e">
        <f t="shared" si="82"/>
        <v>#VALUE!</v>
      </c>
      <c r="BZ203" s="6"/>
      <c r="CA203" s="7"/>
    </row>
    <row r="204" spans="36:79" ht="18" hidden="1" customHeight="1" x14ac:dyDescent="0.15">
      <c r="AJ204" s="269" t="s">
        <v>240</v>
      </c>
      <c r="AK204" s="270"/>
      <c r="AL204" s="18" t="e">
        <f t="shared" si="83"/>
        <v>#VALUE!</v>
      </c>
      <c r="AM204" s="18" t="e">
        <f>AL204^3+AJ202*AL204+AK202</f>
        <v>#VALUE!</v>
      </c>
      <c r="AN204" s="18" t="e">
        <f>3*AL204^2+AJ202</f>
        <v>#VALUE!</v>
      </c>
      <c r="AO204" s="18" t="e">
        <f t="shared" si="78"/>
        <v>#VALUE!</v>
      </c>
      <c r="AP204" s="14" t="s">
        <v>241</v>
      </c>
      <c r="AQ204" s="15" t="s">
        <v>242</v>
      </c>
      <c r="AS204" s="269" t="s">
        <v>240</v>
      </c>
      <c r="AT204" s="270"/>
      <c r="AU204" s="18" t="e">
        <f t="shared" si="84"/>
        <v>#VALUE!</v>
      </c>
      <c r="AV204" s="18" t="e">
        <f>AU204^3+AS202*AU204+AT202</f>
        <v>#VALUE!</v>
      </c>
      <c r="AW204" s="18" t="e">
        <f>3*AU204^2+AS202</f>
        <v>#VALUE!</v>
      </c>
      <c r="AX204" s="18" t="e">
        <f t="shared" si="79"/>
        <v>#VALUE!</v>
      </c>
      <c r="AY204" s="14" t="s">
        <v>241</v>
      </c>
      <c r="AZ204" s="15" t="s">
        <v>242</v>
      </c>
      <c r="BB204" s="269" t="s">
        <v>240</v>
      </c>
      <c r="BC204" s="270"/>
      <c r="BD204" s="18" t="e">
        <f t="shared" si="85"/>
        <v>#VALUE!</v>
      </c>
      <c r="BE204" s="18" t="e">
        <f>BD204^3+BB202*BD204+BC202</f>
        <v>#VALUE!</v>
      </c>
      <c r="BF204" s="18" t="e">
        <f>3*BD204^2+BB202</f>
        <v>#VALUE!</v>
      </c>
      <c r="BG204" s="18" t="e">
        <f t="shared" si="80"/>
        <v>#VALUE!</v>
      </c>
      <c r="BH204" s="14" t="s">
        <v>241</v>
      </c>
      <c r="BI204" s="15" t="s">
        <v>242</v>
      </c>
      <c r="BK204" s="269" t="s">
        <v>240</v>
      </c>
      <c r="BL204" s="270"/>
      <c r="BM204" s="18" t="e">
        <f t="shared" si="86"/>
        <v>#VALUE!</v>
      </c>
      <c r="BN204" s="18" t="e">
        <f>BM204^3+BK202*BM204+BL202</f>
        <v>#VALUE!</v>
      </c>
      <c r="BO204" s="18" t="e">
        <f>3*BM204^2+BK202</f>
        <v>#VALUE!</v>
      </c>
      <c r="BP204" s="18" t="e">
        <f t="shared" si="81"/>
        <v>#VALUE!</v>
      </c>
      <c r="BQ204" s="14" t="s">
        <v>241</v>
      </c>
      <c r="BR204" s="15" t="s">
        <v>242</v>
      </c>
      <c r="BT204" s="269" t="s">
        <v>240</v>
      </c>
      <c r="BU204" s="270"/>
      <c r="BV204" s="18" t="e">
        <f t="shared" si="87"/>
        <v>#VALUE!</v>
      </c>
      <c r="BW204" s="18" t="e">
        <f>BV204^3+BT202*BV204+BU202</f>
        <v>#VALUE!</v>
      </c>
      <c r="BX204" s="18" t="e">
        <f>3*BV204^2+BT202</f>
        <v>#VALUE!</v>
      </c>
      <c r="BY204" s="18" t="e">
        <f t="shared" si="82"/>
        <v>#VALUE!</v>
      </c>
      <c r="BZ204" s="14" t="s">
        <v>241</v>
      </c>
      <c r="CA204" s="15" t="s">
        <v>242</v>
      </c>
    </row>
    <row r="205" spans="36:79" ht="18" hidden="1" customHeight="1" x14ac:dyDescent="0.15">
      <c r="AJ205" s="269">
        <f>(AL218^2)+3*(AM218^2)*AQ218*(AQ213-15)/(8*10^7)</f>
        <v>0</v>
      </c>
      <c r="AK205" s="270"/>
      <c r="AL205" s="18" t="e">
        <f t="shared" si="83"/>
        <v>#VALUE!</v>
      </c>
      <c r="AM205" s="18" t="e">
        <f>AL205^3+AJ202*AL205+AK202</f>
        <v>#VALUE!</v>
      </c>
      <c r="AN205" s="18" t="e">
        <f>3*AL205^2+AJ202</f>
        <v>#VALUE!</v>
      </c>
      <c r="AO205" s="18" t="e">
        <f t="shared" si="78"/>
        <v>#VALUE!</v>
      </c>
      <c r="AP205" s="18" t="e">
        <f>AP202^3+AJ202*AP202+AK202</f>
        <v>#VALUE!</v>
      </c>
      <c r="AQ205" s="19" t="e">
        <f>AQ202^3+AJ202*AQ202+AK202</f>
        <v>#VALUE!</v>
      </c>
      <c r="AS205" s="269" t="e">
        <f>(AU218^2)+3*(AV218^2)*AZ218*(AZ213-15)/(8*10^7)</f>
        <v>#VALUE!</v>
      </c>
      <c r="AT205" s="270"/>
      <c r="AU205" s="18" t="e">
        <f t="shared" si="84"/>
        <v>#VALUE!</v>
      </c>
      <c r="AV205" s="18" t="e">
        <f>AU205^3+AS202*AU205+AT202</f>
        <v>#VALUE!</v>
      </c>
      <c r="AW205" s="18" t="e">
        <f>3*AU205^2+AS202</f>
        <v>#VALUE!</v>
      </c>
      <c r="AX205" s="18" t="e">
        <f t="shared" si="79"/>
        <v>#VALUE!</v>
      </c>
      <c r="AY205" s="18" t="e">
        <f>AY202^3+AS202*AY202+AT202</f>
        <v>#VALUE!</v>
      </c>
      <c r="AZ205" s="19" t="e">
        <f>AZ202^3+AS202*AZ202+AT202</f>
        <v>#VALUE!</v>
      </c>
      <c r="BB205" s="269" t="e">
        <f>(BD218^2)+3*(BE218^2)*BI218*(BI213-15)/(8*10^7)</f>
        <v>#VALUE!</v>
      </c>
      <c r="BC205" s="270"/>
      <c r="BD205" s="18" t="e">
        <f t="shared" si="85"/>
        <v>#VALUE!</v>
      </c>
      <c r="BE205" s="18" t="e">
        <f>BD205^3+BB202*BD205+BC202</f>
        <v>#VALUE!</v>
      </c>
      <c r="BF205" s="18" t="e">
        <f>3*BD205^2+BB202</f>
        <v>#VALUE!</v>
      </c>
      <c r="BG205" s="18" t="e">
        <f t="shared" si="80"/>
        <v>#VALUE!</v>
      </c>
      <c r="BH205" s="18" t="e">
        <f>BH202^3+BB202*BH202+BC202</f>
        <v>#VALUE!</v>
      </c>
      <c r="BI205" s="19" t="e">
        <f>BI202^3+BB202*BI202+BC202</f>
        <v>#VALUE!</v>
      </c>
      <c r="BK205" s="269" t="e">
        <f>(BM218^2)+3*(BN218^2)*BR218*(BR213-15)/(8*10^7)</f>
        <v>#VALUE!</v>
      </c>
      <c r="BL205" s="270"/>
      <c r="BM205" s="18" t="e">
        <f t="shared" si="86"/>
        <v>#VALUE!</v>
      </c>
      <c r="BN205" s="18" t="e">
        <f>BM205^3+BK202*BM205+BL202</f>
        <v>#VALUE!</v>
      </c>
      <c r="BO205" s="18" t="e">
        <f>3*BM205^2+BK202</f>
        <v>#VALUE!</v>
      </c>
      <c r="BP205" s="18" t="e">
        <f t="shared" si="81"/>
        <v>#VALUE!</v>
      </c>
      <c r="BQ205" s="18" t="e">
        <f>BQ202^3+BK202*BQ202+BL202</f>
        <v>#VALUE!</v>
      </c>
      <c r="BR205" s="19" t="e">
        <f>BR202^3+BK202*BR202+BL202</f>
        <v>#VALUE!</v>
      </c>
      <c r="BT205" s="269" t="e">
        <f>(BV218^2)+3*(BW218^2)*CA218*(CA213-15)/(8*10^7)</f>
        <v>#VALUE!</v>
      </c>
      <c r="BU205" s="270"/>
      <c r="BV205" s="18" t="e">
        <f t="shared" si="87"/>
        <v>#VALUE!</v>
      </c>
      <c r="BW205" s="18" t="e">
        <f>BV205^3+BT202*BV205+BU202</f>
        <v>#VALUE!</v>
      </c>
      <c r="BX205" s="18" t="e">
        <f>3*BV205^2+BT202</f>
        <v>#VALUE!</v>
      </c>
      <c r="BY205" s="18" t="e">
        <f t="shared" si="82"/>
        <v>#VALUE!</v>
      </c>
      <c r="BZ205" s="18" t="e">
        <f>BZ202^3+BT202*BZ202+BU202</f>
        <v>#VALUE!</v>
      </c>
      <c r="CA205" s="19" t="e">
        <f>CA202^3+BT202*CA202+BU202</f>
        <v>#VALUE!</v>
      </c>
    </row>
    <row r="206" spans="36:79" ht="18" hidden="1" customHeight="1" x14ac:dyDescent="0.15">
      <c r="AJ206" s="267"/>
      <c r="AK206" s="268"/>
      <c r="AL206" s="18" t="e">
        <f t="shared" si="83"/>
        <v>#VALUE!</v>
      </c>
      <c r="AM206" s="18" t="e">
        <f>AL206^3+AJ202*AL206+AK202</f>
        <v>#VALUE!</v>
      </c>
      <c r="AN206" s="18" t="e">
        <f>3*AL206^2+AJ202</f>
        <v>#VALUE!</v>
      </c>
      <c r="AO206" s="18" t="e">
        <f t="shared" si="78"/>
        <v>#VALUE!</v>
      </c>
      <c r="AP206" s="31"/>
      <c r="AQ206" s="32"/>
      <c r="AS206" s="267"/>
      <c r="AT206" s="268"/>
      <c r="AU206" s="18" t="e">
        <f t="shared" si="84"/>
        <v>#VALUE!</v>
      </c>
      <c r="AV206" s="18" t="e">
        <f>AU206^3+AS202*AU206+AT202</f>
        <v>#VALUE!</v>
      </c>
      <c r="AW206" s="18" t="e">
        <f>3*AU206^2+AS202</f>
        <v>#VALUE!</v>
      </c>
      <c r="AX206" s="18" t="e">
        <f t="shared" si="79"/>
        <v>#VALUE!</v>
      </c>
      <c r="AY206" s="31"/>
      <c r="AZ206" s="32"/>
      <c r="BB206" s="267"/>
      <c r="BC206" s="268"/>
      <c r="BD206" s="18" t="e">
        <f t="shared" si="85"/>
        <v>#VALUE!</v>
      </c>
      <c r="BE206" s="18" t="e">
        <f>BD206^3+BB202*BD206+BC202</f>
        <v>#VALUE!</v>
      </c>
      <c r="BF206" s="18" t="e">
        <f>3*BD206^2+BB202</f>
        <v>#VALUE!</v>
      </c>
      <c r="BG206" s="18" t="e">
        <f t="shared" si="80"/>
        <v>#VALUE!</v>
      </c>
      <c r="BH206" s="31"/>
      <c r="BI206" s="32"/>
      <c r="BK206" s="267"/>
      <c r="BL206" s="268"/>
      <c r="BM206" s="18" t="e">
        <f t="shared" si="86"/>
        <v>#VALUE!</v>
      </c>
      <c r="BN206" s="18" t="e">
        <f>BM206^3+BK202*BM206+BL202</f>
        <v>#VALUE!</v>
      </c>
      <c r="BO206" s="18" t="e">
        <f>3*BM206^2+BK202</f>
        <v>#VALUE!</v>
      </c>
      <c r="BP206" s="18" t="e">
        <f t="shared" si="81"/>
        <v>#VALUE!</v>
      </c>
      <c r="BQ206" s="31"/>
      <c r="BR206" s="32"/>
      <c r="BT206" s="267"/>
      <c r="BU206" s="268"/>
      <c r="BV206" s="18" t="e">
        <f t="shared" si="87"/>
        <v>#VALUE!</v>
      </c>
      <c r="BW206" s="18" t="e">
        <f>BV206^3+BT202*BV206+BU202</f>
        <v>#VALUE!</v>
      </c>
      <c r="BX206" s="18" t="e">
        <f>3*BV206^2+BT202</f>
        <v>#VALUE!</v>
      </c>
      <c r="BY206" s="18" t="e">
        <f t="shared" si="82"/>
        <v>#VALUE!</v>
      </c>
      <c r="BZ206" s="31"/>
      <c r="CA206" s="32"/>
    </row>
    <row r="207" spans="36:79" ht="18" hidden="1" customHeight="1" x14ac:dyDescent="0.15">
      <c r="AJ207" s="269" t="s">
        <v>243</v>
      </c>
      <c r="AK207" s="270"/>
      <c r="AL207" s="18" t="e">
        <f t="shared" si="83"/>
        <v>#VALUE!</v>
      </c>
      <c r="AM207" s="18" t="e">
        <f>AL207^3+AJ202*AL207+AK202</f>
        <v>#VALUE!</v>
      </c>
      <c r="AN207" s="18" t="e">
        <f>3*AL207^2+AJ202</f>
        <v>#VALUE!</v>
      </c>
      <c r="AO207" s="18" t="e">
        <f t="shared" si="78"/>
        <v>#VALUE!</v>
      </c>
      <c r="AP207" s="31"/>
      <c r="AQ207" s="32"/>
      <c r="AS207" s="269" t="s">
        <v>243</v>
      </c>
      <c r="AT207" s="270"/>
      <c r="AU207" s="18" t="e">
        <f t="shared" si="84"/>
        <v>#VALUE!</v>
      </c>
      <c r="AV207" s="18" t="e">
        <f>AU207^3+AS202*AU207+AT202</f>
        <v>#VALUE!</v>
      </c>
      <c r="AW207" s="18" t="e">
        <f>3*AU207^2+AS202</f>
        <v>#VALUE!</v>
      </c>
      <c r="AX207" s="18" t="e">
        <f t="shared" si="79"/>
        <v>#VALUE!</v>
      </c>
      <c r="AY207" s="31"/>
      <c r="AZ207" s="32"/>
      <c r="BB207" s="269" t="s">
        <v>243</v>
      </c>
      <c r="BC207" s="270"/>
      <c r="BD207" s="18" t="e">
        <f t="shared" si="85"/>
        <v>#VALUE!</v>
      </c>
      <c r="BE207" s="18" t="e">
        <f>BD207^3+BB202*BD207+BC202</f>
        <v>#VALUE!</v>
      </c>
      <c r="BF207" s="18" t="e">
        <f>3*BD207^2+BB202</f>
        <v>#VALUE!</v>
      </c>
      <c r="BG207" s="18" t="e">
        <f t="shared" si="80"/>
        <v>#VALUE!</v>
      </c>
      <c r="BH207" s="31"/>
      <c r="BI207" s="32"/>
      <c r="BK207" s="269" t="s">
        <v>243</v>
      </c>
      <c r="BL207" s="270"/>
      <c r="BM207" s="18" t="e">
        <f t="shared" si="86"/>
        <v>#VALUE!</v>
      </c>
      <c r="BN207" s="18" t="e">
        <f>BM207^3+BK202*BM207+BL202</f>
        <v>#VALUE!</v>
      </c>
      <c r="BO207" s="18" t="e">
        <f>3*BM207^2+BK202</f>
        <v>#VALUE!</v>
      </c>
      <c r="BP207" s="18" t="e">
        <f t="shared" si="81"/>
        <v>#VALUE!</v>
      </c>
      <c r="BQ207" s="31"/>
      <c r="BR207" s="32"/>
      <c r="BT207" s="269" t="s">
        <v>243</v>
      </c>
      <c r="BU207" s="270"/>
      <c r="BV207" s="18" t="e">
        <f t="shared" si="87"/>
        <v>#VALUE!</v>
      </c>
      <c r="BW207" s="18" t="e">
        <f>BV207^3+BT202*BV207+BU202</f>
        <v>#VALUE!</v>
      </c>
      <c r="BX207" s="18" t="e">
        <f>3*BV207^2+BT202</f>
        <v>#VALUE!</v>
      </c>
      <c r="BY207" s="18" t="e">
        <f t="shared" si="82"/>
        <v>#VALUE!</v>
      </c>
      <c r="BZ207" s="31"/>
      <c r="CA207" s="32"/>
    </row>
    <row r="208" spans="36:79" ht="18" hidden="1" customHeight="1" x14ac:dyDescent="0.15">
      <c r="AJ208" s="277" t="e">
        <f>3*(AM218^2)*AN218/(8*AO218*AP218)</f>
        <v>#VALUE!</v>
      </c>
      <c r="AK208" s="278"/>
      <c r="AL208" s="118" t="e">
        <f t="shared" si="83"/>
        <v>#VALUE!</v>
      </c>
      <c r="AM208" s="118" t="e">
        <f>AL208^3+AJ202*AL208+AK202</f>
        <v>#VALUE!</v>
      </c>
      <c r="AN208" s="118" t="e">
        <f>3*AL208^2+AJ202</f>
        <v>#VALUE!</v>
      </c>
      <c r="AO208" s="118" t="e">
        <f t="shared" si="78"/>
        <v>#VALUE!</v>
      </c>
      <c r="AP208" s="116"/>
      <c r="AQ208" s="117"/>
      <c r="AS208" s="277" t="e">
        <f>3*(AV218^2)*AW218/(8*AX218*AY218)</f>
        <v>#VALUE!</v>
      </c>
      <c r="AT208" s="278"/>
      <c r="AU208" s="118" t="e">
        <f t="shared" si="84"/>
        <v>#VALUE!</v>
      </c>
      <c r="AV208" s="118" t="e">
        <f>AU208^3+AS202*AU208+AT202</f>
        <v>#VALUE!</v>
      </c>
      <c r="AW208" s="118" t="e">
        <f>3*AU208^2+AS202</f>
        <v>#VALUE!</v>
      </c>
      <c r="AX208" s="118" t="e">
        <f t="shared" si="79"/>
        <v>#VALUE!</v>
      </c>
      <c r="AY208" s="116"/>
      <c r="AZ208" s="117"/>
      <c r="BB208" s="277" t="e">
        <f>3*(BE218^2)*BF218/(8*BG218*BH218)</f>
        <v>#VALUE!</v>
      </c>
      <c r="BC208" s="278"/>
      <c r="BD208" s="118" t="e">
        <f t="shared" si="85"/>
        <v>#VALUE!</v>
      </c>
      <c r="BE208" s="118" t="e">
        <f>BD208^3+BB202*BD208+BC202</f>
        <v>#VALUE!</v>
      </c>
      <c r="BF208" s="118" t="e">
        <f>3*BD208^2+BB202</f>
        <v>#VALUE!</v>
      </c>
      <c r="BG208" s="118" t="e">
        <f t="shared" si="80"/>
        <v>#VALUE!</v>
      </c>
      <c r="BH208" s="116"/>
      <c r="BI208" s="117"/>
      <c r="BK208" s="277" t="e">
        <f>3*(BN218^2)*BO218/(8*BP218*BQ218)</f>
        <v>#VALUE!</v>
      </c>
      <c r="BL208" s="278"/>
      <c r="BM208" s="118" t="e">
        <f t="shared" si="86"/>
        <v>#VALUE!</v>
      </c>
      <c r="BN208" s="118" t="e">
        <f>BM208^3+BK202*BM208+BL202</f>
        <v>#VALUE!</v>
      </c>
      <c r="BO208" s="118" t="e">
        <f>3*BM208^2+BK202</f>
        <v>#VALUE!</v>
      </c>
      <c r="BP208" s="118" t="e">
        <f t="shared" si="81"/>
        <v>#VALUE!</v>
      </c>
      <c r="BQ208" s="116"/>
      <c r="BR208" s="117"/>
      <c r="BT208" s="277" t="e">
        <f>3*(BW218^2)*BX218/(8*BY218*BZ218)</f>
        <v>#VALUE!</v>
      </c>
      <c r="BU208" s="278"/>
      <c r="BV208" s="118" t="e">
        <f t="shared" si="87"/>
        <v>#VALUE!</v>
      </c>
      <c r="BW208" s="118" t="e">
        <f>BV208^3+BT202*BV208+BU202</f>
        <v>#VALUE!</v>
      </c>
      <c r="BX208" s="118" t="e">
        <f>3*BV208^2+BT202</f>
        <v>#VALUE!</v>
      </c>
      <c r="BY208" s="118" t="e">
        <f t="shared" si="82"/>
        <v>#VALUE!</v>
      </c>
      <c r="BZ208" s="116"/>
      <c r="CA208" s="117"/>
    </row>
    <row r="209" spans="36:79" ht="18" hidden="1" customHeight="1" x14ac:dyDescent="0.15">
      <c r="AJ209" s="121"/>
      <c r="AK209" s="122"/>
      <c r="AL209" s="118" t="e">
        <f t="shared" si="83"/>
        <v>#VALUE!</v>
      </c>
      <c r="AM209" s="118" t="e">
        <f>AL209^3+AJ202*AL209+AK202</f>
        <v>#VALUE!</v>
      </c>
      <c r="AN209" s="118" t="e">
        <f>3*AL209^2+AJ202</f>
        <v>#VALUE!</v>
      </c>
      <c r="AO209" s="118" t="e">
        <f t="shared" si="78"/>
        <v>#VALUE!</v>
      </c>
      <c r="AP209" s="119"/>
      <c r="AQ209" s="120"/>
      <c r="AS209" s="121"/>
      <c r="AT209" s="122"/>
      <c r="AU209" s="118" t="e">
        <f t="shared" si="84"/>
        <v>#VALUE!</v>
      </c>
      <c r="AV209" s="118" t="e">
        <f>AU209^3+AS202*AU209+AT202</f>
        <v>#VALUE!</v>
      </c>
      <c r="AW209" s="118" t="e">
        <f>3*AU209^2+AS202</f>
        <v>#VALUE!</v>
      </c>
      <c r="AX209" s="118" t="e">
        <f t="shared" si="79"/>
        <v>#VALUE!</v>
      </c>
      <c r="AY209" s="119"/>
      <c r="AZ209" s="120"/>
      <c r="BB209" s="121"/>
      <c r="BC209" s="122"/>
      <c r="BD209" s="118" t="e">
        <f t="shared" si="85"/>
        <v>#VALUE!</v>
      </c>
      <c r="BE209" s="118" t="e">
        <f>BD209^3+BB202*BD209+BC202</f>
        <v>#VALUE!</v>
      </c>
      <c r="BF209" s="118" t="e">
        <f>3*BD209^2+BB202</f>
        <v>#VALUE!</v>
      </c>
      <c r="BG209" s="118" t="e">
        <f t="shared" si="80"/>
        <v>#VALUE!</v>
      </c>
      <c r="BH209" s="119"/>
      <c r="BI209" s="120"/>
      <c r="BK209" s="121"/>
      <c r="BL209" s="122"/>
      <c r="BM209" s="118" t="e">
        <f t="shared" si="86"/>
        <v>#VALUE!</v>
      </c>
      <c r="BN209" s="118" t="e">
        <f>BM209^3+BK202*BM209+BL202</f>
        <v>#VALUE!</v>
      </c>
      <c r="BO209" s="118" t="e">
        <f>3*BM209^2+BK202</f>
        <v>#VALUE!</v>
      </c>
      <c r="BP209" s="118" t="e">
        <f t="shared" si="81"/>
        <v>#VALUE!</v>
      </c>
      <c r="BQ209" s="119"/>
      <c r="BR209" s="120"/>
      <c r="BT209" s="121"/>
      <c r="BU209" s="122"/>
      <c r="BV209" s="118" t="e">
        <f t="shared" si="87"/>
        <v>#VALUE!</v>
      </c>
      <c r="BW209" s="118" t="e">
        <f>BV209^3+BT202*BV209+BU202</f>
        <v>#VALUE!</v>
      </c>
      <c r="BX209" s="118" t="e">
        <f>3*BV209^2+BT202</f>
        <v>#VALUE!</v>
      </c>
      <c r="BY209" s="118" t="e">
        <f t="shared" si="82"/>
        <v>#VALUE!</v>
      </c>
      <c r="BZ209" s="119"/>
      <c r="CA209" s="120"/>
    </row>
    <row r="210" spans="36:79" ht="18" hidden="1" customHeight="1" x14ac:dyDescent="0.15">
      <c r="AJ210" s="269" t="s">
        <v>244</v>
      </c>
      <c r="AK210" s="270"/>
      <c r="AL210" s="118" t="e">
        <f t="shared" si="83"/>
        <v>#VALUE!</v>
      </c>
      <c r="AM210" s="118" t="e">
        <f>AL210^3+AJ202*AL210+AK202</f>
        <v>#VALUE!</v>
      </c>
      <c r="AN210" s="118" t="e">
        <f>3*AL210^2+AJ202</f>
        <v>#VALUE!</v>
      </c>
      <c r="AO210" s="118" t="e">
        <f t="shared" si="78"/>
        <v>#VALUE!</v>
      </c>
      <c r="AP210" s="14" t="s">
        <v>245</v>
      </c>
      <c r="AQ210" s="123" t="e">
        <f>AO216</f>
        <v>#VALUE!</v>
      </c>
      <c r="AS210" s="269" t="s">
        <v>244</v>
      </c>
      <c r="AT210" s="270"/>
      <c r="AU210" s="118" t="e">
        <f t="shared" si="84"/>
        <v>#VALUE!</v>
      </c>
      <c r="AV210" s="118" t="e">
        <f>AU210^3+AS202*AU210+AT202</f>
        <v>#VALUE!</v>
      </c>
      <c r="AW210" s="118" t="e">
        <f>3*AU210^2+AS202</f>
        <v>#VALUE!</v>
      </c>
      <c r="AX210" s="118" t="e">
        <f t="shared" si="79"/>
        <v>#VALUE!</v>
      </c>
      <c r="AY210" s="14" t="s">
        <v>245</v>
      </c>
      <c r="AZ210" s="123" t="e">
        <f>AX216</f>
        <v>#VALUE!</v>
      </c>
      <c r="BB210" s="269" t="s">
        <v>244</v>
      </c>
      <c r="BC210" s="270"/>
      <c r="BD210" s="118" t="e">
        <f t="shared" si="85"/>
        <v>#VALUE!</v>
      </c>
      <c r="BE210" s="118" t="e">
        <f>BD210^3+BB202*BD210+BC202</f>
        <v>#VALUE!</v>
      </c>
      <c r="BF210" s="118" t="e">
        <f>3*BD210^2+BB202</f>
        <v>#VALUE!</v>
      </c>
      <c r="BG210" s="118" t="e">
        <f t="shared" si="80"/>
        <v>#VALUE!</v>
      </c>
      <c r="BH210" s="14" t="s">
        <v>245</v>
      </c>
      <c r="BI210" s="123" t="e">
        <f>BG216</f>
        <v>#VALUE!</v>
      </c>
      <c r="BK210" s="269" t="s">
        <v>244</v>
      </c>
      <c r="BL210" s="270"/>
      <c r="BM210" s="118" t="e">
        <f t="shared" si="86"/>
        <v>#VALUE!</v>
      </c>
      <c r="BN210" s="118" t="e">
        <f>BM210^3+BK202*BM210+BL202</f>
        <v>#VALUE!</v>
      </c>
      <c r="BO210" s="118" t="e">
        <f>3*BM210^2+BK202</f>
        <v>#VALUE!</v>
      </c>
      <c r="BP210" s="118" t="e">
        <f t="shared" si="81"/>
        <v>#VALUE!</v>
      </c>
      <c r="BQ210" s="14" t="s">
        <v>245</v>
      </c>
      <c r="BR210" s="123" t="e">
        <f>BP216</f>
        <v>#VALUE!</v>
      </c>
      <c r="BT210" s="269" t="s">
        <v>244</v>
      </c>
      <c r="BU210" s="270"/>
      <c r="BV210" s="118" t="e">
        <f t="shared" si="87"/>
        <v>#VALUE!</v>
      </c>
      <c r="BW210" s="118" t="e">
        <f>BV210^3+BT202*BV210+BU202</f>
        <v>#VALUE!</v>
      </c>
      <c r="BX210" s="118" t="e">
        <f>3*BV210^2+BT202</f>
        <v>#VALUE!</v>
      </c>
      <c r="BY210" s="118" t="e">
        <f t="shared" si="82"/>
        <v>#VALUE!</v>
      </c>
      <c r="BZ210" s="14" t="s">
        <v>245</v>
      </c>
      <c r="CA210" s="123" t="e">
        <f>BY216</f>
        <v>#VALUE!</v>
      </c>
    </row>
    <row r="211" spans="36:79" ht="18" hidden="1" customHeight="1" x14ac:dyDescent="0.15">
      <c r="AJ211" s="271" t="e">
        <f>AJ208*AL218*AK218/AK218</f>
        <v>#VALUE!</v>
      </c>
      <c r="AK211" s="272"/>
      <c r="AL211" s="118" t="e">
        <f t="shared" si="83"/>
        <v>#VALUE!</v>
      </c>
      <c r="AM211" s="118" t="e">
        <f>AL211^3+AJ202*AL211+AK202</f>
        <v>#VALUE!</v>
      </c>
      <c r="AN211" s="118" t="e">
        <f>3*AL211^2+AJ202</f>
        <v>#VALUE!</v>
      </c>
      <c r="AO211" s="118" t="e">
        <f t="shared" si="78"/>
        <v>#VALUE!</v>
      </c>
      <c r="AP211" s="14" t="s">
        <v>246</v>
      </c>
      <c r="AQ211" s="124" t="e">
        <f>IF(AQ220=1,0,AK218*AM218^2/(8*AO216))</f>
        <v>#VALUE!</v>
      </c>
      <c r="AS211" s="271" t="e">
        <f>AS208*AU218*AT218/AT218</f>
        <v>#VALUE!</v>
      </c>
      <c r="AT211" s="272"/>
      <c r="AU211" s="118" t="e">
        <f t="shared" si="84"/>
        <v>#VALUE!</v>
      </c>
      <c r="AV211" s="118" t="e">
        <f>AU211^3+AS202*AU211+AT202</f>
        <v>#VALUE!</v>
      </c>
      <c r="AW211" s="118" t="e">
        <f>3*AU211^2+AS202</f>
        <v>#VALUE!</v>
      </c>
      <c r="AX211" s="118" t="e">
        <f t="shared" si="79"/>
        <v>#VALUE!</v>
      </c>
      <c r="AY211" s="14" t="s">
        <v>246</v>
      </c>
      <c r="AZ211" s="124">
        <f>IF(OR(B24="",B24="---〃---"),0,IF(OR(AZ220=1,AZ221=1,AZ222=1,AZ223=1,AZ224=1,AZ225=1),0,AT218*AV218^2/(8*AX216)))</f>
        <v>0</v>
      </c>
      <c r="BB211" s="271" t="e">
        <f>BB208*BD218*BC218/BC218</f>
        <v>#VALUE!</v>
      </c>
      <c r="BC211" s="272"/>
      <c r="BD211" s="118" t="e">
        <f t="shared" si="85"/>
        <v>#VALUE!</v>
      </c>
      <c r="BE211" s="118" t="e">
        <f>BD211^3+BB202*BD211+BC202</f>
        <v>#VALUE!</v>
      </c>
      <c r="BF211" s="118" t="e">
        <f>3*BD211^2+BB202</f>
        <v>#VALUE!</v>
      </c>
      <c r="BG211" s="118" t="e">
        <f t="shared" si="80"/>
        <v>#VALUE!</v>
      </c>
      <c r="BH211" s="14" t="s">
        <v>246</v>
      </c>
      <c r="BI211" s="124">
        <f>IF(OR(B25="",B25="---〃---"),0,IF(OR(BI220=1,BI221=1,BI222=1,BI223=1,BI224=1),0,BC218*BE218^2/(8*BG216)))</f>
        <v>0</v>
      </c>
      <c r="BK211" s="271" t="e">
        <f>BK208*BM218*BL218/BL218</f>
        <v>#VALUE!</v>
      </c>
      <c r="BL211" s="272"/>
      <c r="BM211" s="118" t="e">
        <f t="shared" si="86"/>
        <v>#VALUE!</v>
      </c>
      <c r="BN211" s="118" t="e">
        <f>BM211^3+BK202*BM211+BL202</f>
        <v>#VALUE!</v>
      </c>
      <c r="BO211" s="118" t="e">
        <f>3*BM211^2+BK202</f>
        <v>#VALUE!</v>
      </c>
      <c r="BP211" s="118" t="e">
        <f t="shared" si="81"/>
        <v>#VALUE!</v>
      </c>
      <c r="BQ211" s="14" t="s">
        <v>246</v>
      </c>
      <c r="BR211" s="124">
        <f>IF(OR(B26="",B26="---〃---"),0,IF(OR(BR220=1,BR221=1,BR222=1,BR223=1),0,BL218*BN218^2/(8*BP216)))</f>
        <v>0</v>
      </c>
      <c r="BT211" s="271" t="e">
        <f>BT208*BV218*BU218/BU218</f>
        <v>#VALUE!</v>
      </c>
      <c r="BU211" s="272"/>
      <c r="BV211" s="118" t="e">
        <f t="shared" si="87"/>
        <v>#VALUE!</v>
      </c>
      <c r="BW211" s="118" t="e">
        <f>BV211^3+BT202*BV211+BU202</f>
        <v>#VALUE!</v>
      </c>
      <c r="BX211" s="118" t="e">
        <f>3*BV211^2+BT202</f>
        <v>#VALUE!</v>
      </c>
      <c r="BY211" s="118" t="e">
        <f t="shared" si="82"/>
        <v>#VALUE!</v>
      </c>
      <c r="BZ211" s="14" t="s">
        <v>246</v>
      </c>
      <c r="CA211" s="124">
        <f>IF(OR(B27="",B27="---〃---"),0,IF(OR(CA220=1,CA221=1,CA222=1),0,BU218*BW218^2/(8*BY216)))</f>
        <v>0</v>
      </c>
    </row>
    <row r="212" spans="36:79" ht="18" hidden="1" customHeight="1" x14ac:dyDescent="0.15">
      <c r="AJ212" s="125"/>
      <c r="AK212" s="126"/>
      <c r="AL212" s="118" t="e">
        <f t="shared" si="83"/>
        <v>#VALUE!</v>
      </c>
      <c r="AM212" s="118" t="e">
        <f>AL212^3+AJ202*AL212+AK202</f>
        <v>#VALUE!</v>
      </c>
      <c r="AN212" s="118" t="e">
        <f>3*AL212^2+AJ202</f>
        <v>#VALUE!</v>
      </c>
      <c r="AO212" s="118" t="e">
        <f t="shared" si="78"/>
        <v>#VALUE!</v>
      </c>
      <c r="AP212" s="116"/>
      <c r="AQ212" s="117"/>
      <c r="AS212" s="125"/>
      <c r="AT212" s="126"/>
      <c r="AU212" s="118" t="e">
        <f t="shared" si="84"/>
        <v>#VALUE!</v>
      </c>
      <c r="AV212" s="118" t="e">
        <f>AU212^3+AS202*AU212+AT202</f>
        <v>#VALUE!</v>
      </c>
      <c r="AW212" s="118" t="e">
        <f>3*AU212^2+AS202</f>
        <v>#VALUE!</v>
      </c>
      <c r="AX212" s="118" t="e">
        <f t="shared" si="79"/>
        <v>#VALUE!</v>
      </c>
      <c r="AY212" s="116"/>
      <c r="AZ212" s="117"/>
      <c r="BB212" s="125"/>
      <c r="BC212" s="126"/>
      <c r="BD212" s="118" t="e">
        <f t="shared" si="85"/>
        <v>#VALUE!</v>
      </c>
      <c r="BE212" s="118" t="e">
        <f>BD212^3+BB202*BD212+BC202</f>
        <v>#VALUE!</v>
      </c>
      <c r="BF212" s="118" t="e">
        <f>3*BD212^2+BB202</f>
        <v>#VALUE!</v>
      </c>
      <c r="BG212" s="118" t="e">
        <f t="shared" si="80"/>
        <v>#VALUE!</v>
      </c>
      <c r="BH212" s="116"/>
      <c r="BI212" s="117"/>
      <c r="BK212" s="125"/>
      <c r="BL212" s="126"/>
      <c r="BM212" s="118" t="e">
        <f t="shared" si="86"/>
        <v>#VALUE!</v>
      </c>
      <c r="BN212" s="118" t="e">
        <f>BM212^3+BK202*BM212+BL202</f>
        <v>#VALUE!</v>
      </c>
      <c r="BO212" s="118" t="e">
        <f>3*BM212^2+BK202</f>
        <v>#VALUE!</v>
      </c>
      <c r="BP212" s="118" t="e">
        <f t="shared" si="81"/>
        <v>#VALUE!</v>
      </c>
      <c r="BQ212" s="116"/>
      <c r="BR212" s="117"/>
      <c r="BT212" s="125"/>
      <c r="BU212" s="126"/>
      <c r="BV212" s="118" t="e">
        <f t="shared" si="87"/>
        <v>#VALUE!</v>
      </c>
      <c r="BW212" s="118" t="e">
        <f>BV212^3+BT202*BV212+BU202</f>
        <v>#VALUE!</v>
      </c>
      <c r="BX212" s="118" t="e">
        <f>3*BV212^2+BT202</f>
        <v>#VALUE!</v>
      </c>
      <c r="BY212" s="118" t="e">
        <f t="shared" si="82"/>
        <v>#VALUE!</v>
      </c>
      <c r="BZ212" s="116"/>
      <c r="CA212" s="117"/>
    </row>
    <row r="213" spans="36:79" ht="18" hidden="1" customHeight="1" x14ac:dyDescent="0.15">
      <c r="AJ213" s="125"/>
      <c r="AK213" s="126"/>
      <c r="AL213" s="118" t="e">
        <f t="shared" si="83"/>
        <v>#VALUE!</v>
      </c>
      <c r="AM213" s="118" t="e">
        <f>AL213^3+AJ202*AL213+AK202</f>
        <v>#VALUE!</v>
      </c>
      <c r="AN213" s="118" t="e">
        <f>3*AL213^2+AJ202</f>
        <v>#VALUE!</v>
      </c>
      <c r="AO213" s="118" t="e">
        <f t="shared" si="78"/>
        <v>#VALUE!</v>
      </c>
      <c r="AP213" s="112" t="s">
        <v>147</v>
      </c>
      <c r="AQ213" s="113">
        <v>90</v>
      </c>
      <c r="AS213" s="125"/>
      <c r="AT213" s="126"/>
      <c r="AU213" s="118" t="e">
        <f t="shared" si="84"/>
        <v>#VALUE!</v>
      </c>
      <c r="AV213" s="118" t="e">
        <f>AU213^3+AS202*AU213+AT202</f>
        <v>#VALUE!</v>
      </c>
      <c r="AW213" s="118" t="e">
        <f>3*AU213^2+AS202</f>
        <v>#VALUE!</v>
      </c>
      <c r="AX213" s="118" t="e">
        <f t="shared" si="79"/>
        <v>#VALUE!</v>
      </c>
      <c r="AY213" s="112" t="s">
        <v>147</v>
      </c>
      <c r="AZ213" s="113">
        <v>90</v>
      </c>
      <c r="BB213" s="125"/>
      <c r="BC213" s="126"/>
      <c r="BD213" s="118" t="e">
        <f t="shared" si="85"/>
        <v>#VALUE!</v>
      </c>
      <c r="BE213" s="118" t="e">
        <f>BD213^3+BB202*BD213+BC202</f>
        <v>#VALUE!</v>
      </c>
      <c r="BF213" s="118" t="e">
        <f>3*BD213^2+BB202</f>
        <v>#VALUE!</v>
      </c>
      <c r="BG213" s="118" t="e">
        <f t="shared" si="80"/>
        <v>#VALUE!</v>
      </c>
      <c r="BH213" s="112" t="s">
        <v>147</v>
      </c>
      <c r="BI213" s="113">
        <v>90</v>
      </c>
      <c r="BK213" s="125"/>
      <c r="BL213" s="126"/>
      <c r="BM213" s="118" t="e">
        <f t="shared" si="86"/>
        <v>#VALUE!</v>
      </c>
      <c r="BN213" s="118" t="e">
        <f>BM213^3+BK202*BM213+BL202</f>
        <v>#VALUE!</v>
      </c>
      <c r="BO213" s="118" t="e">
        <f>3*BM213^2+BK202</f>
        <v>#VALUE!</v>
      </c>
      <c r="BP213" s="118" t="e">
        <f t="shared" si="81"/>
        <v>#VALUE!</v>
      </c>
      <c r="BQ213" s="112" t="s">
        <v>147</v>
      </c>
      <c r="BR213" s="113">
        <v>90</v>
      </c>
      <c r="BT213" s="125"/>
      <c r="BU213" s="126"/>
      <c r="BV213" s="118" t="e">
        <f t="shared" si="87"/>
        <v>#VALUE!</v>
      </c>
      <c r="BW213" s="118" t="e">
        <f>BV213^3+BT202*BV213+BU202</f>
        <v>#VALUE!</v>
      </c>
      <c r="BX213" s="118" t="e">
        <f>3*BV213^2+BT202</f>
        <v>#VALUE!</v>
      </c>
      <c r="BY213" s="118" t="e">
        <f t="shared" si="82"/>
        <v>#VALUE!</v>
      </c>
      <c r="BZ213" s="112" t="s">
        <v>147</v>
      </c>
      <c r="CA213" s="113">
        <v>90</v>
      </c>
    </row>
    <row r="214" spans="36:79" ht="18" hidden="1" customHeight="1" x14ac:dyDescent="0.15">
      <c r="AJ214" s="125"/>
      <c r="AK214" s="126"/>
      <c r="AL214" s="118" t="e">
        <f t="shared" si="83"/>
        <v>#VALUE!</v>
      </c>
      <c r="AM214" s="118" t="e">
        <f>AL214^3+AJ202*AL214+AK202</f>
        <v>#VALUE!</v>
      </c>
      <c r="AN214" s="118" t="e">
        <f>3*AL214^2+AJ202</f>
        <v>#VALUE!</v>
      </c>
      <c r="AO214" s="118" t="e">
        <f t="shared" si="78"/>
        <v>#VALUE!</v>
      </c>
      <c r="AP214" s="128" t="s">
        <v>218</v>
      </c>
      <c r="AQ214" s="32"/>
      <c r="AS214" s="125"/>
      <c r="AT214" s="126"/>
      <c r="AU214" s="118" t="e">
        <f t="shared" si="84"/>
        <v>#VALUE!</v>
      </c>
      <c r="AV214" s="118" t="e">
        <f>AU214^3+AS202*AU214+AT202</f>
        <v>#VALUE!</v>
      </c>
      <c r="AW214" s="118" t="e">
        <f>3*AU214^2+AS202</f>
        <v>#VALUE!</v>
      </c>
      <c r="AX214" s="118" t="e">
        <f t="shared" si="79"/>
        <v>#VALUE!</v>
      </c>
      <c r="AY214" s="128" t="s">
        <v>219</v>
      </c>
      <c r="AZ214" s="32"/>
      <c r="BB214" s="125"/>
      <c r="BC214" s="126"/>
      <c r="BD214" s="118" t="e">
        <f t="shared" si="85"/>
        <v>#VALUE!</v>
      </c>
      <c r="BE214" s="118" t="e">
        <f>BD214^3+BB202*BD214+BC202</f>
        <v>#VALUE!</v>
      </c>
      <c r="BF214" s="118" t="e">
        <f>3*BD214^2+BB202</f>
        <v>#VALUE!</v>
      </c>
      <c r="BG214" s="118" t="e">
        <f t="shared" si="80"/>
        <v>#VALUE!</v>
      </c>
      <c r="BH214" s="128" t="s">
        <v>220</v>
      </c>
      <c r="BI214" s="32"/>
      <c r="BK214" s="125"/>
      <c r="BL214" s="126"/>
      <c r="BM214" s="118" t="e">
        <f t="shared" si="86"/>
        <v>#VALUE!</v>
      </c>
      <c r="BN214" s="118" t="e">
        <f>BM214^3+BK202*BM214+BL202</f>
        <v>#VALUE!</v>
      </c>
      <c r="BO214" s="118" t="e">
        <f>3*BM214^2+BK202</f>
        <v>#VALUE!</v>
      </c>
      <c r="BP214" s="118" t="e">
        <f t="shared" si="81"/>
        <v>#VALUE!</v>
      </c>
      <c r="BQ214" s="128" t="s">
        <v>221</v>
      </c>
      <c r="BR214" s="32"/>
      <c r="BT214" s="125"/>
      <c r="BU214" s="126"/>
      <c r="BV214" s="118" t="e">
        <f t="shared" si="87"/>
        <v>#VALUE!</v>
      </c>
      <c r="BW214" s="118" t="e">
        <f>BV214^3+BT202*BV214+BU202</f>
        <v>#VALUE!</v>
      </c>
      <c r="BX214" s="118" t="e">
        <f>3*BV214^2+BT202</f>
        <v>#VALUE!</v>
      </c>
      <c r="BY214" s="118" t="e">
        <f t="shared" si="82"/>
        <v>#VALUE!</v>
      </c>
      <c r="BZ214" s="128" t="s">
        <v>222</v>
      </c>
      <c r="CA214" s="32"/>
    </row>
    <row r="215" spans="36:79" ht="18" hidden="1" customHeight="1" x14ac:dyDescent="0.15">
      <c r="AJ215" s="125"/>
      <c r="AK215" s="126"/>
      <c r="AL215" s="18" t="e">
        <f t="shared" si="83"/>
        <v>#VALUE!</v>
      </c>
      <c r="AM215" s="18" t="e">
        <f>AL215^3+AJ202*AL215+AK202</f>
        <v>#VALUE!</v>
      </c>
      <c r="AN215" s="18" t="e">
        <f>3*AL215^2+AJ202</f>
        <v>#VALUE!</v>
      </c>
      <c r="AO215" s="18" t="e">
        <f t="shared" si="78"/>
        <v>#VALUE!</v>
      </c>
      <c r="AP215" s="273" t="str">
        <f>M58</f>
        <v>無 風 時　90[℃]</v>
      </c>
      <c r="AQ215" s="274"/>
      <c r="AS215" s="125"/>
      <c r="AT215" s="126"/>
      <c r="AU215" s="18" t="e">
        <f t="shared" si="84"/>
        <v>#VALUE!</v>
      </c>
      <c r="AV215" s="18" t="e">
        <f>AU215^3+AS202*AU215+AT202</f>
        <v>#VALUE!</v>
      </c>
      <c r="AW215" s="18" t="e">
        <f>3*AU215^2+AS202</f>
        <v>#VALUE!</v>
      </c>
      <c r="AX215" s="18" t="e">
        <f t="shared" si="79"/>
        <v>#VALUE!</v>
      </c>
      <c r="AY215" s="273" t="str">
        <f>M58</f>
        <v>無 風 時　90[℃]</v>
      </c>
      <c r="AZ215" s="274"/>
      <c r="BB215" s="125"/>
      <c r="BC215" s="126"/>
      <c r="BD215" s="18" t="e">
        <f t="shared" si="85"/>
        <v>#VALUE!</v>
      </c>
      <c r="BE215" s="18" t="e">
        <f>BD215^3+BB202*BD215+BC202</f>
        <v>#VALUE!</v>
      </c>
      <c r="BF215" s="18" t="e">
        <f>3*BD215^2+BB202</f>
        <v>#VALUE!</v>
      </c>
      <c r="BG215" s="18" t="e">
        <f t="shared" si="80"/>
        <v>#VALUE!</v>
      </c>
      <c r="BH215" s="273" t="str">
        <f>M58</f>
        <v>無 風 時　90[℃]</v>
      </c>
      <c r="BI215" s="274"/>
      <c r="BK215" s="125"/>
      <c r="BL215" s="126"/>
      <c r="BM215" s="18" t="e">
        <f t="shared" si="86"/>
        <v>#VALUE!</v>
      </c>
      <c r="BN215" s="18" t="e">
        <f>BM215^3+BK202*BM215+BL202</f>
        <v>#VALUE!</v>
      </c>
      <c r="BO215" s="18" t="e">
        <f>3*BM215^2+BK202</f>
        <v>#VALUE!</v>
      </c>
      <c r="BP215" s="18" t="e">
        <f t="shared" si="81"/>
        <v>#VALUE!</v>
      </c>
      <c r="BQ215" s="273" t="str">
        <f>M58</f>
        <v>無 風 時　90[℃]</v>
      </c>
      <c r="BR215" s="274"/>
      <c r="BT215" s="125"/>
      <c r="BU215" s="126"/>
      <c r="BV215" s="18" t="e">
        <f t="shared" si="87"/>
        <v>#VALUE!</v>
      </c>
      <c r="BW215" s="18" t="e">
        <f>BV215^3+BT202*BV215+BU202</f>
        <v>#VALUE!</v>
      </c>
      <c r="BX215" s="18" t="e">
        <f>3*BV215^2+BT202</f>
        <v>#VALUE!</v>
      </c>
      <c r="BY215" s="18" t="e">
        <f t="shared" si="82"/>
        <v>#VALUE!</v>
      </c>
      <c r="BZ215" s="273" t="str">
        <f>M58</f>
        <v>無 風 時　90[℃]</v>
      </c>
      <c r="CA215" s="274"/>
    </row>
    <row r="216" spans="36:79" ht="18" hidden="1" customHeight="1" thickBot="1" x14ac:dyDescent="0.2">
      <c r="AJ216" s="125"/>
      <c r="AK216" s="126"/>
      <c r="AL216" s="114" t="e">
        <f t="shared" si="83"/>
        <v>#VALUE!</v>
      </c>
      <c r="AM216" s="115" t="e">
        <f>AL216^3+AJ202*AL216+AK202</f>
        <v>#VALUE!</v>
      </c>
      <c r="AN216" s="115" t="e">
        <f>3*AL216^2+AJ202</f>
        <v>#VALUE!</v>
      </c>
      <c r="AO216" s="115" t="e">
        <f t="shared" si="78"/>
        <v>#VALUE!</v>
      </c>
      <c r="AP216" s="275"/>
      <c r="AQ216" s="276"/>
      <c r="AS216" s="125"/>
      <c r="AT216" s="126"/>
      <c r="AU216" s="114" t="e">
        <f t="shared" si="84"/>
        <v>#VALUE!</v>
      </c>
      <c r="AV216" s="115" t="e">
        <f>AU216^3+AS202*AU216+AT202</f>
        <v>#VALUE!</v>
      </c>
      <c r="AW216" s="115" t="e">
        <f>3*AU216^2+AS202</f>
        <v>#VALUE!</v>
      </c>
      <c r="AX216" s="115" t="e">
        <f t="shared" si="79"/>
        <v>#VALUE!</v>
      </c>
      <c r="AY216" s="275"/>
      <c r="AZ216" s="276"/>
      <c r="BB216" s="125"/>
      <c r="BC216" s="126"/>
      <c r="BD216" s="114" t="e">
        <f t="shared" si="85"/>
        <v>#VALUE!</v>
      </c>
      <c r="BE216" s="115" t="e">
        <f>BD216^3+BB202*BD216+BC202</f>
        <v>#VALUE!</v>
      </c>
      <c r="BF216" s="115" t="e">
        <f>3*BD216^2+BB202</f>
        <v>#VALUE!</v>
      </c>
      <c r="BG216" s="115" t="e">
        <f t="shared" si="80"/>
        <v>#VALUE!</v>
      </c>
      <c r="BH216" s="275"/>
      <c r="BI216" s="276"/>
      <c r="BK216" s="125"/>
      <c r="BL216" s="126"/>
      <c r="BM216" s="114" t="e">
        <f t="shared" si="86"/>
        <v>#VALUE!</v>
      </c>
      <c r="BN216" s="115" t="e">
        <f>BM216^3+BK202*BM216+BL202</f>
        <v>#VALUE!</v>
      </c>
      <c r="BO216" s="115" t="e">
        <f>3*BM216^2+BK202</f>
        <v>#VALUE!</v>
      </c>
      <c r="BP216" s="115" t="e">
        <f t="shared" si="81"/>
        <v>#VALUE!</v>
      </c>
      <c r="BQ216" s="275"/>
      <c r="BR216" s="276"/>
      <c r="BT216" s="125"/>
      <c r="BU216" s="126"/>
      <c r="BV216" s="114" t="e">
        <f t="shared" si="87"/>
        <v>#VALUE!</v>
      </c>
      <c r="BW216" s="115" t="e">
        <f>BV216^3+BT202*BV216+BU202</f>
        <v>#VALUE!</v>
      </c>
      <c r="BX216" s="115" t="e">
        <f>3*BV216^2+BT202</f>
        <v>#VALUE!</v>
      </c>
      <c r="BY216" s="115" t="e">
        <f t="shared" si="82"/>
        <v>#VALUE!</v>
      </c>
      <c r="BZ216" s="275"/>
      <c r="CA216" s="276"/>
    </row>
    <row r="217" spans="36:79" ht="18" hidden="1" customHeight="1" x14ac:dyDescent="0.15">
      <c r="AJ217" s="62"/>
      <c r="AK217" s="12" t="s">
        <v>224</v>
      </c>
      <c r="AL217" s="12" t="s">
        <v>225</v>
      </c>
      <c r="AM217" s="12" t="s">
        <v>226</v>
      </c>
      <c r="AN217" s="12" t="s">
        <v>227</v>
      </c>
      <c r="AO217" s="63" t="s">
        <v>228</v>
      </c>
      <c r="AP217" s="12" t="s">
        <v>229</v>
      </c>
      <c r="AQ217" s="13" t="s">
        <v>230</v>
      </c>
      <c r="AS217" s="62"/>
      <c r="AT217" s="12" t="s">
        <v>224</v>
      </c>
      <c r="AU217" s="12" t="s">
        <v>225</v>
      </c>
      <c r="AV217" s="12" t="s">
        <v>226</v>
      </c>
      <c r="AW217" s="12" t="s">
        <v>227</v>
      </c>
      <c r="AX217" s="63" t="s">
        <v>228</v>
      </c>
      <c r="AY217" s="12" t="s">
        <v>229</v>
      </c>
      <c r="AZ217" s="13" t="s">
        <v>230</v>
      </c>
      <c r="BB217" s="62"/>
      <c r="BC217" s="12" t="s">
        <v>224</v>
      </c>
      <c r="BD217" s="12" t="s">
        <v>225</v>
      </c>
      <c r="BE217" s="12" t="s">
        <v>226</v>
      </c>
      <c r="BF217" s="12" t="s">
        <v>227</v>
      </c>
      <c r="BG217" s="63" t="s">
        <v>228</v>
      </c>
      <c r="BH217" s="12" t="s">
        <v>229</v>
      </c>
      <c r="BI217" s="13" t="s">
        <v>230</v>
      </c>
      <c r="BK217" s="62"/>
      <c r="BL217" s="12" t="s">
        <v>224</v>
      </c>
      <c r="BM217" s="12" t="s">
        <v>225</v>
      </c>
      <c r="BN217" s="12" t="s">
        <v>226</v>
      </c>
      <c r="BO217" s="12" t="s">
        <v>227</v>
      </c>
      <c r="BP217" s="63" t="s">
        <v>228</v>
      </c>
      <c r="BQ217" s="12" t="s">
        <v>229</v>
      </c>
      <c r="BR217" s="13" t="s">
        <v>230</v>
      </c>
      <c r="BT217" s="62"/>
      <c r="BU217" s="12" t="s">
        <v>224</v>
      </c>
      <c r="BV217" s="12" t="s">
        <v>225</v>
      </c>
      <c r="BW217" s="12" t="s">
        <v>226</v>
      </c>
      <c r="BX217" s="12" t="s">
        <v>227</v>
      </c>
      <c r="BY217" s="63" t="s">
        <v>228</v>
      </c>
      <c r="BZ217" s="12" t="s">
        <v>229</v>
      </c>
      <c r="CA217" s="13" t="s">
        <v>230</v>
      </c>
    </row>
    <row r="218" spans="36:79" ht="30.75" hidden="1" customHeight="1" thickBot="1" x14ac:dyDescent="0.2">
      <c r="AJ218" s="107"/>
      <c r="AK218" s="108" t="e">
        <f>M23+U23</f>
        <v>#VALUE!</v>
      </c>
      <c r="AL218" s="108">
        <f>IF(C33="",L19*(F19/40)^2,C33)</f>
        <v>0</v>
      </c>
      <c r="AM218" s="108">
        <f>F19</f>
        <v>0</v>
      </c>
      <c r="AN218" s="108" t="e">
        <f>AK78*1600/(8*L19)</f>
        <v>#VALUE!</v>
      </c>
      <c r="AO218" s="109">
        <f>V23</f>
        <v>0</v>
      </c>
      <c r="AP218" s="108" t="str">
        <f>L23</f>
        <v/>
      </c>
      <c r="AQ218" s="110">
        <f>W23</f>
        <v>0</v>
      </c>
      <c r="AS218" s="107"/>
      <c r="AT218" s="108" t="str">
        <f>IF(B24="使用電線-2",M24+U24,IF(B25="使用電線-2",M25+U25,IF(B26="使用電線-2",M26+U26,IF(B27="使用電線-2",M27+U27,IF(B28="使用電線-2",M28+U28,IF(B29="使用電線-2",M29+U29,""))))))</f>
        <v/>
      </c>
      <c r="AU218" s="108">
        <f>IF(I33="",L19*(F19/40)^2,I33)</f>
        <v>0</v>
      </c>
      <c r="AV218" s="108">
        <f>F19</f>
        <v>0</v>
      </c>
      <c r="AW218" s="108" t="e">
        <f>AT218*1600/(8*L19)</f>
        <v>#VALUE!</v>
      </c>
      <c r="AX218" s="109" t="str">
        <f>IF(B24="使用電線-2",V24,IF(B25="使用電線-2",V25,IF(B26="使用電線-2",V26,IF(B27="使用電線-2",V27,IF(B28="使用電線-2",V28,IF(B29="使用電線-2",V29,""))))))</f>
        <v/>
      </c>
      <c r="AY218" s="108" t="str">
        <f>IF(B24="使用電線-2",L24,IF(B25="使用電線-2",L25,IF(B26="使用電線-2",L26,IF(B27="使用電線-2",L27,IF(B28="使用電線-2",L28,IF(B29="使用電線-2",L29,""))))))</f>
        <v/>
      </c>
      <c r="AZ218" s="110" t="str">
        <f>IF(B24="使用電線-2",W24,IF(B25="使用電線-2",W25,IF(B26="使用電線-2",W26,IF(B27="使用電線-2",W27,IF(B28="使用電線-2",W28,IF(B29="使用電線-2",W29,""))))))</f>
        <v/>
      </c>
      <c r="BB218" s="107"/>
      <c r="BC218" s="108" t="str">
        <f>IF(B25="使用電線-3",M25+U25,IF(B26="使用電線-3",M26+U26,IF(B27="使用電線-3",M27+U27,IF(B28="使用電線-3",M28+U28,IF(B29="使用電線-3",M29+U29,"")))))</f>
        <v/>
      </c>
      <c r="BD218" s="108">
        <f>IF(N33="",L19*(F19/40)^2,N33)</f>
        <v>0</v>
      </c>
      <c r="BE218" s="108">
        <f>F19</f>
        <v>0</v>
      </c>
      <c r="BF218" s="108" t="e">
        <f>BC218*1600/(8*L19)</f>
        <v>#VALUE!</v>
      </c>
      <c r="BG218" s="109" t="str">
        <f>IF(B25="使用電線-3",V25,IF(B26="使用電線-3",V26,IF(B27="使用電線-3",V27,IF(B28="使用電線-3",V28,IF(B29="使用電線-3",V29,"")))))</f>
        <v/>
      </c>
      <c r="BH218" s="108" t="str">
        <f>IF(B25="使用電線-3",L25,IF(B26="使用電線-3",L26,IF(B27="使用電線-3",L27,IF(B28="使用電線-3",L28,IF(B29="使用電線-3",L29,"")))))</f>
        <v/>
      </c>
      <c r="BI218" s="110" t="str">
        <f>IF(B25="使用電線-3",W25,IF(B26="使用電線-3",W26,IF(B27="使用電線-3",W27,IF(B28="使用電線-3",W28,IF(B29="使用電線-3",W29,"")))))</f>
        <v/>
      </c>
      <c r="BK218" s="107"/>
      <c r="BL218" s="108" t="str">
        <f>IF(B26="使用電線-4",M26+U26,IF(B27="使用電線-4",M27+U27,IF(B28="使用電線-4",M28+U28,IF(B29="使用電線-4",M29+U29,""))))</f>
        <v/>
      </c>
      <c r="BM218" s="108">
        <f>IF(C47="",L19*(F19/40)^2,C47)</f>
        <v>0</v>
      </c>
      <c r="BN218" s="108">
        <f>F19</f>
        <v>0</v>
      </c>
      <c r="BO218" s="127" t="e">
        <f>BL218*1600/(8*L19)</f>
        <v>#VALUE!</v>
      </c>
      <c r="BP218" s="109" t="str">
        <f>IF(B26="使用電線-4",V26,IF(B27="使用電線-4",V27,IF(B28="使用電線-4",V28,IF(B29="使用電線-4",V29,""))))</f>
        <v/>
      </c>
      <c r="BQ218" s="108" t="str">
        <f>IF(B26="使用電線-4",L26,IF(B27="使用電線-4",L27,IF(B28="使用電線-4",L28,IF(B29="使用電線-4",L29,""))))</f>
        <v/>
      </c>
      <c r="BR218" s="110" t="str">
        <f>IF(B26="使用電線-4",W26,IF(B27="使用電線-4",W27,IF(B28="使用電線-4",W28,IF(B29="使用電線-4",W29,""))))</f>
        <v/>
      </c>
      <c r="BT218" s="107"/>
      <c r="BU218" s="108" t="str">
        <f>IF(B27="使用電線-5",M27+U27,IF(B28="使用電線-5",M28+U28,IF(B29="使用電線-5",M29+U29,"")))</f>
        <v/>
      </c>
      <c r="BV218" s="108">
        <f>IF(I47="",L19*(F19/40)^2,I47)</f>
        <v>0</v>
      </c>
      <c r="BW218" s="108">
        <f>F19</f>
        <v>0</v>
      </c>
      <c r="BX218" s="127" t="e">
        <f>BU218*1600/(8*L19)</f>
        <v>#VALUE!</v>
      </c>
      <c r="BY218" s="109" t="str">
        <f>IF(B27="使用電線-5",V27,IF(B28="使用電線-5",V28,IF(B29="使用電線-5",V29,"")))</f>
        <v/>
      </c>
      <c r="BZ218" s="108" t="str">
        <f>IF(B27="使用電線-5",L27,IF(B28="使用電線-5",L28,IF(B29="使用電線-5",L29,"")))</f>
        <v/>
      </c>
      <c r="CA218" s="110" t="str">
        <f>IF(B27="使用電線-5",W27,IF(B28="使用電線-5",W28,IF(B29="使用電線-5",W29,"")))</f>
        <v/>
      </c>
    </row>
    <row r="219" spans="36:79" ht="33.75" hidden="1" customHeight="1" x14ac:dyDescent="0.15"/>
    <row r="220" spans="36:79" ht="38.25" hidden="1" customHeight="1" x14ac:dyDescent="0.15">
      <c r="AQ220" s="166">
        <f>IF(B23="",0,IF(AND(B23="使用電線-1",OR(D23=AF3,AND(VALUE(LEFT(D23,2))&gt;13,VALUE(LEFT(D23,2))&lt;26))),1,0))</f>
        <v>0</v>
      </c>
      <c r="AZ220" s="166">
        <f>IF(B24="",0,IF(AND(B24="使用電線-2",OR(D24=AF3,AND(VALUE(LEFT(D24,2))&gt;13,VALUE(LEFT(D24,2))&lt;26))),1,0))</f>
        <v>0</v>
      </c>
      <c r="BI220" s="166">
        <f>IF(B25="",0,IF(AND(B25="使用電線-3",OR(D25=AF3,AND(VALUE(LEFT(D25,2))&gt;13,VALUE(LEFT(D25,2))&lt;26))),1,0))</f>
        <v>0</v>
      </c>
      <c r="BR220" s="166">
        <f>IF(B26="",0,IF(AND(B26="使用電線-4",OR(D26=AF3,AND(VALUE(LEFT(D26,2))&gt;13,VALUE(LEFT(D26,2))&lt;26))),1,0))</f>
        <v>0</v>
      </c>
      <c r="CA220" s="166">
        <f>IF(B27="",0,IF(AND(B27="使用電線-5",OR(D27=AF3,AND(VALUE(LEFT(D27,2))&gt;13,VALUE(LEFT(D27,2))&lt;26))),1,0))</f>
        <v>0</v>
      </c>
    </row>
    <row r="221" spans="36:79" ht="57.75" hidden="1" customHeight="1" x14ac:dyDescent="0.15">
      <c r="AZ221" s="166">
        <f>IF(B25="",0,IF(AND(B25="使用電線-2",OR(D25=AF3,AND(VALUE(LEFT(D25,2))&gt;13,VALUE(LEFT(D25,2))&lt;26))),1,0))</f>
        <v>0</v>
      </c>
      <c r="BI221" s="166">
        <f>IF(B26="",0,IF(AND(B26="使用電線-3",OR(D26=AF3,AND(VALUE(LEFT(D26,2))&gt;13,VALUE(LEFT(D26,2))&lt;26))),1,0))</f>
        <v>0</v>
      </c>
      <c r="BR221" s="166">
        <f>IF(B27="",0,IF(AND(B27="使用電線-4",OR(D27=AF3,AND(VALUE(LEFT(D27,2))&gt;13,VALUE(LEFT(D27,2))&lt;26))),1,0))</f>
        <v>0</v>
      </c>
      <c r="CA221" s="166">
        <f>IF(B28="",0,IF(AND(B28="使用電線-5",OR(D28=AF3,AND(VALUE(LEFT(D28,2))&gt;13,VALUE(LEFT(D28,2))&lt;26))),1,0))</f>
        <v>0</v>
      </c>
    </row>
    <row r="222" spans="36:79" ht="36" hidden="1" customHeight="1" x14ac:dyDescent="0.15">
      <c r="AZ222" s="166">
        <f>IF(B26="",0,IF(AND(B26="使用電線-2",OR(D26=AF3,AND(VALUE(LEFT(D26,2))&gt;13,VALUE(LEFT(D26,2))&lt;26))),1,0))</f>
        <v>0</v>
      </c>
      <c r="BI222" s="166">
        <f>IF(B27="",0,IF(AND(B27="使用電線-3",OR(D27=AF3,AND(VALUE(LEFT(D27,2))&gt;13,VALUE(LEFT(D27,2))&lt;26))),1,0))</f>
        <v>0</v>
      </c>
      <c r="BR222" s="166">
        <f>IF(B28="",0,IF(AND(B28="使用電線-4",OR(D28=AF3,AND(VALUE(LEFT(D28,2))&gt;13,VALUE(LEFT(D28,2))&lt;26))),1,0))</f>
        <v>0</v>
      </c>
      <c r="CA222" s="166">
        <f>IF(B29="",0,IF(AND(B29="使用電線-5",OR(D29=AF3,AND(VALUE(LEFT(D29,2))&gt;13,VALUE(LEFT(D29,2))&lt;26))),1,0))</f>
        <v>0</v>
      </c>
    </row>
    <row r="223" spans="36:79" ht="38.25" hidden="1" customHeight="1" x14ac:dyDescent="0.15">
      <c r="AZ223" s="166">
        <f>IF(B27="",0,IF(AND(B27="使用電線-2",OR(D27=AF3,AND(VALUE(LEFT(D27,2))&gt;13,VALUE(LEFT(D27,2))&lt;26))),1,0))</f>
        <v>0</v>
      </c>
      <c r="BI223" s="166">
        <f>IF(B28="",0,IF(AND(B28="使用電線-3",OR(D28=AF3,AND(VALUE(LEFT(D28,2))&gt;13,VALUE(LEFT(D28,2))&lt;26))),1,0))</f>
        <v>0</v>
      </c>
      <c r="BR223" s="166">
        <f>IF(B29="",0,IF(AND(B29="使用電線-4",OR(D29=AF3,AND(VALUE(LEFT(D29,2))&gt;13,VALUE(LEFT(D29,2))&lt;26))),1,0))</f>
        <v>0</v>
      </c>
    </row>
    <row r="224" spans="36:79" ht="29.25" hidden="1" customHeight="1" x14ac:dyDescent="0.15">
      <c r="AZ224" s="166">
        <f>IF(B28="",0,IF(AND(B28="使用電線-2",OR(D28=AF3,AND(VALUE(LEFT(D28,2))&gt;13,VALUE(LEFT(D28,2))&lt;26))),1,0))</f>
        <v>0</v>
      </c>
      <c r="BI224" s="166">
        <f>IF(B29="",0,IF(AND(B29="使用電線-3",OR(D29=AF3,AND(VALUE(LEFT(D29,2))&gt;13,VALUE(LEFT(D29,2))&lt;26))),1,0))</f>
        <v>0</v>
      </c>
    </row>
    <row r="225" spans="52:52" ht="45" hidden="1" customHeight="1" x14ac:dyDescent="0.15">
      <c r="AZ225" s="166">
        <f>IF(B29="",0,IF(AND(B29="使用電線-2",OR(D29=AF3,AND(VALUE(LEFT(D29,2))&gt;13,VALUE(LEFT(D29,2))&lt;26))),1,0))</f>
        <v>0</v>
      </c>
    </row>
    <row r="226" spans="52:52" ht="15" customHeight="1" x14ac:dyDescent="0.15"/>
    <row r="227" spans="52:52" ht="15" customHeight="1" x14ac:dyDescent="0.15"/>
    <row r="228" spans="52:52" ht="15" customHeight="1" x14ac:dyDescent="0.15"/>
    <row r="229" spans="52:52" ht="15" customHeight="1" x14ac:dyDescent="0.15"/>
    <row r="230" spans="52:52" ht="15" customHeight="1" x14ac:dyDescent="0.15"/>
    <row r="231" spans="52:52" ht="15" customHeight="1" x14ac:dyDescent="0.15"/>
    <row r="232" spans="52:52" ht="15" customHeight="1" x14ac:dyDescent="0.15"/>
    <row r="233" spans="52:52" ht="15" customHeight="1" x14ac:dyDescent="0.15"/>
    <row r="234" spans="52:52" ht="15" customHeight="1" x14ac:dyDescent="0.15"/>
    <row r="235" spans="52:52" ht="15" customHeight="1" x14ac:dyDescent="0.15"/>
    <row r="236" spans="52:52" ht="15" customHeight="1" x14ac:dyDescent="0.15"/>
    <row r="237" spans="52:52" ht="15" customHeight="1" x14ac:dyDescent="0.15"/>
    <row r="238" spans="52:52" ht="15" customHeight="1" x14ac:dyDescent="0.15"/>
    <row r="239" spans="52:52" ht="15" customHeight="1" x14ac:dyDescent="0.15"/>
    <row r="240" spans="52:52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</sheetData>
  <sheetProtection password="B220" sheet="1" objects="1" scenarios="1" formatCells="0"/>
  <mergeCells count="509">
    <mergeCell ref="B6:C6"/>
    <mergeCell ref="B26:C26"/>
    <mergeCell ref="B27:C27"/>
    <mergeCell ref="B28:C28"/>
    <mergeCell ref="B19:C19"/>
    <mergeCell ref="B23:C23"/>
    <mergeCell ref="AF57:AF58"/>
    <mergeCell ref="B2:B3"/>
    <mergeCell ref="C2:N3"/>
    <mergeCell ref="C4:N4"/>
    <mergeCell ref="P4:Q4"/>
    <mergeCell ref="B58:C58"/>
    <mergeCell ref="B54:C54"/>
    <mergeCell ref="B55:C55"/>
    <mergeCell ref="B56:C56"/>
    <mergeCell ref="B57:C57"/>
    <mergeCell ref="O50:O51"/>
    <mergeCell ref="M50:N51"/>
    <mergeCell ref="M38:N39"/>
    <mergeCell ref="P36:P37"/>
    <mergeCell ref="M32:N32"/>
    <mergeCell ref="B32:C32"/>
    <mergeCell ref="F32:F33"/>
    <mergeCell ref="G32:I32"/>
    <mergeCell ref="G33:H33"/>
    <mergeCell ref="F36:F37"/>
    <mergeCell ref="D34:D35"/>
    <mergeCell ref="E34:E35"/>
    <mergeCell ref="F34:F35"/>
    <mergeCell ref="F50:F51"/>
    <mergeCell ref="F38:F39"/>
    <mergeCell ref="E48:E49"/>
    <mergeCell ref="B44:C44"/>
    <mergeCell ref="B46:C46"/>
    <mergeCell ref="B38:C39"/>
    <mergeCell ref="B40:C40"/>
    <mergeCell ref="B41:C41"/>
    <mergeCell ref="B42:C42"/>
    <mergeCell ref="B43:C43"/>
    <mergeCell ref="B50:C51"/>
    <mergeCell ref="L1:N1"/>
    <mergeCell ref="O1:Q1"/>
    <mergeCell ref="Q32:Q33"/>
    <mergeCell ref="O34:O35"/>
    <mergeCell ref="P34:P35"/>
    <mergeCell ref="Q34:Q35"/>
    <mergeCell ref="M34:N35"/>
    <mergeCell ref="O20:Q20"/>
    <mergeCell ref="P38:P39"/>
    <mergeCell ref="Q38:Q39"/>
    <mergeCell ref="B52:C53"/>
    <mergeCell ref="B20:C22"/>
    <mergeCell ref="B48:C49"/>
    <mergeCell ref="B24:C24"/>
    <mergeCell ref="B25:C25"/>
    <mergeCell ref="B36:C37"/>
    <mergeCell ref="B30:C30"/>
    <mergeCell ref="B29:C29"/>
    <mergeCell ref="F48:F49"/>
    <mergeCell ref="D38:D39"/>
    <mergeCell ref="E38:E39"/>
    <mergeCell ref="D52:D53"/>
    <mergeCell ref="D50:D51"/>
    <mergeCell ref="E52:E53"/>
    <mergeCell ref="E50:E51"/>
    <mergeCell ref="F46:F47"/>
    <mergeCell ref="D19:E19"/>
    <mergeCell ref="D48:D49"/>
    <mergeCell ref="D20:E22"/>
    <mergeCell ref="D25:E25"/>
    <mergeCell ref="D26:E26"/>
    <mergeCell ref="D30:E30"/>
    <mergeCell ref="D27:E27"/>
    <mergeCell ref="D29:E29"/>
    <mergeCell ref="D36:D37"/>
    <mergeCell ref="E36:E37"/>
    <mergeCell ref="D28:E28"/>
    <mergeCell ref="J19:K19"/>
    <mergeCell ref="J20:J22"/>
    <mergeCell ref="L32:L33"/>
    <mergeCell ref="AJ85:AK85"/>
    <mergeCell ref="AJ86:AK86"/>
    <mergeCell ref="AJ64:AK64"/>
    <mergeCell ref="AJ65:AK65"/>
    <mergeCell ref="AJ66:AK66"/>
    <mergeCell ref="AJ67:AK67"/>
    <mergeCell ref="AJ68:AK68"/>
    <mergeCell ref="AJ83:AK83"/>
    <mergeCell ref="AJ84:AK84"/>
    <mergeCell ref="AJ71:AK71"/>
    <mergeCell ref="Q36:Q37"/>
    <mergeCell ref="Q52:Q53"/>
    <mergeCell ref="Q50:Q51"/>
    <mergeCell ref="K48:K49"/>
    <mergeCell ref="L48:L49"/>
    <mergeCell ref="K52:K53"/>
    <mergeCell ref="L52:L53"/>
    <mergeCell ref="O36:O37"/>
    <mergeCell ref="L46:L47"/>
    <mergeCell ref="L38:L39"/>
    <mergeCell ref="J48:J49"/>
    <mergeCell ref="A1:A59"/>
    <mergeCell ref="AJ70:AK70"/>
    <mergeCell ref="I20:I22"/>
    <mergeCell ref="K20:N20"/>
    <mergeCell ref="B34:C35"/>
    <mergeCell ref="G54:I54"/>
    <mergeCell ref="G19:I19"/>
    <mergeCell ref="M40:N40"/>
    <mergeCell ref="G57:I57"/>
    <mergeCell ref="G44:I44"/>
    <mergeCell ref="G48:I49"/>
    <mergeCell ref="G50:I51"/>
    <mergeCell ref="G52:I53"/>
    <mergeCell ref="G55:I55"/>
    <mergeCell ref="J38:J39"/>
    <mergeCell ref="K38:K39"/>
    <mergeCell ref="G56:I56"/>
    <mergeCell ref="O48:O49"/>
    <mergeCell ref="M48:N49"/>
    <mergeCell ref="O38:O39"/>
    <mergeCell ref="O52:O53"/>
    <mergeCell ref="M52:N53"/>
    <mergeCell ref="M55:N55"/>
    <mergeCell ref="K50:K51"/>
    <mergeCell ref="M58:N58"/>
    <mergeCell ref="M46:N47"/>
    <mergeCell ref="J52:J53"/>
    <mergeCell ref="G43:I43"/>
    <mergeCell ref="AJ63:AK63"/>
    <mergeCell ref="F20:G22"/>
    <mergeCell ref="H20:H22"/>
    <mergeCell ref="D23:E23"/>
    <mergeCell ref="D24:E24"/>
    <mergeCell ref="J50:J51"/>
    <mergeCell ref="G46:I46"/>
    <mergeCell ref="G58:I58"/>
    <mergeCell ref="M43:N43"/>
    <mergeCell ref="M44:N44"/>
    <mergeCell ref="J36:J37"/>
    <mergeCell ref="K36:K37"/>
    <mergeCell ref="L36:L37"/>
    <mergeCell ref="L50:L51"/>
    <mergeCell ref="M56:N56"/>
    <mergeCell ref="M57:N57"/>
    <mergeCell ref="M36:N37"/>
    <mergeCell ref="J34:J35"/>
    <mergeCell ref="K34:K35"/>
    <mergeCell ref="F52:F53"/>
    <mergeCell ref="AP115:AQ116"/>
    <mergeCell ref="AJ123:AK123"/>
    <mergeCell ref="AJ91:AK91"/>
    <mergeCell ref="AP95:AQ96"/>
    <mergeCell ref="AJ103:AK103"/>
    <mergeCell ref="AJ104:AK104"/>
    <mergeCell ref="AJ105:AK105"/>
    <mergeCell ref="AJ106:AK106"/>
    <mergeCell ref="G34:I35"/>
    <mergeCell ref="G36:I37"/>
    <mergeCell ref="G38:I39"/>
    <mergeCell ref="AJ87:AK87"/>
    <mergeCell ref="AJ88:AK88"/>
    <mergeCell ref="AJ90:AK90"/>
    <mergeCell ref="G40:I40"/>
    <mergeCell ref="G41:I41"/>
    <mergeCell ref="G42:I42"/>
    <mergeCell ref="AP75:AQ76"/>
    <mergeCell ref="L34:L35"/>
    <mergeCell ref="G47:H47"/>
    <mergeCell ref="Q48:Q49"/>
    <mergeCell ref="M54:N54"/>
    <mergeCell ref="M41:N41"/>
    <mergeCell ref="M42:N42"/>
    <mergeCell ref="AJ124:AK124"/>
    <mergeCell ref="AJ125:AK125"/>
    <mergeCell ref="AJ126:AK126"/>
    <mergeCell ref="AJ127:AK127"/>
    <mergeCell ref="AJ128:AK128"/>
    <mergeCell ref="AJ130:AK130"/>
    <mergeCell ref="AJ107:AK107"/>
    <mergeCell ref="AJ108:AK108"/>
    <mergeCell ref="AJ110:AK110"/>
    <mergeCell ref="AJ111:AK111"/>
    <mergeCell ref="AJ147:AK147"/>
    <mergeCell ref="AJ148:AK148"/>
    <mergeCell ref="AJ150:AK150"/>
    <mergeCell ref="AJ151:AK151"/>
    <mergeCell ref="AP155:AQ156"/>
    <mergeCell ref="AJ163:AK163"/>
    <mergeCell ref="AJ131:AK131"/>
    <mergeCell ref="AP135:AQ136"/>
    <mergeCell ref="AJ143:AK143"/>
    <mergeCell ref="AJ144:AK144"/>
    <mergeCell ref="AJ145:AK145"/>
    <mergeCell ref="AJ146:AK146"/>
    <mergeCell ref="AJ183:AK183"/>
    <mergeCell ref="AJ184:AK184"/>
    <mergeCell ref="AJ185:AK185"/>
    <mergeCell ref="AJ186:AK186"/>
    <mergeCell ref="AJ164:AK164"/>
    <mergeCell ref="AJ165:AK165"/>
    <mergeCell ref="AJ166:AK166"/>
    <mergeCell ref="AJ167:AK167"/>
    <mergeCell ref="AJ168:AK168"/>
    <mergeCell ref="AJ170:AK170"/>
    <mergeCell ref="AJ211:AK211"/>
    <mergeCell ref="AP215:AQ216"/>
    <mergeCell ref="AS63:AT63"/>
    <mergeCell ref="AS64:AT64"/>
    <mergeCell ref="AS65:AT65"/>
    <mergeCell ref="AS66:AT66"/>
    <mergeCell ref="AS67:AT67"/>
    <mergeCell ref="AS68:AT68"/>
    <mergeCell ref="AS70:AT70"/>
    <mergeCell ref="AS71:AT71"/>
    <mergeCell ref="AJ204:AK204"/>
    <mergeCell ref="AJ205:AK205"/>
    <mergeCell ref="AJ206:AK206"/>
    <mergeCell ref="AJ207:AK207"/>
    <mergeCell ref="AJ208:AK208"/>
    <mergeCell ref="AJ210:AK210"/>
    <mergeCell ref="AJ187:AK187"/>
    <mergeCell ref="AJ188:AK188"/>
    <mergeCell ref="AJ190:AK190"/>
    <mergeCell ref="AJ191:AK191"/>
    <mergeCell ref="AP195:AQ196"/>
    <mergeCell ref="AJ203:AK203"/>
    <mergeCell ref="AJ171:AK171"/>
    <mergeCell ref="AP175:AQ176"/>
    <mergeCell ref="AY95:AZ96"/>
    <mergeCell ref="AS103:AT103"/>
    <mergeCell ref="AS104:AT104"/>
    <mergeCell ref="AY75:AZ76"/>
    <mergeCell ref="AS83:AT83"/>
    <mergeCell ref="AS84:AT84"/>
    <mergeCell ref="AS85:AT85"/>
    <mergeCell ref="AS86:AT86"/>
    <mergeCell ref="AS87:AT87"/>
    <mergeCell ref="AS105:AT105"/>
    <mergeCell ref="AS106:AT106"/>
    <mergeCell ref="AS107:AT107"/>
    <mergeCell ref="AS108:AT108"/>
    <mergeCell ref="AS110:AT110"/>
    <mergeCell ref="AS111:AT111"/>
    <mergeCell ref="AS88:AT88"/>
    <mergeCell ref="AS90:AT90"/>
    <mergeCell ref="AS91:AT91"/>
    <mergeCell ref="AY135:AZ136"/>
    <mergeCell ref="AS143:AT143"/>
    <mergeCell ref="AS144:AT144"/>
    <mergeCell ref="AY115:AZ116"/>
    <mergeCell ref="AS123:AT123"/>
    <mergeCell ref="AS124:AT124"/>
    <mergeCell ref="AS125:AT125"/>
    <mergeCell ref="AS126:AT126"/>
    <mergeCell ref="AS127:AT127"/>
    <mergeCell ref="AS145:AT145"/>
    <mergeCell ref="AS146:AT146"/>
    <mergeCell ref="AS147:AT147"/>
    <mergeCell ref="AS148:AT148"/>
    <mergeCell ref="AS150:AT150"/>
    <mergeCell ref="AS151:AT151"/>
    <mergeCell ref="AS128:AT128"/>
    <mergeCell ref="AS130:AT130"/>
    <mergeCell ref="AS131:AT131"/>
    <mergeCell ref="AS171:AT171"/>
    <mergeCell ref="AY175:AZ176"/>
    <mergeCell ref="AS183:AT183"/>
    <mergeCell ref="AS184:AT184"/>
    <mergeCell ref="AY155:AZ156"/>
    <mergeCell ref="AS163:AT163"/>
    <mergeCell ref="AS164:AT164"/>
    <mergeCell ref="AS165:AT165"/>
    <mergeCell ref="AS166:AT166"/>
    <mergeCell ref="AS167:AT167"/>
    <mergeCell ref="AS208:AT208"/>
    <mergeCell ref="AS210:AT210"/>
    <mergeCell ref="AS211:AT211"/>
    <mergeCell ref="AY215:AZ216"/>
    <mergeCell ref="BB63:BC63"/>
    <mergeCell ref="BB64:BC64"/>
    <mergeCell ref="BB65:BC65"/>
    <mergeCell ref="BB66:BC66"/>
    <mergeCell ref="BB67:BC67"/>
    <mergeCell ref="BB68:BC68"/>
    <mergeCell ref="AY195:AZ196"/>
    <mergeCell ref="AS203:AT203"/>
    <mergeCell ref="AS204:AT204"/>
    <mergeCell ref="AS205:AT205"/>
    <mergeCell ref="AS206:AT206"/>
    <mergeCell ref="AS207:AT207"/>
    <mergeCell ref="AS185:AT185"/>
    <mergeCell ref="AS186:AT186"/>
    <mergeCell ref="AS187:AT187"/>
    <mergeCell ref="AS188:AT188"/>
    <mergeCell ref="AS190:AT190"/>
    <mergeCell ref="AS191:AT191"/>
    <mergeCell ref="AS168:AT168"/>
    <mergeCell ref="AS170:AT170"/>
    <mergeCell ref="BH95:BI96"/>
    <mergeCell ref="BB103:BC103"/>
    <mergeCell ref="BB70:BC70"/>
    <mergeCell ref="BB71:BC71"/>
    <mergeCell ref="BB86:BC86"/>
    <mergeCell ref="BH75:BI76"/>
    <mergeCell ref="BB83:BC83"/>
    <mergeCell ref="BB84:BC84"/>
    <mergeCell ref="BB85:BC85"/>
    <mergeCell ref="BB104:BC104"/>
    <mergeCell ref="BB105:BC105"/>
    <mergeCell ref="BB106:BC106"/>
    <mergeCell ref="BB107:BC107"/>
    <mergeCell ref="BB108:BC108"/>
    <mergeCell ref="BB110:BC110"/>
    <mergeCell ref="BB87:BC87"/>
    <mergeCell ref="BB88:BC88"/>
    <mergeCell ref="BB90:BC90"/>
    <mergeCell ref="BB91:BC91"/>
    <mergeCell ref="BB130:BC130"/>
    <mergeCell ref="BB131:BC131"/>
    <mergeCell ref="BH135:BI136"/>
    <mergeCell ref="BB143:BC143"/>
    <mergeCell ref="BB111:BC111"/>
    <mergeCell ref="BH115:BI116"/>
    <mergeCell ref="BB123:BC123"/>
    <mergeCell ref="BB124:BC124"/>
    <mergeCell ref="BB125:BC125"/>
    <mergeCell ref="BB126:BC126"/>
    <mergeCell ref="BB211:BC211"/>
    <mergeCell ref="BH215:BI216"/>
    <mergeCell ref="BK63:BL63"/>
    <mergeCell ref="BK64:BL64"/>
    <mergeCell ref="BK65:BL65"/>
    <mergeCell ref="BK66:BL66"/>
    <mergeCell ref="BK67:BL67"/>
    <mergeCell ref="BB191:BC191"/>
    <mergeCell ref="BH195:BI196"/>
    <mergeCell ref="BB203:BC203"/>
    <mergeCell ref="BB204:BC204"/>
    <mergeCell ref="BB205:BC205"/>
    <mergeCell ref="BB206:BC206"/>
    <mergeCell ref="BB184:BC184"/>
    <mergeCell ref="BB185:BC185"/>
    <mergeCell ref="BB186:BC186"/>
    <mergeCell ref="BB187:BC187"/>
    <mergeCell ref="BB188:BC188"/>
    <mergeCell ref="BB190:BC190"/>
    <mergeCell ref="BB167:BC167"/>
    <mergeCell ref="BB168:BC168"/>
    <mergeCell ref="BB170:BC170"/>
    <mergeCell ref="BB171:BC171"/>
    <mergeCell ref="BH175:BI176"/>
    <mergeCell ref="BK68:BL68"/>
    <mergeCell ref="BK70:BL70"/>
    <mergeCell ref="BK71:BL71"/>
    <mergeCell ref="BQ75:BR76"/>
    <mergeCell ref="BK83:BL83"/>
    <mergeCell ref="BK84:BL84"/>
    <mergeCell ref="BB207:BC207"/>
    <mergeCell ref="BB208:BC208"/>
    <mergeCell ref="BB210:BC210"/>
    <mergeCell ref="BB183:BC183"/>
    <mergeCell ref="BB151:BC151"/>
    <mergeCell ref="BH155:BI156"/>
    <mergeCell ref="BB163:BC163"/>
    <mergeCell ref="BB164:BC164"/>
    <mergeCell ref="BB165:BC165"/>
    <mergeCell ref="BB166:BC166"/>
    <mergeCell ref="BB144:BC144"/>
    <mergeCell ref="BB145:BC145"/>
    <mergeCell ref="BB146:BC146"/>
    <mergeCell ref="BB147:BC147"/>
    <mergeCell ref="BB148:BC148"/>
    <mergeCell ref="BB150:BC150"/>
    <mergeCell ref="BB127:BC127"/>
    <mergeCell ref="BB128:BC128"/>
    <mergeCell ref="BK103:BL103"/>
    <mergeCell ref="BK104:BL104"/>
    <mergeCell ref="BK105:BL105"/>
    <mergeCell ref="BK106:BL106"/>
    <mergeCell ref="BK107:BL107"/>
    <mergeCell ref="BK85:BL85"/>
    <mergeCell ref="BK86:BL86"/>
    <mergeCell ref="BK87:BL87"/>
    <mergeCell ref="BK88:BL88"/>
    <mergeCell ref="BK90:BL90"/>
    <mergeCell ref="BK91:BL91"/>
    <mergeCell ref="BK125:BL125"/>
    <mergeCell ref="BK126:BL126"/>
    <mergeCell ref="BK127:BL127"/>
    <mergeCell ref="BK128:BL128"/>
    <mergeCell ref="BK130:BL130"/>
    <mergeCell ref="BK131:BL131"/>
    <mergeCell ref="BK108:BL108"/>
    <mergeCell ref="BK110:BL110"/>
    <mergeCell ref="BK111:BL111"/>
    <mergeCell ref="BK123:BL123"/>
    <mergeCell ref="BK124:BL124"/>
    <mergeCell ref="BK148:BL148"/>
    <mergeCell ref="BK150:BL150"/>
    <mergeCell ref="BK151:BL151"/>
    <mergeCell ref="BQ155:BR156"/>
    <mergeCell ref="BK163:BL163"/>
    <mergeCell ref="BK164:BL164"/>
    <mergeCell ref="BQ135:BR136"/>
    <mergeCell ref="BK143:BL143"/>
    <mergeCell ref="BK144:BL144"/>
    <mergeCell ref="BK145:BL145"/>
    <mergeCell ref="BK146:BL146"/>
    <mergeCell ref="BK147:BL147"/>
    <mergeCell ref="BK183:BL183"/>
    <mergeCell ref="BK184:BL184"/>
    <mergeCell ref="BK185:BL185"/>
    <mergeCell ref="BK186:BL186"/>
    <mergeCell ref="BK187:BL187"/>
    <mergeCell ref="BK165:BL165"/>
    <mergeCell ref="BK166:BL166"/>
    <mergeCell ref="BK167:BL167"/>
    <mergeCell ref="BK168:BL168"/>
    <mergeCell ref="BK170:BL170"/>
    <mergeCell ref="BK171:BL171"/>
    <mergeCell ref="BK205:BL205"/>
    <mergeCell ref="BK206:BL206"/>
    <mergeCell ref="BK207:BL207"/>
    <mergeCell ref="BK208:BL208"/>
    <mergeCell ref="BK210:BL210"/>
    <mergeCell ref="BK211:BL211"/>
    <mergeCell ref="BK188:BL188"/>
    <mergeCell ref="BK190:BL190"/>
    <mergeCell ref="BK191:BL191"/>
    <mergeCell ref="BK203:BL203"/>
    <mergeCell ref="BK204:BL204"/>
    <mergeCell ref="BZ75:CA76"/>
    <mergeCell ref="BT83:BU83"/>
    <mergeCell ref="BT84:BU84"/>
    <mergeCell ref="BT85:BU85"/>
    <mergeCell ref="BT87:BU87"/>
    <mergeCell ref="BT88:BU88"/>
    <mergeCell ref="BQ215:BR216"/>
    <mergeCell ref="BT63:BU63"/>
    <mergeCell ref="BT64:BU64"/>
    <mergeCell ref="BT65:BU65"/>
    <mergeCell ref="BT66:BU66"/>
    <mergeCell ref="BT67:BU67"/>
    <mergeCell ref="BT68:BU68"/>
    <mergeCell ref="BT70:BU70"/>
    <mergeCell ref="BT71:BU71"/>
    <mergeCell ref="BT86:BU86"/>
    <mergeCell ref="BQ195:BR196"/>
    <mergeCell ref="BQ175:BR176"/>
    <mergeCell ref="BQ115:BR116"/>
    <mergeCell ref="BQ95:BR96"/>
    <mergeCell ref="BT106:BU106"/>
    <mergeCell ref="BT107:BU107"/>
    <mergeCell ref="BT108:BU108"/>
    <mergeCell ref="BT110:BU110"/>
    <mergeCell ref="BT111:BU111"/>
    <mergeCell ref="BZ115:CA116"/>
    <mergeCell ref="BT90:BU90"/>
    <mergeCell ref="BT91:BU91"/>
    <mergeCell ref="BZ95:CA96"/>
    <mergeCell ref="BT103:BU103"/>
    <mergeCell ref="BT104:BU104"/>
    <mergeCell ref="BT105:BU105"/>
    <mergeCell ref="BZ155:CA156"/>
    <mergeCell ref="BT130:BU130"/>
    <mergeCell ref="BT131:BU131"/>
    <mergeCell ref="BZ135:CA136"/>
    <mergeCell ref="BT143:BU143"/>
    <mergeCell ref="BT144:BU144"/>
    <mergeCell ref="BT145:BU145"/>
    <mergeCell ref="BT123:BU123"/>
    <mergeCell ref="BT124:BU124"/>
    <mergeCell ref="BT125:BU125"/>
    <mergeCell ref="BT126:BU126"/>
    <mergeCell ref="BT127:BU127"/>
    <mergeCell ref="BT128:BU128"/>
    <mergeCell ref="BT163:BU163"/>
    <mergeCell ref="BT164:BU164"/>
    <mergeCell ref="BT165:BU165"/>
    <mergeCell ref="BT166:BU166"/>
    <mergeCell ref="BT167:BU167"/>
    <mergeCell ref="BT168:BU168"/>
    <mergeCell ref="BT146:BU146"/>
    <mergeCell ref="BT147:BU147"/>
    <mergeCell ref="BT148:BU148"/>
    <mergeCell ref="BT150:BU150"/>
    <mergeCell ref="BT151:BU151"/>
    <mergeCell ref="BT186:BU186"/>
    <mergeCell ref="BT187:BU187"/>
    <mergeCell ref="BT188:BU188"/>
    <mergeCell ref="BT190:BU190"/>
    <mergeCell ref="BT191:BU191"/>
    <mergeCell ref="BZ195:CA196"/>
    <mergeCell ref="BT170:BU170"/>
    <mergeCell ref="BT171:BU171"/>
    <mergeCell ref="BZ175:CA176"/>
    <mergeCell ref="BT183:BU183"/>
    <mergeCell ref="BT184:BU184"/>
    <mergeCell ref="BT185:BU185"/>
    <mergeCell ref="BT203:BU203"/>
    <mergeCell ref="BT204:BU204"/>
    <mergeCell ref="BT210:BU210"/>
    <mergeCell ref="BT211:BU211"/>
    <mergeCell ref="BZ215:CA216"/>
    <mergeCell ref="BT205:BU205"/>
    <mergeCell ref="BT206:BU206"/>
    <mergeCell ref="BT207:BU207"/>
    <mergeCell ref="BT208:BU208"/>
  </mergeCells>
  <phoneticPr fontId="2"/>
  <dataValidations count="5">
    <dataValidation type="list" showInputMessage="1" showErrorMessage="1" sqref="D24:E29 D31:E31">
      <formula1>$AF$3:$AF$44</formula1>
    </dataValidation>
    <dataValidation type="list" errorStyle="warning" showInputMessage="1" showErrorMessage="1" sqref="D23">
      <formula1>$AF$3:$AF$44</formula1>
    </dataValidation>
    <dataValidation type="list" errorStyle="warning" allowBlank="1" showInputMessage="1" showErrorMessage="1" sqref="I23:I29">
      <formula1>$AH$3:$AH$11</formula1>
    </dataValidation>
    <dataValidation type="custom" allowBlank="1" showInputMessage="1" showErrorMessage="1" errorTitle="弛度補正入力" error="使用電線を選択してください。" sqref="I47 I33">
      <formula1>IF(G33="弛度補正",TRUE,FALSE)</formula1>
    </dataValidation>
    <dataValidation type="custom" allowBlank="1" showInputMessage="1" showErrorMessage="1" errorTitle="弛度補正値入力" error="使用電線を選択して下さい!!" sqref="C47 C33 N33">
      <formula1>IF(B33="弛度補正",TRUE,FALSE)</formula1>
    </dataValidation>
  </dataValidations>
  <pageMargins left="0.70866141732283472" right="0.39370078740157483" top="0.43307086614173229" bottom="0.43307086614173229" header="0" footer="0"/>
  <pageSetup paperSize="9" scale="98" orientation="portrait" r:id="rId1"/>
  <headerFooter alignWithMargins="0">
    <oddFooter>&amp;RNo.５</oddFooter>
  </headerFooter>
  <colBreaks count="1" manualBreakCount="1">
    <brk id="18" max="224" man="1"/>
  </colBreaks>
  <drawing r:id="rId2"/>
  <legacyDrawing r:id="rId3"/>
  <oleObjects>
    <mc:AlternateContent xmlns:mc="http://schemas.openxmlformats.org/markup-compatibility/2006">
      <mc:Choice Requires="x14">
        <oleObject progId="Equation.3" shapeId="20494" r:id="rId4">
          <objectPr defaultSize="0" autoPict="0" r:id="rId5">
            <anchor moveWithCells="1" sizeWithCells="1">
              <from>
                <xdr:col>12</xdr:col>
                <xdr:colOff>466725</xdr:colOff>
                <xdr:row>8</xdr:row>
                <xdr:rowOff>180975</xdr:rowOff>
              </from>
              <to>
                <xdr:col>14</xdr:col>
                <xdr:colOff>66675</xdr:colOff>
                <xdr:row>10</xdr:row>
                <xdr:rowOff>123825</xdr:rowOff>
              </to>
            </anchor>
          </objectPr>
        </oleObject>
      </mc:Choice>
      <mc:Fallback>
        <oleObject progId="Equation.3" shapeId="20494" r:id="rId4"/>
      </mc:Fallback>
    </mc:AlternateContent>
    <mc:AlternateContent xmlns:mc="http://schemas.openxmlformats.org/markup-compatibility/2006">
      <mc:Choice Requires="x14">
        <oleObject progId="Equation.3" shapeId="20495" r:id="rId6">
          <objectPr defaultSize="0" autoPict="0" r:id="rId7">
            <anchor moveWithCells="1" sizeWithCells="1">
              <from>
                <xdr:col>9</xdr:col>
                <xdr:colOff>0</xdr:colOff>
                <xdr:row>7</xdr:row>
                <xdr:rowOff>28575</xdr:rowOff>
              </from>
              <to>
                <xdr:col>11</xdr:col>
                <xdr:colOff>409575</xdr:colOff>
                <xdr:row>8</xdr:row>
                <xdr:rowOff>171450</xdr:rowOff>
              </to>
            </anchor>
          </objectPr>
        </oleObject>
      </mc:Choice>
      <mc:Fallback>
        <oleObject progId="Equation.3" shapeId="20495" r:id="rId6"/>
      </mc:Fallback>
    </mc:AlternateContent>
    <mc:AlternateContent xmlns:mc="http://schemas.openxmlformats.org/markup-compatibility/2006">
      <mc:Choice Requires="x14">
        <oleObject progId="Equation.3" shapeId="20497" r:id="rId8">
          <objectPr defaultSize="0" autoPict="0" r:id="rId9">
            <anchor moveWithCells="1" sizeWithCells="1">
              <from>
                <xdr:col>12</xdr:col>
                <xdr:colOff>352425</xdr:colOff>
                <xdr:row>7</xdr:row>
                <xdr:rowOff>38100</xdr:rowOff>
              </from>
              <to>
                <xdr:col>14</xdr:col>
                <xdr:colOff>85725</xdr:colOff>
                <xdr:row>8</xdr:row>
                <xdr:rowOff>152400</xdr:rowOff>
              </to>
            </anchor>
          </objectPr>
        </oleObject>
      </mc:Choice>
      <mc:Fallback>
        <oleObject progId="Equation.3" shapeId="20497" r:id="rId8"/>
      </mc:Fallback>
    </mc:AlternateContent>
    <mc:AlternateContent xmlns:mc="http://schemas.openxmlformats.org/markup-compatibility/2006">
      <mc:Choice Requires="x14">
        <oleObject progId="Equation.3" shapeId="20498" r:id="rId10">
          <objectPr defaultSize="0" autoPict="0" r:id="rId11">
            <anchor moveWithCells="1" sizeWithCells="1">
              <from>
                <xdr:col>3</xdr:col>
                <xdr:colOff>38100</xdr:colOff>
                <xdr:row>8</xdr:row>
                <xdr:rowOff>200025</xdr:rowOff>
              </from>
              <to>
                <xdr:col>7</xdr:col>
                <xdr:colOff>133350</xdr:colOff>
                <xdr:row>10</xdr:row>
                <xdr:rowOff>123825</xdr:rowOff>
              </to>
            </anchor>
          </objectPr>
        </oleObject>
      </mc:Choice>
      <mc:Fallback>
        <oleObject progId="Equation.3" shapeId="20498" r:id="rId10"/>
      </mc:Fallback>
    </mc:AlternateContent>
    <mc:AlternateContent xmlns:mc="http://schemas.openxmlformats.org/markup-compatibility/2006">
      <mc:Choice Requires="x14">
        <oleObject progId="Equation.3" shapeId="20499" r:id="rId12">
          <objectPr defaultSize="0" autoPict="0" r:id="rId13">
            <anchor moveWithCells="1" sizeWithCells="1">
              <from>
                <xdr:col>8</xdr:col>
                <xdr:colOff>104775</xdr:colOff>
                <xdr:row>8</xdr:row>
                <xdr:rowOff>161925</xdr:rowOff>
              </from>
              <to>
                <xdr:col>10</xdr:col>
                <xdr:colOff>133350</xdr:colOff>
                <xdr:row>10</xdr:row>
                <xdr:rowOff>114300</xdr:rowOff>
              </to>
            </anchor>
          </objectPr>
        </oleObject>
      </mc:Choice>
      <mc:Fallback>
        <oleObject progId="Equation.3" shapeId="20499" r:id="rId12"/>
      </mc:Fallback>
    </mc:AlternateContent>
    <mc:AlternateContent xmlns:mc="http://schemas.openxmlformats.org/markup-compatibility/2006">
      <mc:Choice Requires="x14">
        <oleObject progId="Equation.3" shapeId="20500" r:id="rId14">
          <objectPr defaultSize="0" autoPict="0" r:id="rId15">
            <anchor moveWithCells="1" sizeWithCells="1">
              <from>
                <xdr:col>10</xdr:col>
                <xdr:colOff>304800</xdr:colOff>
                <xdr:row>8</xdr:row>
                <xdr:rowOff>200025</xdr:rowOff>
              </from>
              <to>
                <xdr:col>12</xdr:col>
                <xdr:colOff>209550</xdr:colOff>
                <xdr:row>10</xdr:row>
                <xdr:rowOff>104775</xdr:rowOff>
              </to>
            </anchor>
          </objectPr>
        </oleObject>
      </mc:Choice>
      <mc:Fallback>
        <oleObject progId="Equation.3" shapeId="20500" r:id="rId14"/>
      </mc:Fallback>
    </mc:AlternateContent>
    <mc:AlternateContent xmlns:mc="http://schemas.openxmlformats.org/markup-compatibility/2006">
      <mc:Choice Requires="x14">
        <oleObject progId="Equation.3" shapeId="20501" r:id="rId16">
          <objectPr defaultSize="0" autoPict="0" r:id="rId17">
            <anchor moveWithCells="1" sizeWithCells="1">
              <from>
                <xdr:col>14</xdr:col>
                <xdr:colOff>257175</xdr:colOff>
                <xdr:row>9</xdr:row>
                <xdr:rowOff>0</xdr:rowOff>
              </from>
              <to>
                <xdr:col>15</xdr:col>
                <xdr:colOff>390525</xdr:colOff>
                <xdr:row>10</xdr:row>
                <xdr:rowOff>123825</xdr:rowOff>
              </to>
            </anchor>
          </objectPr>
        </oleObject>
      </mc:Choice>
      <mc:Fallback>
        <oleObject progId="Equation.3" shapeId="20501" r:id="rId16"/>
      </mc:Fallback>
    </mc:AlternateContent>
    <mc:AlternateContent xmlns:mc="http://schemas.openxmlformats.org/markup-compatibility/2006">
      <mc:Choice Requires="x14">
        <oleObject progId="Equation.3" shapeId="20503" r:id="rId18">
          <objectPr defaultSize="0" autoPict="0" r:id="rId19">
            <anchor moveWithCells="1" sizeWithCells="1">
              <from>
                <xdr:col>2</xdr:col>
                <xdr:colOff>66675</xdr:colOff>
                <xdr:row>7</xdr:row>
                <xdr:rowOff>38100</xdr:rowOff>
              </from>
              <to>
                <xdr:col>6</xdr:col>
                <xdr:colOff>180975</xdr:colOff>
                <xdr:row>8</xdr:row>
                <xdr:rowOff>171450</xdr:rowOff>
              </to>
            </anchor>
          </objectPr>
        </oleObject>
      </mc:Choice>
      <mc:Fallback>
        <oleObject progId="Equation.3" shapeId="20503" r:id="rId1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indexed="47"/>
    <pageSetUpPr fitToPage="1"/>
  </sheetPr>
  <dimension ref="A1:Q63"/>
  <sheetViews>
    <sheetView view="pageBreakPreview" zoomScale="115" zoomScaleNormal="100" zoomScaleSheetLayoutView="115" workbookViewId="0">
      <selection sqref="A1:A63"/>
    </sheetView>
  </sheetViews>
  <sheetFormatPr defaultRowHeight="13.5" x14ac:dyDescent="0.15"/>
  <cols>
    <col min="1" max="1" width="2.125" style="216" customWidth="1"/>
    <col min="2" max="2" width="12.5" style="216" customWidth="1"/>
    <col min="3" max="5" width="5" style="216" customWidth="1"/>
    <col min="6" max="17" width="5.5" style="216" customWidth="1"/>
    <col min="18" max="16384" width="9" style="216"/>
  </cols>
  <sheetData>
    <row r="1" spans="1:17" ht="13.5" customHeight="1" thickBot="1" x14ac:dyDescent="0.2">
      <c r="A1" s="465" t="s">
        <v>127</v>
      </c>
      <c r="B1" s="256" t="s">
        <v>164</v>
      </c>
      <c r="C1" s="256"/>
      <c r="D1" s="176"/>
      <c r="E1" s="176"/>
      <c r="F1" s="176"/>
      <c r="G1" s="176"/>
      <c r="H1" s="176"/>
      <c r="I1" s="176"/>
      <c r="J1" s="176"/>
      <c r="K1" s="176"/>
      <c r="L1" s="377"/>
      <c r="M1" s="377"/>
      <c r="N1" s="377"/>
      <c r="O1" s="378">
        <f ca="1">NOW()</f>
        <v>43058.134259837963</v>
      </c>
      <c r="P1" s="378"/>
      <c r="Q1" s="378"/>
    </row>
    <row r="2" spans="1:17" ht="12.75" customHeight="1" x14ac:dyDescent="0.15">
      <c r="A2" s="465"/>
      <c r="B2" s="398"/>
      <c r="C2" s="413" t="str">
        <f>'WireDip-01'!C2</f>
        <v xml:space="preserve"> 貴社名を入力して下さい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2"/>
      <c r="O2" s="257"/>
      <c r="P2" s="258"/>
      <c r="Q2" s="259"/>
    </row>
    <row r="3" spans="1:17" ht="12" customHeight="1" x14ac:dyDescent="0.15">
      <c r="A3" s="465"/>
      <c r="B3" s="399"/>
      <c r="C3" s="403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  <c r="O3" s="260"/>
      <c r="P3" s="261"/>
      <c r="Q3" s="262"/>
    </row>
    <row r="4" spans="1:17" ht="16.5" customHeight="1" thickBot="1" x14ac:dyDescent="0.2">
      <c r="A4" s="465"/>
      <c r="B4" s="488" t="s">
        <v>178</v>
      </c>
      <c r="C4" s="406" t="str">
        <f>'WireDip-01'!C4</f>
        <v xml:space="preserve"> 物件名を入力して下さい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8"/>
      <c r="O4" s="263" t="s">
        <v>180</v>
      </c>
      <c r="P4" s="409" t="str">
        <f>'WireDip-01'!P4</f>
        <v>サイン</v>
      </c>
      <c r="Q4" s="410"/>
    </row>
    <row r="5" spans="1:17" ht="18" customHeight="1" thickBot="1" x14ac:dyDescent="0.2">
      <c r="A5" s="465"/>
      <c r="B5" s="20" t="s">
        <v>249</v>
      </c>
      <c r="C5" s="183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64" t="s">
        <v>176</v>
      </c>
    </row>
    <row r="6" spans="1:17" ht="9" customHeight="1" x14ac:dyDescent="0.15">
      <c r="A6" s="465"/>
      <c r="B6" s="222"/>
      <c r="C6" s="223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5"/>
      <c r="Q6" s="226"/>
    </row>
    <row r="7" spans="1:17" ht="16.5" customHeight="1" x14ac:dyDescent="0.15">
      <c r="A7" s="465"/>
      <c r="B7" s="228"/>
      <c r="C7" s="459" t="s">
        <v>165</v>
      </c>
      <c r="D7" s="460" t="s">
        <v>166</v>
      </c>
      <c r="E7" s="476" t="s">
        <v>167</v>
      </c>
      <c r="F7" s="468" t="s">
        <v>250</v>
      </c>
      <c r="G7" s="469"/>
      <c r="H7" s="470"/>
      <c r="I7" s="468" t="s">
        <v>251</v>
      </c>
      <c r="J7" s="469"/>
      <c r="K7" s="470"/>
      <c r="L7" s="468" t="s">
        <v>254</v>
      </c>
      <c r="M7" s="469"/>
      <c r="N7" s="470"/>
      <c r="O7" s="468" t="s">
        <v>252</v>
      </c>
      <c r="P7" s="469"/>
      <c r="Q7" s="471"/>
    </row>
    <row r="8" spans="1:17" ht="16.5" customHeight="1" x14ac:dyDescent="0.15">
      <c r="A8" s="465"/>
      <c r="B8" s="418" t="s">
        <v>170</v>
      </c>
      <c r="C8" s="459"/>
      <c r="D8" s="460"/>
      <c r="E8" s="476"/>
      <c r="F8" s="454" t="s">
        <v>169</v>
      </c>
      <c r="G8" s="455"/>
      <c r="H8" s="456"/>
      <c r="I8" s="454" t="s">
        <v>255</v>
      </c>
      <c r="J8" s="455"/>
      <c r="K8" s="456"/>
      <c r="L8" s="454" t="s">
        <v>255</v>
      </c>
      <c r="M8" s="455"/>
      <c r="N8" s="456"/>
      <c r="O8" s="454" t="s">
        <v>256</v>
      </c>
      <c r="P8" s="455"/>
      <c r="Q8" s="472"/>
    </row>
    <row r="9" spans="1:17" ht="16.5" customHeight="1" x14ac:dyDescent="0.15">
      <c r="A9" s="465"/>
      <c r="B9" s="419"/>
      <c r="C9" s="459"/>
      <c r="D9" s="460"/>
      <c r="E9" s="476"/>
      <c r="F9" s="217" t="s">
        <v>168</v>
      </c>
      <c r="G9" s="218" t="s">
        <v>22</v>
      </c>
      <c r="H9" s="457" t="s">
        <v>23</v>
      </c>
      <c r="I9" s="217" t="s">
        <v>168</v>
      </c>
      <c r="J9" s="218" t="s">
        <v>22</v>
      </c>
      <c r="K9" s="457" t="s">
        <v>23</v>
      </c>
      <c r="L9" s="217" t="s">
        <v>168</v>
      </c>
      <c r="M9" s="218" t="s">
        <v>22</v>
      </c>
      <c r="N9" s="457" t="s">
        <v>23</v>
      </c>
      <c r="O9" s="217" t="s">
        <v>168</v>
      </c>
      <c r="P9" s="218" t="s">
        <v>22</v>
      </c>
      <c r="Q9" s="474" t="s">
        <v>23</v>
      </c>
    </row>
    <row r="10" spans="1:17" ht="12.75" customHeight="1" x14ac:dyDescent="0.15">
      <c r="A10" s="465"/>
      <c r="B10" s="440" t="str">
        <f>IF('WireDip-01'!B19="","",'WireDip-01'!B19)</f>
        <v>構内柱 CP-P01</v>
      </c>
      <c r="C10" s="227" t="s">
        <v>24</v>
      </c>
      <c r="D10" s="220" t="s">
        <v>24</v>
      </c>
      <c r="E10" s="221" t="s">
        <v>24</v>
      </c>
      <c r="F10" s="219" t="s">
        <v>125</v>
      </c>
      <c r="G10" s="220" t="s">
        <v>24</v>
      </c>
      <c r="H10" s="458"/>
      <c r="I10" s="219" t="s">
        <v>125</v>
      </c>
      <c r="J10" s="220" t="s">
        <v>24</v>
      </c>
      <c r="K10" s="458"/>
      <c r="L10" s="219" t="s">
        <v>125</v>
      </c>
      <c r="M10" s="220" t="s">
        <v>24</v>
      </c>
      <c r="N10" s="458"/>
      <c r="O10" s="219" t="s">
        <v>125</v>
      </c>
      <c r="P10" s="220" t="s">
        <v>24</v>
      </c>
      <c r="Q10" s="475"/>
    </row>
    <row r="11" spans="1:17" ht="12.75" customHeight="1" x14ac:dyDescent="0.15">
      <c r="A11" s="465"/>
      <c r="B11" s="441"/>
      <c r="C11" s="467">
        <f>IF('WireDip-01'!F19="","",'WireDip-01'!F19)</f>
        <v>40</v>
      </c>
      <c r="D11" s="464">
        <f>IF('WireDip-01'!L19="","",'WireDip-01'!L19)</f>
        <v>0.5</v>
      </c>
      <c r="E11" s="473" t="str">
        <f>IF(AND('WireDip-01'!C33="",'WireDip-01'!I33="",'WireDip-01'!N33="",'WireDip-01'!C47="",'WireDip-01'!I47=""),"","アリ")</f>
        <v/>
      </c>
      <c r="F11" s="453">
        <f>IF('WireDip-01'!O48="","",'WireDip-01'!O48)</f>
        <v>1630.3239436235408</v>
      </c>
      <c r="G11" s="462">
        <f>IF('WireDip-01'!P48="","",'WireDip-01'!P48)</f>
        <v>0.71477707396172674</v>
      </c>
      <c r="H11" s="463">
        <f>IF('WireDip-01'!Q48="","",'WireDip-01'!Q48)</f>
        <v>4.1815986100309273</v>
      </c>
      <c r="I11" s="453">
        <f>IF('WireDip-01'!O50="","",'WireDip-01'!O50)</f>
        <v>1526.556985271437</v>
      </c>
      <c r="J11" s="462">
        <f>IF('WireDip-01'!P50="","",'WireDip-01'!P50)</f>
        <v>0.45274438511167048</v>
      </c>
      <c r="K11" s="463">
        <f>IF('WireDip-01'!Q50="","",'WireDip-01'!Q50)</f>
        <v>4.3862217154380012</v>
      </c>
      <c r="L11" s="453">
        <f>IF('WireDip-01'!O52="","",'WireDip-01'!O52)</f>
        <v>2221.6783920242647</v>
      </c>
      <c r="M11" s="462">
        <f>IF('WireDip-01'!P52="","",'WireDip-01'!P52)</f>
        <v>0.66471569738201508</v>
      </c>
      <c r="N11" s="463">
        <f>IF('WireDip-01'!Q52="","",'WireDip-01'!Q52)</f>
        <v>3.1730870992203606</v>
      </c>
      <c r="O11" s="453">
        <f>IF('WireDip-01'!O55="","",'WireDip-01'!O55)</f>
        <v>783.6</v>
      </c>
      <c r="P11" s="462">
        <f>IF('WireDip-01'!P55="","",'WireDip-01'!P55)</f>
        <v>0.5</v>
      </c>
      <c r="Q11" s="461">
        <f>IF('WireDip-01'!Q55="","",'WireDip-01'!Q55)</f>
        <v>9.25</v>
      </c>
    </row>
    <row r="12" spans="1:17" ht="12.75" customHeight="1" x14ac:dyDescent="0.15">
      <c r="A12" s="465"/>
      <c r="B12" s="441" t="str">
        <f>IF('WireDip-01'!G19="","",'WireDip-01'!G19)</f>
        <v>構内柱 CP-P02</v>
      </c>
      <c r="C12" s="450"/>
      <c r="D12" s="451"/>
      <c r="E12" s="452"/>
      <c r="F12" s="445"/>
      <c r="G12" s="446"/>
      <c r="H12" s="447"/>
      <c r="I12" s="445"/>
      <c r="J12" s="446"/>
      <c r="K12" s="447"/>
      <c r="L12" s="445"/>
      <c r="M12" s="446"/>
      <c r="N12" s="447"/>
      <c r="O12" s="445"/>
      <c r="P12" s="446"/>
      <c r="Q12" s="444"/>
    </row>
    <row r="13" spans="1:17" ht="12.75" customHeight="1" x14ac:dyDescent="0.15">
      <c r="A13" s="465"/>
      <c r="B13" s="449"/>
      <c r="C13" s="431"/>
      <c r="D13" s="433"/>
      <c r="E13" s="442"/>
      <c r="F13" s="425"/>
      <c r="G13" s="427"/>
      <c r="H13" s="420"/>
      <c r="I13" s="425"/>
      <c r="J13" s="427"/>
      <c r="K13" s="420"/>
      <c r="L13" s="425"/>
      <c r="M13" s="427"/>
      <c r="N13" s="420"/>
      <c r="O13" s="425"/>
      <c r="P13" s="427"/>
      <c r="Q13" s="429"/>
    </row>
    <row r="14" spans="1:17" ht="12.75" customHeight="1" x14ac:dyDescent="0.15">
      <c r="A14" s="465"/>
      <c r="B14" s="414" t="str">
        <f>IF('WireDip-02'!B19="","",'WireDip-02'!B19)</f>
        <v>構内柱 CP-P01</v>
      </c>
      <c r="C14" s="431"/>
      <c r="D14" s="433"/>
      <c r="E14" s="442"/>
      <c r="F14" s="425"/>
      <c r="G14" s="427"/>
      <c r="H14" s="420"/>
      <c r="I14" s="425"/>
      <c r="J14" s="427"/>
      <c r="K14" s="420"/>
      <c r="L14" s="425"/>
      <c r="M14" s="427"/>
      <c r="N14" s="420"/>
      <c r="O14" s="425"/>
      <c r="P14" s="427"/>
      <c r="Q14" s="429"/>
    </row>
    <row r="15" spans="1:17" ht="12.75" customHeight="1" x14ac:dyDescent="0.15">
      <c r="A15" s="465"/>
      <c r="B15" s="415"/>
      <c r="C15" s="435" t="str">
        <f>IF('WireDip-02'!F19="","",'WireDip-02'!F19)</f>
        <v/>
      </c>
      <c r="D15" s="436" t="str">
        <f>IF('WireDip-02'!L19="","",'WireDip-02'!L19)</f>
        <v/>
      </c>
      <c r="E15" s="437" t="str">
        <f>IF(AND('WireDip-02'!C33="",'WireDip-02'!I33="",'WireDip-02'!N33="",'WireDip-02'!C47="",'WireDip-02'!I47=""),"","アリ")</f>
        <v/>
      </c>
      <c r="F15" s="423" t="str">
        <f>IF('WireDip-02'!O48="","",'WireDip-02'!O48)</f>
        <v/>
      </c>
      <c r="G15" s="424" t="str">
        <f>IF('WireDip-02'!P48="","",'WireDip-02'!P48)</f>
        <v/>
      </c>
      <c r="H15" s="422" t="str">
        <f>IF('WireDip-02'!Q48="","",'WireDip-02'!Q48)</f>
        <v/>
      </c>
      <c r="I15" s="423" t="str">
        <f>IF('WireDip-02'!O50="","",'WireDip-02'!O50)</f>
        <v/>
      </c>
      <c r="J15" s="424" t="str">
        <f>IF('WireDip-02'!P50="","",'WireDip-02'!P50)</f>
        <v/>
      </c>
      <c r="K15" s="422" t="str">
        <f>IF('WireDip-02'!Q50="","",'WireDip-02'!Q50)</f>
        <v/>
      </c>
      <c r="L15" s="423" t="str">
        <f>IF('WireDip-02'!O52="","",'WireDip-02'!O52)</f>
        <v/>
      </c>
      <c r="M15" s="424" t="str">
        <f>IF('WireDip-02'!P52="","",'WireDip-02'!P52)</f>
        <v/>
      </c>
      <c r="N15" s="422" t="str">
        <f>IF('WireDip-02'!Q52="","",'WireDip-02'!Q52)</f>
        <v/>
      </c>
      <c r="O15" s="423" t="str">
        <f>IF('WireDip-02'!O55="","",'WireDip-02'!O55)</f>
        <v/>
      </c>
      <c r="P15" s="424" t="str">
        <f>IF('WireDip-02'!P55="","",'WireDip-02'!P55)</f>
        <v/>
      </c>
      <c r="Q15" s="438" t="str">
        <f>IF('WireDip-02'!Q55="","",'WireDip-02'!Q55)</f>
        <v/>
      </c>
    </row>
    <row r="16" spans="1:17" ht="12.75" customHeight="1" x14ac:dyDescent="0.15">
      <c r="A16" s="465"/>
      <c r="B16" s="415" t="str">
        <f>IF('WireDip-02'!G19="","",'WireDip-02'!G19)</f>
        <v>構内柱 CP-P02</v>
      </c>
      <c r="C16" s="435"/>
      <c r="D16" s="436"/>
      <c r="E16" s="437"/>
      <c r="F16" s="423"/>
      <c r="G16" s="424"/>
      <c r="H16" s="422"/>
      <c r="I16" s="423"/>
      <c r="J16" s="424"/>
      <c r="K16" s="422"/>
      <c r="L16" s="423"/>
      <c r="M16" s="424"/>
      <c r="N16" s="422"/>
      <c r="O16" s="423"/>
      <c r="P16" s="424"/>
      <c r="Q16" s="438"/>
    </row>
    <row r="17" spans="1:17" ht="12.75" customHeight="1" x14ac:dyDescent="0.15">
      <c r="A17" s="465"/>
      <c r="B17" s="439"/>
      <c r="C17" s="431"/>
      <c r="D17" s="433"/>
      <c r="E17" s="442"/>
      <c r="F17" s="425"/>
      <c r="G17" s="427"/>
      <c r="H17" s="420"/>
      <c r="I17" s="425"/>
      <c r="J17" s="427"/>
      <c r="K17" s="420"/>
      <c r="L17" s="425"/>
      <c r="M17" s="427"/>
      <c r="N17" s="420"/>
      <c r="O17" s="425"/>
      <c r="P17" s="427"/>
      <c r="Q17" s="429"/>
    </row>
    <row r="18" spans="1:17" ht="12.75" customHeight="1" x14ac:dyDescent="0.15">
      <c r="A18" s="465"/>
      <c r="B18" s="440" t="str">
        <f>IF('WireDip-03'!B19="","",'WireDip-03'!B19)</f>
        <v>構内柱 CP-P01</v>
      </c>
      <c r="C18" s="431"/>
      <c r="D18" s="433"/>
      <c r="E18" s="442"/>
      <c r="F18" s="425"/>
      <c r="G18" s="427"/>
      <c r="H18" s="420"/>
      <c r="I18" s="425"/>
      <c r="J18" s="427"/>
      <c r="K18" s="420"/>
      <c r="L18" s="425"/>
      <c r="M18" s="427"/>
      <c r="N18" s="420"/>
      <c r="O18" s="425"/>
      <c r="P18" s="427"/>
      <c r="Q18" s="429"/>
    </row>
    <row r="19" spans="1:17" ht="12.75" customHeight="1" x14ac:dyDescent="0.15">
      <c r="A19" s="465"/>
      <c r="B19" s="441"/>
      <c r="C19" s="450" t="str">
        <f>IF('WireDip-03'!F19="","",'WireDip-03'!F19)</f>
        <v/>
      </c>
      <c r="D19" s="451" t="str">
        <f>IF('WireDip-03'!L19="","",'WireDip-03'!L19)</f>
        <v/>
      </c>
      <c r="E19" s="452" t="str">
        <f>IF(AND('WireDip-03'!C33="",'WireDip-03'!I33="",'WireDip-03'!N33="",'WireDip-03'!C47="",'WireDip-03'!I47=""),"","アリ")</f>
        <v/>
      </c>
      <c r="F19" s="445" t="str">
        <f>IF('WireDip-03'!O48="","",'WireDip-03'!O48)</f>
        <v/>
      </c>
      <c r="G19" s="446" t="str">
        <f>IF('WireDip-03'!P48="","",'WireDip-03'!P48)</f>
        <v/>
      </c>
      <c r="H19" s="447" t="str">
        <f>IF('WireDip-03'!Q48="","",'WireDip-03'!Q48)</f>
        <v/>
      </c>
      <c r="I19" s="445" t="str">
        <f>IF('WireDip-03'!O50="","",'WireDip-03'!O50)</f>
        <v/>
      </c>
      <c r="J19" s="446" t="str">
        <f>IF('WireDip-03'!P50="","",'WireDip-03'!P50)</f>
        <v/>
      </c>
      <c r="K19" s="447" t="str">
        <f>IF('WireDip-03'!Q50="","",'WireDip-03'!Q50)</f>
        <v/>
      </c>
      <c r="L19" s="445" t="str">
        <f>IF('WireDip-03'!O52="","",'WireDip-03'!O52)</f>
        <v/>
      </c>
      <c r="M19" s="446" t="str">
        <f>IF('WireDip-03'!P52="","",'WireDip-03'!P52)</f>
        <v/>
      </c>
      <c r="N19" s="447" t="str">
        <f>IF('WireDip-03'!Q52="","",'WireDip-03'!Q52)</f>
        <v/>
      </c>
      <c r="O19" s="445" t="str">
        <f>IF('WireDip-03'!O55="","",'WireDip-03'!O55)</f>
        <v/>
      </c>
      <c r="P19" s="446" t="str">
        <f>IF('WireDip-03'!P55="","",'WireDip-03'!P55)</f>
        <v/>
      </c>
      <c r="Q19" s="444" t="str">
        <f>IF('WireDip-03'!Q55="","",'WireDip-03'!Q55)</f>
        <v/>
      </c>
    </row>
    <row r="20" spans="1:17" ht="12.75" customHeight="1" x14ac:dyDescent="0.15">
      <c r="A20" s="465"/>
      <c r="B20" s="441" t="str">
        <f>IF('WireDip-03'!G19="","",'WireDip-03'!G19)</f>
        <v>構内柱 CP-P02</v>
      </c>
      <c r="C20" s="450"/>
      <c r="D20" s="451"/>
      <c r="E20" s="452"/>
      <c r="F20" s="445"/>
      <c r="G20" s="446"/>
      <c r="H20" s="447"/>
      <c r="I20" s="445"/>
      <c r="J20" s="446"/>
      <c r="K20" s="447"/>
      <c r="L20" s="445"/>
      <c r="M20" s="446"/>
      <c r="N20" s="447"/>
      <c r="O20" s="445"/>
      <c r="P20" s="446"/>
      <c r="Q20" s="444"/>
    </row>
    <row r="21" spans="1:17" ht="12.75" customHeight="1" x14ac:dyDescent="0.15">
      <c r="A21" s="465"/>
      <c r="B21" s="449"/>
      <c r="C21" s="431"/>
      <c r="D21" s="433"/>
      <c r="E21" s="442"/>
      <c r="F21" s="425"/>
      <c r="G21" s="427"/>
      <c r="H21" s="420"/>
      <c r="I21" s="425"/>
      <c r="J21" s="427"/>
      <c r="K21" s="420"/>
      <c r="L21" s="425"/>
      <c r="M21" s="427"/>
      <c r="N21" s="420"/>
      <c r="O21" s="425"/>
      <c r="P21" s="427"/>
      <c r="Q21" s="429"/>
    </row>
    <row r="22" spans="1:17" ht="12.75" customHeight="1" x14ac:dyDescent="0.15">
      <c r="A22" s="465"/>
      <c r="B22" s="414" t="str">
        <f>IF('WireDip-04'!B19="","",'WireDip-04'!B19)</f>
        <v>構内柱 CP-P01</v>
      </c>
      <c r="C22" s="431"/>
      <c r="D22" s="433"/>
      <c r="E22" s="442"/>
      <c r="F22" s="425"/>
      <c r="G22" s="427"/>
      <c r="H22" s="420"/>
      <c r="I22" s="425"/>
      <c r="J22" s="427"/>
      <c r="K22" s="420"/>
      <c r="L22" s="425"/>
      <c r="M22" s="427"/>
      <c r="N22" s="420"/>
      <c r="O22" s="425"/>
      <c r="P22" s="427"/>
      <c r="Q22" s="429"/>
    </row>
    <row r="23" spans="1:17" ht="12.75" customHeight="1" x14ac:dyDescent="0.15">
      <c r="A23" s="465"/>
      <c r="B23" s="415"/>
      <c r="C23" s="435" t="str">
        <f>IF('WireDip-04'!F19="","",'WireDip-04'!F19)</f>
        <v/>
      </c>
      <c r="D23" s="436" t="str">
        <f>IF('WireDip-04'!L19="","",'WireDip-04'!L19)</f>
        <v/>
      </c>
      <c r="E23" s="437" t="str">
        <f>IF(AND('WireDip-04'!C33="",'WireDip-04'!I33="",'WireDip-04'!N33="",'WireDip-04'!C47="",'WireDip-04'!I47=""),"","アリ")</f>
        <v/>
      </c>
      <c r="F23" s="423" t="str">
        <f>IF('WireDip-04'!O48="","",'WireDip-04'!O48)</f>
        <v/>
      </c>
      <c r="G23" s="424" t="str">
        <f>IF('WireDip-04'!P48="","",'WireDip-04'!P48)</f>
        <v/>
      </c>
      <c r="H23" s="422" t="str">
        <f>IF('WireDip-04'!Q48="","",'WireDip-04'!Q48)</f>
        <v/>
      </c>
      <c r="I23" s="423" t="str">
        <f>IF('WireDip-04'!O50="","",'WireDip-04'!O50)</f>
        <v/>
      </c>
      <c r="J23" s="424" t="str">
        <f>IF('WireDip-04'!P50="","",'WireDip-04'!P50)</f>
        <v/>
      </c>
      <c r="K23" s="422" t="str">
        <f>IF('WireDip-04'!Q50="","",'WireDip-04'!Q50)</f>
        <v/>
      </c>
      <c r="L23" s="423" t="str">
        <f>IF('WireDip-04'!O52="","",'WireDip-04'!O52)</f>
        <v/>
      </c>
      <c r="M23" s="424" t="str">
        <f>IF('WireDip-04'!P52="","",'WireDip-04'!P52)</f>
        <v/>
      </c>
      <c r="N23" s="422" t="str">
        <f>IF('WireDip-04'!Q52="","",'WireDip-04'!Q52)</f>
        <v/>
      </c>
      <c r="O23" s="423" t="str">
        <f>IF('WireDip-04'!O55="","",'WireDip-04'!O55)</f>
        <v/>
      </c>
      <c r="P23" s="424" t="str">
        <f>IF('WireDip-04'!P55="","",'WireDip-04'!P55)</f>
        <v/>
      </c>
      <c r="Q23" s="438" t="str">
        <f>IF('WireDip-04'!Q55="","",'WireDip-04'!Q55)</f>
        <v/>
      </c>
    </row>
    <row r="24" spans="1:17" ht="12.75" customHeight="1" x14ac:dyDescent="0.15">
      <c r="A24" s="465"/>
      <c r="B24" s="416" t="str">
        <f>IF('WireDip-04'!G19="","",'WireDip-04'!G19)</f>
        <v>構内柱 CP-P02</v>
      </c>
      <c r="C24" s="435"/>
      <c r="D24" s="436"/>
      <c r="E24" s="437"/>
      <c r="F24" s="423"/>
      <c r="G24" s="424"/>
      <c r="H24" s="422"/>
      <c r="I24" s="423"/>
      <c r="J24" s="424"/>
      <c r="K24" s="422"/>
      <c r="L24" s="423"/>
      <c r="M24" s="424"/>
      <c r="N24" s="422"/>
      <c r="O24" s="423"/>
      <c r="P24" s="424"/>
      <c r="Q24" s="438"/>
    </row>
    <row r="25" spans="1:17" ht="12.75" customHeight="1" x14ac:dyDescent="0.15">
      <c r="A25" s="465"/>
      <c r="B25" s="439"/>
      <c r="C25" s="431"/>
      <c r="D25" s="433"/>
      <c r="E25" s="442"/>
      <c r="F25" s="425"/>
      <c r="G25" s="427"/>
      <c r="H25" s="420"/>
      <c r="I25" s="425"/>
      <c r="J25" s="427"/>
      <c r="K25" s="420"/>
      <c r="L25" s="425"/>
      <c r="M25" s="427"/>
      <c r="N25" s="420"/>
      <c r="O25" s="425"/>
      <c r="P25" s="427"/>
      <c r="Q25" s="429"/>
    </row>
    <row r="26" spans="1:17" ht="12.75" customHeight="1" x14ac:dyDescent="0.15">
      <c r="A26" s="465"/>
      <c r="B26" s="440" t="str">
        <f>IF('WireDip-05'!B19="","",'WireDip-05'!B19)</f>
        <v>構内柱 CP-P01</v>
      </c>
      <c r="C26" s="431"/>
      <c r="D26" s="433"/>
      <c r="E26" s="442"/>
      <c r="F26" s="425"/>
      <c r="G26" s="427"/>
      <c r="H26" s="420"/>
      <c r="I26" s="425"/>
      <c r="J26" s="427"/>
      <c r="K26" s="420"/>
      <c r="L26" s="425"/>
      <c r="M26" s="427"/>
      <c r="N26" s="420"/>
      <c r="O26" s="425"/>
      <c r="P26" s="427"/>
      <c r="Q26" s="429"/>
    </row>
    <row r="27" spans="1:17" ht="12.75" customHeight="1" x14ac:dyDescent="0.15">
      <c r="A27" s="465"/>
      <c r="B27" s="441"/>
      <c r="C27" s="450" t="str">
        <f>IF('WireDip-05'!F19="","",'WireDip-05'!F19)</f>
        <v/>
      </c>
      <c r="D27" s="451" t="str">
        <f>IF('WireDip-05'!L19="","",'WireDip-05'!L19)</f>
        <v/>
      </c>
      <c r="E27" s="452" t="str">
        <f>IF(AND('WireDip-05'!C33="",'WireDip-05'!I33="",'WireDip-05'!N33="",'WireDip-05'!C47="",'WireDip-05'!I47=""),"","アリ")</f>
        <v/>
      </c>
      <c r="F27" s="445" t="str">
        <f>IF('WireDip-05'!O48="","",'WireDip-05'!O48)</f>
        <v/>
      </c>
      <c r="G27" s="446" t="str">
        <f>IF('WireDip-05'!P48="","",'WireDip-05'!P48)</f>
        <v/>
      </c>
      <c r="H27" s="447" t="str">
        <f>IF('WireDip-05'!Q48="","",'WireDip-05'!Q48)</f>
        <v/>
      </c>
      <c r="I27" s="445" t="str">
        <f>IF('WireDip-05'!O50="","",'WireDip-05'!O50)</f>
        <v/>
      </c>
      <c r="J27" s="446" t="str">
        <f>IF('WireDip-05'!P50="","",'WireDip-05'!P50)</f>
        <v/>
      </c>
      <c r="K27" s="447" t="str">
        <f>IF('WireDip-05'!Q50="","",'WireDip-05'!Q50)</f>
        <v/>
      </c>
      <c r="L27" s="445" t="str">
        <f>IF('WireDip-05'!O52="","",'WireDip-05'!O52)</f>
        <v/>
      </c>
      <c r="M27" s="446" t="str">
        <f>IF('WireDip-05'!P52="","",'WireDip-05'!P52)</f>
        <v/>
      </c>
      <c r="N27" s="447" t="str">
        <f>IF('WireDip-05'!Q52="","",'WireDip-05'!Q52)</f>
        <v/>
      </c>
      <c r="O27" s="445" t="str">
        <f>IF('WireDip-05'!O55="","",'WireDip-05'!O55)</f>
        <v/>
      </c>
      <c r="P27" s="446" t="str">
        <f>IF('WireDip-05'!P55="","",'WireDip-05'!P55)</f>
        <v/>
      </c>
      <c r="Q27" s="444" t="str">
        <f>IF('WireDip-05'!Q55="","",'WireDip-05'!Q55)</f>
        <v/>
      </c>
    </row>
    <row r="28" spans="1:17" ht="12.75" customHeight="1" x14ac:dyDescent="0.15">
      <c r="A28" s="465"/>
      <c r="B28" s="448" t="str">
        <f>IF('WireDip-05'!G19="","",'WireDip-05'!G19)</f>
        <v>構内柱 CP-P02</v>
      </c>
      <c r="C28" s="450"/>
      <c r="D28" s="451"/>
      <c r="E28" s="452"/>
      <c r="F28" s="445"/>
      <c r="G28" s="446"/>
      <c r="H28" s="447"/>
      <c r="I28" s="445"/>
      <c r="J28" s="446"/>
      <c r="K28" s="447"/>
      <c r="L28" s="445"/>
      <c r="M28" s="446"/>
      <c r="N28" s="447"/>
      <c r="O28" s="445"/>
      <c r="P28" s="446"/>
      <c r="Q28" s="444"/>
    </row>
    <row r="29" spans="1:17" ht="12.75" customHeight="1" x14ac:dyDescent="0.15">
      <c r="A29" s="465"/>
      <c r="B29" s="449"/>
      <c r="C29" s="431"/>
      <c r="D29" s="433"/>
      <c r="E29" s="442"/>
      <c r="F29" s="425"/>
      <c r="G29" s="427"/>
      <c r="H29" s="420"/>
      <c r="I29" s="425"/>
      <c r="J29" s="427"/>
      <c r="K29" s="420"/>
      <c r="L29" s="425"/>
      <c r="M29" s="427"/>
      <c r="N29" s="420"/>
      <c r="O29" s="425"/>
      <c r="P29" s="427"/>
      <c r="Q29" s="429"/>
    </row>
    <row r="30" spans="1:17" ht="12.75" customHeight="1" x14ac:dyDescent="0.15">
      <c r="A30" s="465"/>
      <c r="B30" s="414"/>
      <c r="C30" s="431"/>
      <c r="D30" s="433"/>
      <c r="E30" s="442"/>
      <c r="F30" s="425"/>
      <c r="G30" s="427"/>
      <c r="H30" s="420"/>
      <c r="I30" s="425"/>
      <c r="J30" s="427"/>
      <c r="K30" s="420"/>
      <c r="L30" s="425"/>
      <c r="M30" s="427"/>
      <c r="N30" s="420"/>
      <c r="O30" s="425"/>
      <c r="P30" s="427"/>
      <c r="Q30" s="429"/>
    </row>
    <row r="31" spans="1:17" ht="12.75" customHeight="1" x14ac:dyDescent="0.15">
      <c r="A31" s="465"/>
      <c r="B31" s="415"/>
      <c r="C31" s="435"/>
      <c r="D31" s="436"/>
      <c r="E31" s="437"/>
      <c r="F31" s="423"/>
      <c r="G31" s="424"/>
      <c r="H31" s="422"/>
      <c r="I31" s="423"/>
      <c r="J31" s="424"/>
      <c r="K31" s="422"/>
      <c r="L31" s="423"/>
      <c r="M31" s="424"/>
      <c r="N31" s="422"/>
      <c r="O31" s="423"/>
      <c r="P31" s="424"/>
      <c r="Q31" s="438"/>
    </row>
    <row r="32" spans="1:17" ht="12.75" customHeight="1" x14ac:dyDescent="0.15">
      <c r="A32" s="465"/>
      <c r="B32" s="416"/>
      <c r="C32" s="435"/>
      <c r="D32" s="436"/>
      <c r="E32" s="437"/>
      <c r="F32" s="423"/>
      <c r="G32" s="424"/>
      <c r="H32" s="422"/>
      <c r="I32" s="423"/>
      <c r="J32" s="424"/>
      <c r="K32" s="422"/>
      <c r="L32" s="423"/>
      <c r="M32" s="424"/>
      <c r="N32" s="422"/>
      <c r="O32" s="423"/>
      <c r="P32" s="424"/>
      <c r="Q32" s="438"/>
    </row>
    <row r="33" spans="1:17" ht="12.75" customHeight="1" x14ac:dyDescent="0.15">
      <c r="A33" s="465"/>
      <c r="B33" s="439"/>
      <c r="C33" s="431"/>
      <c r="D33" s="433"/>
      <c r="E33" s="442"/>
      <c r="F33" s="425"/>
      <c r="G33" s="427"/>
      <c r="H33" s="420"/>
      <c r="I33" s="425"/>
      <c r="J33" s="427"/>
      <c r="K33" s="420"/>
      <c r="L33" s="425"/>
      <c r="M33" s="427"/>
      <c r="N33" s="420"/>
      <c r="O33" s="425"/>
      <c r="P33" s="427"/>
      <c r="Q33" s="429"/>
    </row>
    <row r="34" spans="1:17" ht="12.75" customHeight="1" x14ac:dyDescent="0.15">
      <c r="A34" s="465"/>
      <c r="B34" s="440"/>
      <c r="C34" s="431"/>
      <c r="D34" s="433"/>
      <c r="E34" s="442"/>
      <c r="F34" s="425"/>
      <c r="G34" s="427"/>
      <c r="H34" s="420"/>
      <c r="I34" s="425"/>
      <c r="J34" s="427"/>
      <c r="K34" s="420"/>
      <c r="L34" s="425"/>
      <c r="M34" s="427"/>
      <c r="N34" s="420"/>
      <c r="O34" s="425"/>
      <c r="P34" s="427"/>
      <c r="Q34" s="429"/>
    </row>
    <row r="35" spans="1:17" ht="12.75" customHeight="1" x14ac:dyDescent="0.15">
      <c r="A35" s="465"/>
      <c r="B35" s="441"/>
      <c r="C35" s="450"/>
      <c r="D35" s="451"/>
      <c r="E35" s="452"/>
      <c r="F35" s="445"/>
      <c r="G35" s="446"/>
      <c r="H35" s="447"/>
      <c r="I35" s="445"/>
      <c r="J35" s="446"/>
      <c r="K35" s="447"/>
      <c r="L35" s="445"/>
      <c r="M35" s="446"/>
      <c r="N35" s="447"/>
      <c r="O35" s="445"/>
      <c r="P35" s="446"/>
      <c r="Q35" s="444"/>
    </row>
    <row r="36" spans="1:17" ht="12.75" customHeight="1" x14ac:dyDescent="0.15">
      <c r="A36" s="465"/>
      <c r="B36" s="448"/>
      <c r="C36" s="450"/>
      <c r="D36" s="451"/>
      <c r="E36" s="452"/>
      <c r="F36" s="445"/>
      <c r="G36" s="446"/>
      <c r="H36" s="447"/>
      <c r="I36" s="445"/>
      <c r="J36" s="446"/>
      <c r="K36" s="447"/>
      <c r="L36" s="445"/>
      <c r="M36" s="446"/>
      <c r="N36" s="447"/>
      <c r="O36" s="445"/>
      <c r="P36" s="446"/>
      <c r="Q36" s="444"/>
    </row>
    <row r="37" spans="1:17" ht="12.75" customHeight="1" x14ac:dyDescent="0.15">
      <c r="A37" s="465"/>
      <c r="B37" s="449"/>
      <c r="C37" s="431"/>
      <c r="D37" s="433"/>
      <c r="E37" s="442"/>
      <c r="F37" s="425"/>
      <c r="G37" s="427"/>
      <c r="H37" s="420"/>
      <c r="I37" s="425"/>
      <c r="J37" s="427"/>
      <c r="K37" s="420"/>
      <c r="L37" s="425"/>
      <c r="M37" s="427"/>
      <c r="N37" s="420"/>
      <c r="O37" s="425"/>
      <c r="P37" s="427"/>
      <c r="Q37" s="429"/>
    </row>
    <row r="38" spans="1:17" ht="12.75" customHeight="1" x14ac:dyDescent="0.15">
      <c r="A38" s="465"/>
      <c r="B38" s="414"/>
      <c r="C38" s="431"/>
      <c r="D38" s="433"/>
      <c r="E38" s="442"/>
      <c r="F38" s="425"/>
      <c r="G38" s="427"/>
      <c r="H38" s="420"/>
      <c r="I38" s="425"/>
      <c r="J38" s="427"/>
      <c r="K38" s="420"/>
      <c r="L38" s="425"/>
      <c r="M38" s="427"/>
      <c r="N38" s="420"/>
      <c r="O38" s="425"/>
      <c r="P38" s="427"/>
      <c r="Q38" s="429"/>
    </row>
    <row r="39" spans="1:17" ht="12.75" customHeight="1" x14ac:dyDescent="0.15">
      <c r="A39" s="465"/>
      <c r="B39" s="415"/>
      <c r="C39" s="435"/>
      <c r="D39" s="436"/>
      <c r="E39" s="437"/>
      <c r="F39" s="423"/>
      <c r="G39" s="424"/>
      <c r="H39" s="422"/>
      <c r="I39" s="423"/>
      <c r="J39" s="424"/>
      <c r="K39" s="422"/>
      <c r="L39" s="423"/>
      <c r="M39" s="424"/>
      <c r="N39" s="422"/>
      <c r="O39" s="423"/>
      <c r="P39" s="424"/>
      <c r="Q39" s="438"/>
    </row>
    <row r="40" spans="1:17" ht="12.75" customHeight="1" x14ac:dyDescent="0.15">
      <c r="A40" s="465"/>
      <c r="B40" s="416"/>
      <c r="C40" s="435"/>
      <c r="D40" s="436"/>
      <c r="E40" s="437"/>
      <c r="F40" s="423"/>
      <c r="G40" s="424"/>
      <c r="H40" s="422"/>
      <c r="I40" s="423"/>
      <c r="J40" s="424"/>
      <c r="K40" s="422"/>
      <c r="L40" s="423"/>
      <c r="M40" s="424"/>
      <c r="N40" s="422"/>
      <c r="O40" s="423"/>
      <c r="P40" s="424"/>
      <c r="Q40" s="438"/>
    </row>
    <row r="41" spans="1:17" ht="12.75" customHeight="1" x14ac:dyDescent="0.15">
      <c r="A41" s="465"/>
      <c r="B41" s="439"/>
      <c r="C41" s="431"/>
      <c r="D41" s="433"/>
      <c r="E41" s="442"/>
      <c r="F41" s="425"/>
      <c r="G41" s="427"/>
      <c r="H41" s="420"/>
      <c r="I41" s="425"/>
      <c r="J41" s="427"/>
      <c r="K41" s="420"/>
      <c r="L41" s="425"/>
      <c r="M41" s="427"/>
      <c r="N41" s="420"/>
      <c r="O41" s="425"/>
      <c r="P41" s="427"/>
      <c r="Q41" s="429"/>
    </row>
    <row r="42" spans="1:17" ht="12.75" customHeight="1" x14ac:dyDescent="0.15">
      <c r="A42" s="465"/>
      <c r="B42" s="440"/>
      <c r="C42" s="431"/>
      <c r="D42" s="433"/>
      <c r="E42" s="442"/>
      <c r="F42" s="425"/>
      <c r="G42" s="427"/>
      <c r="H42" s="420"/>
      <c r="I42" s="425"/>
      <c r="J42" s="427"/>
      <c r="K42" s="420"/>
      <c r="L42" s="425"/>
      <c r="M42" s="427"/>
      <c r="N42" s="420"/>
      <c r="O42" s="425"/>
      <c r="P42" s="427"/>
      <c r="Q42" s="429"/>
    </row>
    <row r="43" spans="1:17" ht="12.75" customHeight="1" x14ac:dyDescent="0.15">
      <c r="A43" s="465"/>
      <c r="B43" s="441"/>
      <c r="C43" s="450"/>
      <c r="D43" s="451"/>
      <c r="E43" s="452"/>
      <c r="F43" s="445"/>
      <c r="G43" s="446"/>
      <c r="H43" s="447"/>
      <c r="I43" s="445"/>
      <c r="J43" s="446"/>
      <c r="K43" s="447"/>
      <c r="L43" s="445"/>
      <c r="M43" s="446"/>
      <c r="N43" s="447"/>
      <c r="O43" s="445"/>
      <c r="P43" s="446"/>
      <c r="Q43" s="444"/>
    </row>
    <row r="44" spans="1:17" ht="12.75" customHeight="1" x14ac:dyDescent="0.15">
      <c r="A44" s="465"/>
      <c r="B44" s="448"/>
      <c r="C44" s="450"/>
      <c r="D44" s="451"/>
      <c r="E44" s="452"/>
      <c r="F44" s="445"/>
      <c r="G44" s="446"/>
      <c r="H44" s="447"/>
      <c r="I44" s="445"/>
      <c r="J44" s="446"/>
      <c r="K44" s="447"/>
      <c r="L44" s="445"/>
      <c r="M44" s="446"/>
      <c r="N44" s="447"/>
      <c r="O44" s="445"/>
      <c r="P44" s="446"/>
      <c r="Q44" s="444"/>
    </row>
    <row r="45" spans="1:17" ht="12.75" customHeight="1" x14ac:dyDescent="0.15">
      <c r="A45" s="465"/>
      <c r="B45" s="449"/>
      <c r="C45" s="431"/>
      <c r="D45" s="433"/>
      <c r="E45" s="442"/>
      <c r="F45" s="425"/>
      <c r="G45" s="427"/>
      <c r="H45" s="420"/>
      <c r="I45" s="425"/>
      <c r="J45" s="427"/>
      <c r="K45" s="420"/>
      <c r="L45" s="425"/>
      <c r="M45" s="427"/>
      <c r="N45" s="420"/>
      <c r="O45" s="425"/>
      <c r="P45" s="427"/>
      <c r="Q45" s="429"/>
    </row>
    <row r="46" spans="1:17" ht="12.75" customHeight="1" x14ac:dyDescent="0.15">
      <c r="A46" s="465"/>
      <c r="B46" s="414"/>
      <c r="C46" s="431"/>
      <c r="D46" s="433"/>
      <c r="E46" s="442"/>
      <c r="F46" s="425"/>
      <c r="G46" s="427"/>
      <c r="H46" s="420"/>
      <c r="I46" s="425"/>
      <c r="J46" s="427"/>
      <c r="K46" s="420"/>
      <c r="L46" s="425"/>
      <c r="M46" s="427"/>
      <c r="N46" s="420"/>
      <c r="O46" s="425"/>
      <c r="P46" s="427"/>
      <c r="Q46" s="429"/>
    </row>
    <row r="47" spans="1:17" ht="12.75" customHeight="1" x14ac:dyDescent="0.15">
      <c r="A47" s="465"/>
      <c r="B47" s="415"/>
      <c r="C47" s="435"/>
      <c r="D47" s="436"/>
      <c r="E47" s="437"/>
      <c r="F47" s="423"/>
      <c r="G47" s="424"/>
      <c r="H47" s="422"/>
      <c r="I47" s="423"/>
      <c r="J47" s="424"/>
      <c r="K47" s="422"/>
      <c r="L47" s="423"/>
      <c r="M47" s="424"/>
      <c r="N47" s="422"/>
      <c r="O47" s="423"/>
      <c r="P47" s="424"/>
      <c r="Q47" s="438"/>
    </row>
    <row r="48" spans="1:17" ht="12.75" customHeight="1" x14ac:dyDescent="0.15">
      <c r="A48" s="465"/>
      <c r="B48" s="416"/>
      <c r="C48" s="435"/>
      <c r="D48" s="436"/>
      <c r="E48" s="437"/>
      <c r="F48" s="423"/>
      <c r="G48" s="424"/>
      <c r="H48" s="422"/>
      <c r="I48" s="423"/>
      <c r="J48" s="424"/>
      <c r="K48" s="422"/>
      <c r="L48" s="423"/>
      <c r="M48" s="424"/>
      <c r="N48" s="422"/>
      <c r="O48" s="423"/>
      <c r="P48" s="424"/>
      <c r="Q48" s="438"/>
    </row>
    <row r="49" spans="1:17" ht="12.75" customHeight="1" x14ac:dyDescent="0.15">
      <c r="A49" s="465"/>
      <c r="B49" s="417"/>
      <c r="C49" s="431"/>
      <c r="D49" s="433"/>
      <c r="E49" s="442"/>
      <c r="F49" s="425"/>
      <c r="G49" s="427"/>
      <c r="H49" s="420"/>
      <c r="I49" s="425"/>
      <c r="J49" s="427"/>
      <c r="K49" s="420"/>
      <c r="L49" s="425"/>
      <c r="M49" s="427"/>
      <c r="N49" s="420"/>
      <c r="O49" s="425"/>
      <c r="P49" s="427"/>
      <c r="Q49" s="429"/>
    </row>
    <row r="50" spans="1:17" ht="12.75" customHeight="1" x14ac:dyDescent="0.15">
      <c r="A50" s="465"/>
      <c r="B50" s="245"/>
      <c r="C50" s="432"/>
      <c r="D50" s="434"/>
      <c r="E50" s="443"/>
      <c r="F50" s="426"/>
      <c r="G50" s="428"/>
      <c r="H50" s="421"/>
      <c r="I50" s="426"/>
      <c r="J50" s="428"/>
      <c r="K50" s="421"/>
      <c r="L50" s="426"/>
      <c r="M50" s="428"/>
      <c r="N50" s="421"/>
      <c r="O50" s="426"/>
      <c r="P50" s="428"/>
      <c r="Q50" s="430"/>
    </row>
    <row r="51" spans="1:17" ht="18" customHeight="1" x14ac:dyDescent="0.15">
      <c r="A51" s="465"/>
      <c r="B51" s="229" t="s">
        <v>253</v>
      </c>
      <c r="C51" s="230"/>
      <c r="D51" s="230"/>
      <c r="E51" s="230"/>
      <c r="F51" s="230"/>
      <c r="G51" s="230"/>
      <c r="H51" s="230"/>
      <c r="I51" s="230"/>
      <c r="J51" s="230"/>
      <c r="K51" s="230"/>
      <c r="L51" s="231"/>
      <c r="M51" s="231"/>
      <c r="N51" s="231"/>
      <c r="O51" s="230"/>
      <c r="P51" s="230"/>
      <c r="Q51" s="232"/>
    </row>
    <row r="52" spans="1:17" ht="18" customHeight="1" x14ac:dyDescent="0.15">
      <c r="A52" s="465"/>
      <c r="B52" s="233" t="s">
        <v>171</v>
      </c>
      <c r="C52" s="234"/>
      <c r="D52" s="234"/>
      <c r="E52" s="234"/>
      <c r="F52" s="234"/>
      <c r="G52" s="234"/>
      <c r="H52" s="234"/>
      <c r="I52" s="234"/>
      <c r="J52" s="234"/>
      <c r="K52" s="234"/>
      <c r="L52" s="235"/>
      <c r="M52" s="235"/>
      <c r="N52" s="235"/>
      <c r="O52" s="234"/>
      <c r="P52" s="234"/>
      <c r="Q52" s="236"/>
    </row>
    <row r="53" spans="1:17" ht="18" customHeight="1" x14ac:dyDescent="0.15">
      <c r="A53" s="465"/>
      <c r="B53" s="237" t="s">
        <v>172</v>
      </c>
      <c r="C53" s="234"/>
      <c r="D53" s="234"/>
      <c r="E53" s="234"/>
      <c r="F53" s="234"/>
      <c r="G53" s="234"/>
      <c r="H53" s="234"/>
      <c r="I53" s="234"/>
      <c r="J53" s="234"/>
      <c r="K53" s="234"/>
      <c r="L53" s="235"/>
      <c r="M53" s="235"/>
      <c r="N53" s="235"/>
      <c r="O53" s="234"/>
      <c r="P53" s="234"/>
      <c r="Q53" s="236"/>
    </row>
    <row r="54" spans="1:17" ht="18" customHeight="1" x14ac:dyDescent="0.15">
      <c r="A54" s="465"/>
      <c r="B54" s="237" t="s">
        <v>173</v>
      </c>
      <c r="C54" s="234"/>
      <c r="D54" s="234"/>
      <c r="E54" s="234"/>
      <c r="F54" s="234"/>
      <c r="G54" s="234"/>
      <c r="H54" s="234"/>
      <c r="I54" s="234"/>
      <c r="J54" s="234"/>
      <c r="K54" s="234"/>
      <c r="L54" s="235"/>
      <c r="M54" s="235"/>
      <c r="N54" s="235"/>
      <c r="O54" s="234"/>
      <c r="P54" s="234"/>
      <c r="Q54" s="236"/>
    </row>
    <row r="55" spans="1:17" ht="18" customHeight="1" x14ac:dyDescent="0.15">
      <c r="A55" s="465"/>
      <c r="B55" s="237"/>
      <c r="C55" s="234"/>
      <c r="D55" s="234"/>
      <c r="E55" s="234"/>
      <c r="F55" s="234"/>
      <c r="G55" s="234"/>
      <c r="H55" s="234"/>
      <c r="I55" s="234"/>
      <c r="J55" s="234"/>
      <c r="K55" s="234"/>
      <c r="L55" s="235"/>
      <c r="M55" s="235"/>
      <c r="N55" s="235"/>
      <c r="O55" s="234"/>
      <c r="P55" s="234"/>
      <c r="Q55" s="236"/>
    </row>
    <row r="56" spans="1:17" ht="18" customHeight="1" x14ac:dyDescent="0.15">
      <c r="A56" s="465"/>
      <c r="B56" s="237"/>
      <c r="C56" s="234"/>
      <c r="D56" s="234"/>
      <c r="E56" s="234"/>
      <c r="F56" s="234"/>
      <c r="G56" s="234"/>
      <c r="H56" s="234"/>
      <c r="I56" s="234"/>
      <c r="J56" s="234"/>
      <c r="K56" s="234"/>
      <c r="L56" s="235"/>
      <c r="M56" s="235"/>
      <c r="N56" s="235"/>
      <c r="O56" s="234"/>
      <c r="P56" s="234"/>
      <c r="Q56" s="236"/>
    </row>
    <row r="57" spans="1:17" ht="18" customHeight="1" x14ac:dyDescent="0.15">
      <c r="A57" s="465"/>
      <c r="B57" s="238"/>
      <c r="C57" s="239"/>
      <c r="D57" s="239"/>
      <c r="E57" s="239"/>
      <c r="F57" s="239"/>
      <c r="G57" s="239"/>
      <c r="H57" s="239"/>
      <c r="I57" s="234"/>
      <c r="J57" s="234"/>
      <c r="K57" s="239"/>
      <c r="L57" s="240"/>
      <c r="M57" s="240"/>
      <c r="N57" s="240"/>
      <c r="O57" s="239"/>
      <c r="P57" s="239"/>
      <c r="Q57" s="241"/>
    </row>
    <row r="58" spans="1:17" ht="18" customHeight="1" x14ac:dyDescent="0.15">
      <c r="A58" s="465"/>
      <c r="B58" s="242"/>
      <c r="C58" s="239"/>
      <c r="D58" s="239"/>
      <c r="E58" s="239"/>
      <c r="F58" s="239"/>
      <c r="G58" s="239"/>
      <c r="H58" s="239"/>
      <c r="I58" s="234"/>
      <c r="J58" s="234"/>
      <c r="K58" s="239"/>
      <c r="L58" s="239"/>
      <c r="M58" s="239"/>
      <c r="N58" s="239"/>
      <c r="O58" s="239"/>
      <c r="P58" s="239"/>
      <c r="Q58" s="241"/>
    </row>
    <row r="59" spans="1:17" ht="18" customHeight="1" x14ac:dyDescent="0.15">
      <c r="A59" s="465"/>
      <c r="B59" s="242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41"/>
    </row>
    <row r="60" spans="1:17" ht="18" customHeight="1" x14ac:dyDescent="0.15">
      <c r="A60" s="465"/>
      <c r="B60" s="242"/>
      <c r="C60" s="239"/>
      <c r="D60" s="239"/>
      <c r="E60" s="239"/>
      <c r="F60" s="239"/>
      <c r="G60" s="466"/>
      <c r="H60" s="466"/>
      <c r="I60" s="239"/>
      <c r="J60" s="239"/>
      <c r="K60" s="240"/>
      <c r="L60" s="239"/>
      <c r="M60" s="239"/>
      <c r="N60" s="234"/>
      <c r="O60" s="234"/>
      <c r="P60" s="239"/>
      <c r="Q60" s="241"/>
    </row>
    <row r="61" spans="1:17" ht="18" customHeight="1" x14ac:dyDescent="0.15">
      <c r="A61" s="465"/>
      <c r="B61" s="242"/>
      <c r="C61" s="239"/>
      <c r="D61" s="239"/>
      <c r="E61" s="239"/>
      <c r="F61" s="239"/>
      <c r="G61" s="239"/>
      <c r="H61" s="239"/>
      <c r="I61" s="466"/>
      <c r="J61" s="466"/>
      <c r="K61" s="239"/>
      <c r="L61" s="234"/>
      <c r="M61" s="234"/>
      <c r="N61" s="239"/>
      <c r="O61" s="239"/>
      <c r="P61" s="239"/>
      <c r="Q61" s="241"/>
    </row>
    <row r="62" spans="1:17" ht="18" customHeight="1" x14ac:dyDescent="0.15">
      <c r="A62" s="465"/>
      <c r="B62" s="242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4"/>
    </row>
    <row r="63" spans="1:17" ht="4.5" customHeight="1" x14ac:dyDescent="0.15">
      <c r="A63" s="465"/>
    </row>
  </sheetData>
  <mergeCells count="345">
    <mergeCell ref="G33:G34"/>
    <mergeCell ref="L15:L16"/>
    <mergeCell ref="M15:M16"/>
    <mergeCell ref="I17:I18"/>
    <mergeCell ref="J11:J12"/>
    <mergeCell ref="K11:K12"/>
    <mergeCell ref="I13:I14"/>
    <mergeCell ref="J13:J14"/>
    <mergeCell ref="K13:K14"/>
    <mergeCell ref="I11:I12"/>
    <mergeCell ref="I15:I16"/>
    <mergeCell ref="J15:J16"/>
    <mergeCell ref="K15:K16"/>
    <mergeCell ref="L17:L18"/>
    <mergeCell ref="K21:K22"/>
    <mergeCell ref="L21:L22"/>
    <mergeCell ref="L19:L20"/>
    <mergeCell ref="K17:K18"/>
    <mergeCell ref="I19:I20"/>
    <mergeCell ref="J19:J20"/>
    <mergeCell ref="K19:K20"/>
    <mergeCell ref="G19:G20"/>
    <mergeCell ref="H19:H20"/>
    <mergeCell ref="G17:G18"/>
    <mergeCell ref="O1:Q1"/>
    <mergeCell ref="I7:K7"/>
    <mergeCell ref="I8:K8"/>
    <mergeCell ref="O7:Q7"/>
    <mergeCell ref="O8:Q8"/>
    <mergeCell ref="L1:N1"/>
    <mergeCell ref="P11:P12"/>
    <mergeCell ref="D13:D14"/>
    <mergeCell ref="D15:D16"/>
    <mergeCell ref="E13:E14"/>
    <mergeCell ref="E15:E16"/>
    <mergeCell ref="F13:F14"/>
    <mergeCell ref="G13:G14"/>
    <mergeCell ref="E11:E12"/>
    <mergeCell ref="F11:F12"/>
    <mergeCell ref="G11:G12"/>
    <mergeCell ref="H11:H12"/>
    <mergeCell ref="G15:G16"/>
    <mergeCell ref="H15:H16"/>
    <mergeCell ref="Q9:Q10"/>
    <mergeCell ref="E7:E9"/>
    <mergeCell ref="F7:H7"/>
    <mergeCell ref="F8:H8"/>
    <mergeCell ref="L7:N7"/>
    <mergeCell ref="C15:C16"/>
    <mergeCell ref="C17:C18"/>
    <mergeCell ref="C19:C20"/>
    <mergeCell ref="D11:D12"/>
    <mergeCell ref="D17:D18"/>
    <mergeCell ref="D19:D20"/>
    <mergeCell ref="A1:A63"/>
    <mergeCell ref="I61:J61"/>
    <mergeCell ref="B10:B11"/>
    <mergeCell ref="B12:B13"/>
    <mergeCell ref="B14:B15"/>
    <mergeCell ref="B16:B17"/>
    <mergeCell ref="J21:J22"/>
    <mergeCell ref="B18:B19"/>
    <mergeCell ref="B20:B21"/>
    <mergeCell ref="C11:C12"/>
    <mergeCell ref="H13:H14"/>
    <mergeCell ref="F15:F16"/>
    <mergeCell ref="E17:E18"/>
    <mergeCell ref="E19:E20"/>
    <mergeCell ref="F17:F18"/>
    <mergeCell ref="F19:F20"/>
    <mergeCell ref="J17:J18"/>
    <mergeCell ref="G60:H60"/>
    <mergeCell ref="L8:N8"/>
    <mergeCell ref="H9:H10"/>
    <mergeCell ref="K9:K10"/>
    <mergeCell ref="N9:N10"/>
    <mergeCell ref="C7:C9"/>
    <mergeCell ref="D7:D9"/>
    <mergeCell ref="Q11:Q12"/>
    <mergeCell ref="O13:O14"/>
    <mergeCell ref="P13:P14"/>
    <mergeCell ref="Q13:Q14"/>
    <mergeCell ref="C13:C14"/>
    <mergeCell ref="L11:L12"/>
    <mergeCell ref="M11:M12"/>
    <mergeCell ref="N11:N12"/>
    <mergeCell ref="L13:L14"/>
    <mergeCell ref="M13:M14"/>
    <mergeCell ref="N13:N14"/>
    <mergeCell ref="P15:P16"/>
    <mergeCell ref="Q15:Q16"/>
    <mergeCell ref="M19:M20"/>
    <mergeCell ref="N19:N20"/>
    <mergeCell ref="O11:O12"/>
    <mergeCell ref="O15:O16"/>
    <mergeCell ref="O19:O20"/>
    <mergeCell ref="N15:N16"/>
    <mergeCell ref="O17:O18"/>
    <mergeCell ref="M17:M18"/>
    <mergeCell ref="N17:N18"/>
    <mergeCell ref="P17:P18"/>
    <mergeCell ref="Q17:Q18"/>
    <mergeCell ref="P19:P20"/>
    <mergeCell ref="Q19:Q20"/>
    <mergeCell ref="H17:H18"/>
    <mergeCell ref="I23:I24"/>
    <mergeCell ref="J23:J24"/>
    <mergeCell ref="O21:O22"/>
    <mergeCell ref="P21:P22"/>
    <mergeCell ref="M21:M22"/>
    <mergeCell ref="N21:N22"/>
    <mergeCell ref="Q21:Q22"/>
    <mergeCell ref="C23:C24"/>
    <mergeCell ref="D23:D24"/>
    <mergeCell ref="E23:E24"/>
    <mergeCell ref="F23:F24"/>
    <mergeCell ref="G23:G24"/>
    <mergeCell ref="H23:H24"/>
    <mergeCell ref="O23:O24"/>
    <mergeCell ref="P23:P24"/>
    <mergeCell ref="Q23:Q24"/>
    <mergeCell ref="K23:K24"/>
    <mergeCell ref="L23:L24"/>
    <mergeCell ref="M23:M24"/>
    <mergeCell ref="N23:N24"/>
    <mergeCell ref="C21:C22"/>
    <mergeCell ref="D21:D22"/>
    <mergeCell ref="E21:E22"/>
    <mergeCell ref="F21:F22"/>
    <mergeCell ref="G21:G22"/>
    <mergeCell ref="H21:H22"/>
    <mergeCell ref="P25:P26"/>
    <mergeCell ref="Q25:Q26"/>
    <mergeCell ref="C27:C28"/>
    <mergeCell ref="D27:D28"/>
    <mergeCell ref="E27:E28"/>
    <mergeCell ref="F27:F28"/>
    <mergeCell ref="G27:G28"/>
    <mergeCell ref="H27:H28"/>
    <mergeCell ref="I27:I28"/>
    <mergeCell ref="O27:O28"/>
    <mergeCell ref="J25:J26"/>
    <mergeCell ref="K25:K26"/>
    <mergeCell ref="L25:L26"/>
    <mergeCell ref="M25:M26"/>
    <mergeCell ref="N25:N26"/>
    <mergeCell ref="O25:O26"/>
    <mergeCell ref="C25:C26"/>
    <mergeCell ref="D25:D26"/>
    <mergeCell ref="E25:E26"/>
    <mergeCell ref="F25:F26"/>
    <mergeCell ref="G25:G26"/>
    <mergeCell ref="H25:H26"/>
    <mergeCell ref="I25:I26"/>
    <mergeCell ref="O29:O30"/>
    <mergeCell ref="P29:P30"/>
    <mergeCell ref="Q29:Q30"/>
    <mergeCell ref="Q27:Q28"/>
    <mergeCell ref="C29:C30"/>
    <mergeCell ref="D29:D30"/>
    <mergeCell ref="E29:E30"/>
    <mergeCell ref="F29:F30"/>
    <mergeCell ref="G29:G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P27:P28"/>
    <mergeCell ref="M29:M30"/>
    <mergeCell ref="N29:N30"/>
    <mergeCell ref="O31:O32"/>
    <mergeCell ref="P31:P32"/>
    <mergeCell ref="Q31:Q32"/>
    <mergeCell ref="J31:J32"/>
    <mergeCell ref="K31:K32"/>
    <mergeCell ref="L31:L32"/>
    <mergeCell ref="M31:M32"/>
    <mergeCell ref="C31:C32"/>
    <mergeCell ref="D31:D32"/>
    <mergeCell ref="E31:E32"/>
    <mergeCell ref="F31:F32"/>
    <mergeCell ref="G31:G32"/>
    <mergeCell ref="H31:H32"/>
    <mergeCell ref="N31:N32"/>
    <mergeCell ref="O35:O36"/>
    <mergeCell ref="Q33:Q34"/>
    <mergeCell ref="O33:O34"/>
    <mergeCell ref="P33:P34"/>
    <mergeCell ref="P35:P36"/>
    <mergeCell ref="Q35:Q36"/>
    <mergeCell ref="F33:F34"/>
    <mergeCell ref="B34:B35"/>
    <mergeCell ref="L35:L36"/>
    <mergeCell ref="F35:F36"/>
    <mergeCell ref="G35:G36"/>
    <mergeCell ref="H35:H36"/>
    <mergeCell ref="I35:I36"/>
    <mergeCell ref="J35:J36"/>
    <mergeCell ref="K35:K36"/>
    <mergeCell ref="H33:H34"/>
    <mergeCell ref="I33:I34"/>
    <mergeCell ref="J33:J34"/>
    <mergeCell ref="K33:K34"/>
    <mergeCell ref="L33:L34"/>
    <mergeCell ref="M33:M34"/>
    <mergeCell ref="N33:N34"/>
    <mergeCell ref="M35:M36"/>
    <mergeCell ref="N35:N36"/>
    <mergeCell ref="B22:B23"/>
    <mergeCell ref="B24:B25"/>
    <mergeCell ref="B26:B27"/>
    <mergeCell ref="B28:B29"/>
    <mergeCell ref="B30:B31"/>
    <mergeCell ref="B32:B33"/>
    <mergeCell ref="L29:L30"/>
    <mergeCell ref="I21:I22"/>
    <mergeCell ref="H37:H38"/>
    <mergeCell ref="I37:I38"/>
    <mergeCell ref="J37:J38"/>
    <mergeCell ref="K37:K38"/>
    <mergeCell ref="C37:C38"/>
    <mergeCell ref="C33:C34"/>
    <mergeCell ref="D37:D38"/>
    <mergeCell ref="E37:E38"/>
    <mergeCell ref="C35:C36"/>
    <mergeCell ref="D35:D36"/>
    <mergeCell ref="E35:E36"/>
    <mergeCell ref="D33:D34"/>
    <mergeCell ref="E33:E34"/>
    <mergeCell ref="B36:B37"/>
    <mergeCell ref="B38:B39"/>
    <mergeCell ref="I31:I32"/>
    <mergeCell ref="N39:N40"/>
    <mergeCell ref="O39:O40"/>
    <mergeCell ref="P39:P40"/>
    <mergeCell ref="M45:M46"/>
    <mergeCell ref="N45:N46"/>
    <mergeCell ref="C41:C42"/>
    <mergeCell ref="D41:D42"/>
    <mergeCell ref="E41:E42"/>
    <mergeCell ref="F41:F42"/>
    <mergeCell ref="G41:G42"/>
    <mergeCell ref="H41:H42"/>
    <mergeCell ref="I41:I42"/>
    <mergeCell ref="H39:H40"/>
    <mergeCell ref="I39:I40"/>
    <mergeCell ref="C39:C40"/>
    <mergeCell ref="D39:D40"/>
    <mergeCell ref="E39:E40"/>
    <mergeCell ref="F39:F40"/>
    <mergeCell ref="G39:G40"/>
    <mergeCell ref="B44:B45"/>
    <mergeCell ref="P41:P42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J41:J42"/>
    <mergeCell ref="K41:K42"/>
    <mergeCell ref="L41:L42"/>
    <mergeCell ref="M41:M42"/>
    <mergeCell ref="N41:N42"/>
    <mergeCell ref="O41:O42"/>
    <mergeCell ref="E49:E50"/>
    <mergeCell ref="F49:F50"/>
    <mergeCell ref="G49:G50"/>
    <mergeCell ref="H49:H50"/>
    <mergeCell ref="K45:K46"/>
    <mergeCell ref="L45:L46"/>
    <mergeCell ref="I45:I46"/>
    <mergeCell ref="J45:J46"/>
    <mergeCell ref="Q37:Q38"/>
    <mergeCell ref="Q39:Q40"/>
    <mergeCell ref="Q41:Q42"/>
    <mergeCell ref="Q43:Q44"/>
    <mergeCell ref="O45:O46"/>
    <mergeCell ref="P45:P46"/>
    <mergeCell ref="E45:E46"/>
    <mergeCell ref="F45:F46"/>
    <mergeCell ref="L43:L44"/>
    <mergeCell ref="M43:M44"/>
    <mergeCell ref="N43:N44"/>
    <mergeCell ref="O43:O44"/>
    <mergeCell ref="P43:P44"/>
    <mergeCell ref="J39:J40"/>
    <mergeCell ref="K39:K40"/>
    <mergeCell ref="L39:L40"/>
    <mergeCell ref="F47:F48"/>
    <mergeCell ref="C45:C46"/>
    <mergeCell ref="D45:D46"/>
    <mergeCell ref="B2:B3"/>
    <mergeCell ref="C2:N3"/>
    <mergeCell ref="C4:N4"/>
    <mergeCell ref="G45:G46"/>
    <mergeCell ref="H45:H46"/>
    <mergeCell ref="Q45:Q46"/>
    <mergeCell ref="I47:I48"/>
    <mergeCell ref="J47:J48"/>
    <mergeCell ref="O47:O48"/>
    <mergeCell ref="P47:P48"/>
    <mergeCell ref="Q47:Q48"/>
    <mergeCell ref="M39:M40"/>
    <mergeCell ref="L37:L38"/>
    <mergeCell ref="M37:M38"/>
    <mergeCell ref="N37:N38"/>
    <mergeCell ref="O37:O38"/>
    <mergeCell ref="P37:P38"/>
    <mergeCell ref="F37:F38"/>
    <mergeCell ref="G37:G38"/>
    <mergeCell ref="B40:B41"/>
    <mergeCell ref="B42:B43"/>
    <mergeCell ref="P4:Q4"/>
    <mergeCell ref="B46:B47"/>
    <mergeCell ref="B48:B49"/>
    <mergeCell ref="B8:B9"/>
    <mergeCell ref="N49:N50"/>
    <mergeCell ref="K47:K48"/>
    <mergeCell ref="L47:L48"/>
    <mergeCell ref="M47:M48"/>
    <mergeCell ref="N47:N48"/>
    <mergeCell ref="G47:G48"/>
    <mergeCell ref="H47:H48"/>
    <mergeCell ref="I49:I50"/>
    <mergeCell ref="O49:O50"/>
    <mergeCell ref="P49:P50"/>
    <mergeCell ref="Q49:Q50"/>
    <mergeCell ref="J49:J50"/>
    <mergeCell ref="K49:K50"/>
    <mergeCell ref="L49:L50"/>
    <mergeCell ref="M49:M50"/>
    <mergeCell ref="C49:C50"/>
    <mergeCell ref="D49:D50"/>
    <mergeCell ref="C47:C48"/>
    <mergeCell ref="D47:D48"/>
    <mergeCell ref="E47:E48"/>
  </mergeCells>
  <phoneticPr fontId="2"/>
  <conditionalFormatting sqref="B14:B15">
    <cfRule type="expression" dxfId="0" priority="1" stopIfTrue="1">
      <formula>ISERROR</formula>
    </cfRule>
  </conditionalFormatting>
  <pageMargins left="0.59055118110236227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indexed="31"/>
    <pageSetUpPr fitToPage="1"/>
  </sheetPr>
  <dimension ref="B1:AY319"/>
  <sheetViews>
    <sheetView view="pageBreakPreview" zoomScaleNormal="100" zoomScaleSheetLayoutView="100" workbookViewId="0">
      <pane xSplit="2" ySplit="3" topLeftCell="D4" activePane="bottomRight" state="frozenSplit"/>
      <selection pane="topRight"/>
      <selection pane="bottomLeft" activeCell="A4" sqref="A4"/>
      <selection pane="bottomRight"/>
    </sheetView>
  </sheetViews>
  <sheetFormatPr defaultRowHeight="13.5" x14ac:dyDescent="0.15"/>
  <cols>
    <col min="1" max="1" width="1.25" style="1" customWidth="1"/>
    <col min="2" max="2" width="16.875" style="1" customWidth="1"/>
    <col min="3" max="43" width="6.625" style="1" customWidth="1"/>
    <col min="44" max="44" width="1.25" style="1" customWidth="1"/>
    <col min="45" max="45" width="12.5" style="1" customWidth="1"/>
    <col min="46" max="46" width="9" style="1"/>
    <col min="47" max="47" width="11.625" style="1" bestFit="1" customWidth="1"/>
    <col min="48" max="48" width="9" style="1"/>
    <col min="49" max="49" width="10" style="1" customWidth="1"/>
    <col min="50" max="50" width="9" style="1"/>
    <col min="51" max="51" width="10" style="1" customWidth="1"/>
    <col min="52" max="16384" width="9" style="1"/>
  </cols>
  <sheetData>
    <row r="1" spans="2:51" ht="7.5" customHeight="1" x14ac:dyDescent="0.15"/>
    <row r="2" spans="2:51" ht="15" customHeight="1" thickBot="1" x14ac:dyDescent="0.2">
      <c r="C2" s="175" t="s">
        <v>33</v>
      </c>
      <c r="D2" s="176"/>
      <c r="E2" s="175" t="s">
        <v>33</v>
      </c>
      <c r="F2" s="176"/>
      <c r="G2" s="176"/>
      <c r="H2" s="175" t="s">
        <v>33</v>
      </c>
      <c r="I2" s="175" t="s">
        <v>33</v>
      </c>
      <c r="J2" s="176"/>
      <c r="K2" s="175" t="s">
        <v>33</v>
      </c>
      <c r="L2" s="175" t="s">
        <v>33</v>
      </c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</row>
    <row r="3" spans="2:51" ht="25.5" customHeight="1" x14ac:dyDescent="0.15">
      <c r="B3" s="66" t="s">
        <v>69</v>
      </c>
      <c r="C3" s="177">
        <v>0.5</v>
      </c>
      <c r="D3" s="177">
        <v>0.9</v>
      </c>
      <c r="E3" s="177">
        <v>1.2</v>
      </c>
      <c r="F3" s="178">
        <v>1.25</v>
      </c>
      <c r="G3" s="177">
        <v>2</v>
      </c>
      <c r="H3" s="177">
        <v>2.6</v>
      </c>
      <c r="I3" s="177">
        <v>3.2</v>
      </c>
      <c r="J3" s="177">
        <v>3.5</v>
      </c>
      <c r="K3" s="177">
        <v>4</v>
      </c>
      <c r="L3" s="177">
        <v>5</v>
      </c>
      <c r="M3" s="177">
        <v>5.5</v>
      </c>
      <c r="N3" s="177">
        <v>8</v>
      </c>
      <c r="O3" s="177">
        <v>14</v>
      </c>
      <c r="P3" s="179">
        <v>22</v>
      </c>
      <c r="Q3" s="179">
        <v>25</v>
      </c>
      <c r="R3" s="179">
        <v>30</v>
      </c>
      <c r="S3" s="179">
        <v>32</v>
      </c>
      <c r="T3" s="179">
        <v>38</v>
      </c>
      <c r="U3" s="180">
        <v>50</v>
      </c>
      <c r="V3" s="180">
        <v>55</v>
      </c>
      <c r="W3" s="180">
        <v>58</v>
      </c>
      <c r="X3" s="180">
        <v>60</v>
      </c>
      <c r="Y3" s="180">
        <v>70</v>
      </c>
      <c r="Z3" s="180">
        <v>80</v>
      </c>
      <c r="AA3" s="180">
        <v>90</v>
      </c>
      <c r="AB3" s="180">
        <v>95</v>
      </c>
      <c r="AC3" s="180">
        <v>100</v>
      </c>
      <c r="AD3" s="180">
        <v>110</v>
      </c>
      <c r="AE3" s="180">
        <v>120</v>
      </c>
      <c r="AF3" s="180">
        <v>125</v>
      </c>
      <c r="AG3" s="180">
        <v>130</v>
      </c>
      <c r="AH3" s="180">
        <v>150</v>
      </c>
      <c r="AI3" s="180">
        <v>200</v>
      </c>
      <c r="AJ3" s="180">
        <v>240</v>
      </c>
      <c r="AK3" s="180">
        <v>250</v>
      </c>
      <c r="AL3" s="180">
        <v>325</v>
      </c>
      <c r="AM3" s="180"/>
      <c r="AN3" s="180"/>
      <c r="AO3" s="180"/>
      <c r="AP3" s="180"/>
      <c r="AQ3" s="77"/>
      <c r="AS3" s="67" t="s">
        <v>63</v>
      </c>
      <c r="AT3" s="68" t="s">
        <v>66</v>
      </c>
      <c r="AU3" s="69" t="s">
        <v>64</v>
      </c>
      <c r="AV3" s="69" t="s">
        <v>65</v>
      </c>
      <c r="AW3" s="69" t="s">
        <v>118</v>
      </c>
      <c r="AX3" s="69" t="s">
        <v>67</v>
      </c>
      <c r="AY3" s="70" t="s">
        <v>68</v>
      </c>
    </row>
    <row r="4" spans="2:51" x14ac:dyDescent="0.15">
      <c r="B4" s="71" t="str">
        <f>'WireDip-01'!AF3</f>
        <v>01-600V ＯＷ</v>
      </c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1"/>
      <c r="Q4" s="131"/>
      <c r="R4" s="131"/>
      <c r="S4" s="131"/>
      <c r="T4" s="131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3"/>
      <c r="AS4" s="72" t="str">
        <f>'WireDip-01'!AH3</f>
        <v>MW  22sq</v>
      </c>
      <c r="AT4" s="82">
        <v>6</v>
      </c>
      <c r="AU4" s="87">
        <v>21.991</v>
      </c>
      <c r="AV4" s="88">
        <v>0.17399999999999999</v>
      </c>
      <c r="AW4" s="90">
        <v>2520</v>
      </c>
      <c r="AX4" s="90">
        <v>21000</v>
      </c>
      <c r="AY4" s="92">
        <v>115</v>
      </c>
    </row>
    <row r="5" spans="2:51" x14ac:dyDescent="0.15">
      <c r="B5" s="73" t="s">
        <v>70</v>
      </c>
      <c r="C5" s="134"/>
      <c r="D5" s="134"/>
      <c r="E5" s="134"/>
      <c r="F5" s="134"/>
      <c r="G5" s="135"/>
      <c r="H5" s="135">
        <v>3.6</v>
      </c>
      <c r="I5" s="135">
        <v>4.4000000000000004</v>
      </c>
      <c r="J5" s="135"/>
      <c r="K5" s="135">
        <v>6</v>
      </c>
      <c r="L5" s="135">
        <v>7.4</v>
      </c>
      <c r="M5" s="135"/>
      <c r="N5" s="135"/>
      <c r="O5" s="135">
        <v>6.8</v>
      </c>
      <c r="P5" s="135">
        <v>8.4</v>
      </c>
      <c r="Q5" s="135"/>
      <c r="R5" s="135"/>
      <c r="S5" s="135"/>
      <c r="T5" s="135">
        <v>11</v>
      </c>
      <c r="U5" s="135"/>
      <c r="V5" s="135"/>
      <c r="W5" s="135"/>
      <c r="X5" s="135">
        <v>13</v>
      </c>
      <c r="Y5" s="135"/>
      <c r="Z5" s="135">
        <v>14.5</v>
      </c>
      <c r="AA5" s="135"/>
      <c r="AB5" s="135"/>
      <c r="AC5" s="135">
        <v>16</v>
      </c>
      <c r="AD5" s="135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7"/>
      <c r="AS5" s="72" t="str">
        <f>'WireDip-01'!AH4</f>
        <v>MW  38sq</v>
      </c>
      <c r="AT5" s="82">
        <v>7.8</v>
      </c>
      <c r="AU5" s="165">
        <v>37.164999999999999</v>
      </c>
      <c r="AV5" s="89">
        <v>0.29399999999999998</v>
      </c>
      <c r="AW5" s="91">
        <v>4270</v>
      </c>
      <c r="AX5" s="91">
        <v>21000</v>
      </c>
      <c r="AY5" s="93">
        <v>115</v>
      </c>
    </row>
    <row r="6" spans="2:51" x14ac:dyDescent="0.15">
      <c r="B6" s="73" t="s">
        <v>74</v>
      </c>
      <c r="C6" s="129"/>
      <c r="D6" s="129"/>
      <c r="E6" s="129"/>
      <c r="F6" s="129"/>
      <c r="G6" s="138"/>
      <c r="H6" s="138">
        <v>5.3090000000000002</v>
      </c>
      <c r="I6" s="138">
        <v>8.0419999999999998</v>
      </c>
      <c r="J6" s="138"/>
      <c r="K6" s="138">
        <v>12.566000000000001</v>
      </c>
      <c r="L6" s="138">
        <v>19.635000000000002</v>
      </c>
      <c r="M6" s="138"/>
      <c r="N6" s="138"/>
      <c r="O6" s="138">
        <v>14.074</v>
      </c>
      <c r="P6" s="138">
        <v>21.991</v>
      </c>
      <c r="Q6" s="138"/>
      <c r="R6" s="138"/>
      <c r="S6" s="138"/>
      <c r="T6" s="138">
        <v>37.164999999999999</v>
      </c>
      <c r="U6" s="138"/>
      <c r="V6" s="138"/>
      <c r="W6" s="138"/>
      <c r="X6" s="138">
        <v>59.69</v>
      </c>
      <c r="Y6" s="138"/>
      <c r="Z6" s="138">
        <v>78.94</v>
      </c>
      <c r="AA6" s="138"/>
      <c r="AB6" s="138"/>
      <c r="AC6" s="138">
        <v>100.877</v>
      </c>
      <c r="AD6" s="138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40"/>
      <c r="AS6" s="72" t="str">
        <f>'WireDip-01'!AH5</f>
        <v>MW  55sq</v>
      </c>
      <c r="AT6" s="82">
        <v>9.6</v>
      </c>
      <c r="AU6" s="87">
        <v>56.296999999999997</v>
      </c>
      <c r="AV6" s="89">
        <v>0.44500000000000001</v>
      </c>
      <c r="AW6" s="91">
        <v>6470</v>
      </c>
      <c r="AX6" s="91">
        <v>21000</v>
      </c>
      <c r="AY6" s="93">
        <v>115</v>
      </c>
    </row>
    <row r="7" spans="2:51" x14ac:dyDescent="0.15">
      <c r="B7" s="73" t="s">
        <v>71</v>
      </c>
      <c r="C7" s="129"/>
      <c r="D7" s="129"/>
      <c r="E7" s="129"/>
      <c r="F7" s="129"/>
      <c r="G7" s="138"/>
      <c r="H7" s="138">
        <v>5.3999999999999999E-2</v>
      </c>
      <c r="I7" s="138">
        <v>8.1000000000000003E-2</v>
      </c>
      <c r="J7" s="138"/>
      <c r="K7" s="138">
        <v>0.13500000000000001</v>
      </c>
      <c r="L7" s="138">
        <v>0.21</v>
      </c>
      <c r="M7" s="138"/>
      <c r="N7" s="138"/>
      <c r="O7" s="138">
        <v>0.16</v>
      </c>
      <c r="P7" s="138">
        <v>0.25</v>
      </c>
      <c r="Q7" s="138"/>
      <c r="R7" s="138"/>
      <c r="S7" s="138"/>
      <c r="T7" s="138">
        <v>0.41</v>
      </c>
      <c r="U7" s="138"/>
      <c r="V7" s="138"/>
      <c r="W7" s="138"/>
      <c r="X7" s="138">
        <v>0.63</v>
      </c>
      <c r="Y7" s="138"/>
      <c r="Z7" s="138">
        <v>0.82</v>
      </c>
      <c r="AA7" s="138"/>
      <c r="AB7" s="138"/>
      <c r="AC7" s="138">
        <v>1.03</v>
      </c>
      <c r="AD7" s="138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40"/>
      <c r="AS7" s="72" t="str">
        <f>'WireDip-01'!AH6</f>
        <v>MW  90sq</v>
      </c>
      <c r="AT7" s="82">
        <v>12</v>
      </c>
      <c r="AU7" s="87">
        <v>87.963999999999999</v>
      </c>
      <c r="AV7" s="89">
        <v>0.69699999999999995</v>
      </c>
      <c r="AW7" s="91">
        <v>10100</v>
      </c>
      <c r="AX7" s="91">
        <v>21000</v>
      </c>
      <c r="AY7" s="93">
        <v>115</v>
      </c>
    </row>
    <row r="8" spans="2:51" x14ac:dyDescent="0.15">
      <c r="B8" s="73" t="s">
        <v>75</v>
      </c>
      <c r="C8" s="141"/>
      <c r="D8" s="141"/>
      <c r="E8" s="141"/>
      <c r="F8" s="141"/>
      <c r="G8" s="142"/>
      <c r="H8" s="142">
        <v>223</v>
      </c>
      <c r="I8" s="142">
        <v>333</v>
      </c>
      <c r="J8" s="142"/>
      <c r="K8" s="142">
        <v>499</v>
      </c>
      <c r="L8" s="142">
        <v>760</v>
      </c>
      <c r="M8" s="142"/>
      <c r="N8" s="142"/>
      <c r="O8" s="142">
        <v>559</v>
      </c>
      <c r="P8" s="142">
        <v>889</v>
      </c>
      <c r="Q8" s="142"/>
      <c r="R8" s="142"/>
      <c r="S8" s="142"/>
      <c r="T8" s="142">
        <v>1480</v>
      </c>
      <c r="U8" s="142"/>
      <c r="V8" s="142"/>
      <c r="W8" s="142"/>
      <c r="X8" s="142">
        <v>2410</v>
      </c>
      <c r="Y8" s="142"/>
      <c r="Z8" s="142">
        <v>3160</v>
      </c>
      <c r="AA8" s="142"/>
      <c r="AB8" s="142"/>
      <c r="AC8" s="142">
        <v>4010</v>
      </c>
      <c r="AD8" s="142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4"/>
      <c r="AS8" s="72" t="str">
        <f>'WireDip-01'!AH7</f>
        <v>MW 110sq</v>
      </c>
      <c r="AT8" s="82">
        <v>13.5</v>
      </c>
      <c r="AU8" s="87">
        <v>111.33</v>
      </c>
      <c r="AV8" s="89">
        <v>0.88200000000000001</v>
      </c>
      <c r="AW8" s="91">
        <v>12800</v>
      </c>
      <c r="AX8" s="91">
        <v>21000</v>
      </c>
      <c r="AY8" s="93">
        <v>115</v>
      </c>
    </row>
    <row r="9" spans="2:51" x14ac:dyDescent="0.15">
      <c r="B9" s="73" t="s">
        <v>72</v>
      </c>
      <c r="C9" s="141"/>
      <c r="D9" s="141"/>
      <c r="E9" s="141"/>
      <c r="F9" s="141"/>
      <c r="G9" s="142"/>
      <c r="H9" s="142">
        <v>12000</v>
      </c>
      <c r="I9" s="142">
        <v>12000</v>
      </c>
      <c r="J9" s="142"/>
      <c r="K9" s="142">
        <v>12000</v>
      </c>
      <c r="L9" s="142">
        <v>12000</v>
      </c>
      <c r="M9" s="142"/>
      <c r="N9" s="142"/>
      <c r="O9" s="142">
        <v>12000</v>
      </c>
      <c r="P9" s="142">
        <v>12000</v>
      </c>
      <c r="Q9" s="142"/>
      <c r="R9" s="142"/>
      <c r="S9" s="142"/>
      <c r="T9" s="142">
        <v>12000</v>
      </c>
      <c r="U9" s="142"/>
      <c r="V9" s="142"/>
      <c r="W9" s="142"/>
      <c r="X9" s="142">
        <v>12000</v>
      </c>
      <c r="Y9" s="142"/>
      <c r="Z9" s="142">
        <v>12000</v>
      </c>
      <c r="AA9" s="142"/>
      <c r="AB9" s="142"/>
      <c r="AC9" s="142">
        <v>12000</v>
      </c>
      <c r="AD9" s="142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4"/>
      <c r="AS9" s="72" t="str">
        <f>'WireDip-01'!AH8</f>
        <v xml:space="preserve">USER Reg. </v>
      </c>
      <c r="AT9" s="82"/>
      <c r="AU9" s="87"/>
      <c r="AV9" s="89"/>
      <c r="AW9" s="91"/>
      <c r="AX9" s="91"/>
      <c r="AY9" s="93"/>
    </row>
    <row r="10" spans="2:51" x14ac:dyDescent="0.15">
      <c r="B10" s="73" t="s">
        <v>73</v>
      </c>
      <c r="C10" s="141"/>
      <c r="D10" s="141"/>
      <c r="E10" s="141"/>
      <c r="F10" s="141"/>
      <c r="G10" s="142"/>
      <c r="H10" s="142">
        <v>170</v>
      </c>
      <c r="I10" s="142">
        <v>170</v>
      </c>
      <c r="J10" s="142"/>
      <c r="K10" s="142">
        <v>170</v>
      </c>
      <c r="L10" s="142">
        <v>170</v>
      </c>
      <c r="M10" s="142"/>
      <c r="N10" s="142"/>
      <c r="O10" s="142">
        <v>170</v>
      </c>
      <c r="P10" s="142">
        <v>170</v>
      </c>
      <c r="Q10" s="142"/>
      <c r="R10" s="142"/>
      <c r="S10" s="142"/>
      <c r="T10" s="142">
        <v>170</v>
      </c>
      <c r="U10" s="142"/>
      <c r="V10" s="142"/>
      <c r="W10" s="142"/>
      <c r="X10" s="142">
        <v>170</v>
      </c>
      <c r="Y10" s="142"/>
      <c r="Z10" s="142">
        <v>170</v>
      </c>
      <c r="AA10" s="142"/>
      <c r="AB10" s="142"/>
      <c r="AC10" s="142">
        <v>170</v>
      </c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4"/>
      <c r="AS10" s="85" t="str">
        <f>'WireDip-01'!AH9</f>
        <v xml:space="preserve">USER Reg. </v>
      </c>
      <c r="AT10" s="86"/>
      <c r="AU10" s="165"/>
      <c r="AV10" s="89"/>
      <c r="AW10" s="91"/>
      <c r="AX10" s="91"/>
      <c r="AY10" s="93"/>
    </row>
    <row r="11" spans="2:51" ht="14.25" thickBot="1" x14ac:dyDescent="0.2">
      <c r="B11" s="74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6"/>
      <c r="Q11" s="146"/>
      <c r="R11" s="146"/>
      <c r="S11" s="146"/>
      <c r="T11" s="146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8"/>
      <c r="AS11" s="83" t="str">
        <f>'WireDip-01'!AH10</f>
        <v xml:space="preserve">USER Reg. </v>
      </c>
      <c r="AT11" s="84"/>
      <c r="AU11" s="171"/>
      <c r="AV11" s="172"/>
      <c r="AW11" s="173"/>
      <c r="AX11" s="173"/>
      <c r="AY11" s="174"/>
    </row>
    <row r="12" spans="2:51" x14ac:dyDescent="0.15">
      <c r="B12" s="71" t="str">
        <f>'WireDip-01'!AF4</f>
        <v>02-6KV ＯＣ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6"/>
      <c r="Q12" s="146"/>
      <c r="R12" s="146"/>
      <c r="S12" s="146"/>
      <c r="T12" s="146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8"/>
    </row>
    <row r="13" spans="2:51" x14ac:dyDescent="0.15">
      <c r="B13" s="73" t="s">
        <v>70</v>
      </c>
      <c r="C13" s="145"/>
      <c r="D13" s="145"/>
      <c r="E13" s="145"/>
      <c r="F13" s="145"/>
      <c r="G13" s="145"/>
      <c r="H13" s="145"/>
      <c r="I13" s="145"/>
      <c r="J13" s="145"/>
      <c r="K13" s="145"/>
      <c r="L13" s="135">
        <v>9</v>
      </c>
      <c r="M13" s="135"/>
      <c r="N13" s="135"/>
      <c r="O13" s="135"/>
      <c r="P13" s="135">
        <v>10</v>
      </c>
      <c r="Q13" s="135"/>
      <c r="R13" s="135"/>
      <c r="S13" s="135"/>
      <c r="T13" s="135">
        <v>12</v>
      </c>
      <c r="U13" s="135"/>
      <c r="V13" s="135"/>
      <c r="W13" s="135"/>
      <c r="X13" s="135">
        <v>15</v>
      </c>
      <c r="Y13" s="135"/>
      <c r="Z13" s="135">
        <v>16.5</v>
      </c>
      <c r="AA13" s="135"/>
      <c r="AB13" s="135"/>
      <c r="AC13" s="135">
        <v>18</v>
      </c>
      <c r="AD13" s="135"/>
      <c r="AE13" s="136"/>
      <c r="AF13" s="136">
        <v>19.5</v>
      </c>
      <c r="AG13" s="136"/>
      <c r="AH13" s="136">
        <v>22</v>
      </c>
      <c r="AI13" s="136">
        <v>25</v>
      </c>
      <c r="AJ13" s="136"/>
      <c r="AK13" s="136"/>
      <c r="AL13" s="136"/>
      <c r="AM13" s="136"/>
      <c r="AN13" s="136"/>
      <c r="AO13" s="136"/>
      <c r="AP13" s="136"/>
      <c r="AQ13" s="137"/>
    </row>
    <row r="14" spans="2:51" x14ac:dyDescent="0.15">
      <c r="B14" s="73" t="s">
        <v>74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38">
        <v>19.635000000000002</v>
      </c>
      <c r="M14" s="138"/>
      <c r="N14" s="138"/>
      <c r="O14" s="138"/>
      <c r="P14" s="138">
        <v>21.991</v>
      </c>
      <c r="Q14" s="138"/>
      <c r="R14" s="138"/>
      <c r="S14" s="138"/>
      <c r="T14" s="138">
        <v>37.164999999999999</v>
      </c>
      <c r="U14" s="138"/>
      <c r="V14" s="138"/>
      <c r="W14" s="138"/>
      <c r="X14" s="138">
        <v>59.69</v>
      </c>
      <c r="Y14" s="138"/>
      <c r="Z14" s="138">
        <v>78.94</v>
      </c>
      <c r="AA14" s="138"/>
      <c r="AB14" s="138"/>
      <c r="AC14" s="138">
        <v>100.877</v>
      </c>
      <c r="AD14" s="138"/>
      <c r="AE14" s="139"/>
      <c r="AF14" s="139">
        <v>125.499</v>
      </c>
      <c r="AG14" s="139"/>
      <c r="AH14" s="139">
        <v>153.726</v>
      </c>
      <c r="AI14" s="139">
        <v>196.44399999999999</v>
      </c>
      <c r="AJ14" s="139"/>
      <c r="AK14" s="139"/>
      <c r="AL14" s="139"/>
      <c r="AM14" s="139"/>
      <c r="AN14" s="139"/>
      <c r="AO14" s="139"/>
      <c r="AP14" s="139"/>
      <c r="AQ14" s="140"/>
    </row>
    <row r="15" spans="2:51" x14ac:dyDescent="0.15">
      <c r="B15" s="73" t="s">
        <v>71</v>
      </c>
      <c r="C15" s="145"/>
      <c r="D15" s="145"/>
      <c r="E15" s="145"/>
      <c r="F15" s="145"/>
      <c r="G15" s="145"/>
      <c r="H15" s="145"/>
      <c r="I15" s="145"/>
      <c r="J15" s="145"/>
      <c r="K15" s="145"/>
      <c r="L15" s="138">
        <v>0.22</v>
      </c>
      <c r="M15" s="138"/>
      <c r="N15" s="138"/>
      <c r="O15" s="138"/>
      <c r="P15" s="138">
        <v>0.25</v>
      </c>
      <c r="Q15" s="138"/>
      <c r="R15" s="138"/>
      <c r="S15" s="138"/>
      <c r="T15" s="138">
        <v>0.4</v>
      </c>
      <c r="U15" s="138"/>
      <c r="V15" s="138"/>
      <c r="W15" s="138"/>
      <c r="X15" s="138">
        <v>0.64</v>
      </c>
      <c r="Y15" s="138"/>
      <c r="Z15" s="138">
        <v>0.84</v>
      </c>
      <c r="AA15" s="138"/>
      <c r="AB15" s="138"/>
      <c r="AC15" s="138">
        <v>1.04</v>
      </c>
      <c r="AD15" s="138"/>
      <c r="AE15" s="139"/>
      <c r="AF15" s="139">
        <v>1.28</v>
      </c>
      <c r="AG15" s="139"/>
      <c r="AH15" s="139">
        <v>1.54</v>
      </c>
      <c r="AI15" s="139">
        <v>1.98</v>
      </c>
      <c r="AJ15" s="139"/>
      <c r="AK15" s="139"/>
      <c r="AL15" s="139"/>
      <c r="AM15" s="139"/>
      <c r="AN15" s="139"/>
      <c r="AO15" s="139"/>
      <c r="AP15" s="139"/>
      <c r="AQ15" s="140"/>
    </row>
    <row r="16" spans="2:51" x14ac:dyDescent="0.15">
      <c r="B16" s="73" t="s">
        <v>75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2">
        <v>760</v>
      </c>
      <c r="M16" s="142"/>
      <c r="N16" s="142"/>
      <c r="O16" s="142"/>
      <c r="P16" s="142">
        <v>888</v>
      </c>
      <c r="Q16" s="142"/>
      <c r="R16" s="142"/>
      <c r="S16" s="142"/>
      <c r="T16" s="142">
        <v>1480</v>
      </c>
      <c r="U16" s="142"/>
      <c r="V16" s="142"/>
      <c r="W16" s="142"/>
      <c r="X16" s="142">
        <v>2410</v>
      </c>
      <c r="Y16" s="142"/>
      <c r="Z16" s="142">
        <v>3160</v>
      </c>
      <c r="AA16" s="142"/>
      <c r="AB16" s="142"/>
      <c r="AC16" s="142">
        <v>4020</v>
      </c>
      <c r="AD16" s="142"/>
      <c r="AE16" s="143"/>
      <c r="AF16" s="143">
        <v>4950</v>
      </c>
      <c r="AG16" s="143"/>
      <c r="AH16" s="143">
        <v>6160</v>
      </c>
      <c r="AI16" s="143">
        <v>7830</v>
      </c>
      <c r="AJ16" s="143"/>
      <c r="AK16" s="143"/>
      <c r="AL16" s="143"/>
      <c r="AM16" s="143"/>
      <c r="AN16" s="143"/>
      <c r="AO16" s="143"/>
      <c r="AP16" s="143"/>
      <c r="AQ16" s="144"/>
    </row>
    <row r="17" spans="2:43" x14ac:dyDescent="0.15">
      <c r="B17" s="73" t="s">
        <v>72</v>
      </c>
      <c r="C17" s="145"/>
      <c r="D17" s="145"/>
      <c r="E17" s="145"/>
      <c r="F17" s="145"/>
      <c r="G17" s="145"/>
      <c r="H17" s="145"/>
      <c r="I17" s="145"/>
      <c r="J17" s="145"/>
      <c r="K17" s="145"/>
      <c r="L17" s="142">
        <v>12000</v>
      </c>
      <c r="M17" s="142"/>
      <c r="N17" s="142"/>
      <c r="O17" s="142"/>
      <c r="P17" s="142">
        <v>12000</v>
      </c>
      <c r="Q17" s="142"/>
      <c r="R17" s="142"/>
      <c r="S17" s="142"/>
      <c r="T17" s="142">
        <v>12000</v>
      </c>
      <c r="U17" s="142"/>
      <c r="V17" s="142"/>
      <c r="W17" s="142"/>
      <c r="X17" s="142">
        <v>12000</v>
      </c>
      <c r="Y17" s="142"/>
      <c r="Z17" s="142">
        <v>12000</v>
      </c>
      <c r="AA17" s="142"/>
      <c r="AB17" s="142"/>
      <c r="AC17" s="142">
        <v>12000</v>
      </c>
      <c r="AD17" s="142"/>
      <c r="AE17" s="143"/>
      <c r="AF17" s="142">
        <v>12000</v>
      </c>
      <c r="AG17" s="143"/>
      <c r="AH17" s="142">
        <v>12000</v>
      </c>
      <c r="AI17" s="142">
        <v>12000</v>
      </c>
      <c r="AJ17" s="143"/>
      <c r="AK17" s="143"/>
      <c r="AL17" s="143"/>
      <c r="AM17" s="143"/>
      <c r="AN17" s="143"/>
      <c r="AO17" s="143"/>
      <c r="AP17" s="143"/>
      <c r="AQ17" s="144"/>
    </row>
    <row r="18" spans="2:43" x14ac:dyDescent="0.15">
      <c r="B18" s="73" t="s">
        <v>73</v>
      </c>
      <c r="C18" s="145"/>
      <c r="D18" s="145"/>
      <c r="E18" s="145"/>
      <c r="F18" s="145"/>
      <c r="G18" s="145"/>
      <c r="H18" s="145"/>
      <c r="I18" s="145"/>
      <c r="J18" s="145"/>
      <c r="K18" s="145"/>
      <c r="L18" s="142">
        <v>170</v>
      </c>
      <c r="M18" s="142"/>
      <c r="N18" s="142"/>
      <c r="O18" s="142"/>
      <c r="P18" s="142">
        <v>170</v>
      </c>
      <c r="Q18" s="142"/>
      <c r="R18" s="142"/>
      <c r="S18" s="142"/>
      <c r="T18" s="142">
        <v>170</v>
      </c>
      <c r="U18" s="142"/>
      <c r="V18" s="142"/>
      <c r="W18" s="142"/>
      <c r="X18" s="142">
        <v>170</v>
      </c>
      <c r="Y18" s="142"/>
      <c r="Z18" s="142">
        <v>170</v>
      </c>
      <c r="AA18" s="142"/>
      <c r="AB18" s="142"/>
      <c r="AC18" s="142">
        <v>170</v>
      </c>
      <c r="AD18" s="142"/>
      <c r="AE18" s="143"/>
      <c r="AF18" s="142">
        <v>170</v>
      </c>
      <c r="AG18" s="143"/>
      <c r="AH18" s="142">
        <v>170</v>
      </c>
      <c r="AI18" s="142">
        <v>170</v>
      </c>
      <c r="AJ18" s="143"/>
      <c r="AK18" s="143"/>
      <c r="AL18" s="143"/>
      <c r="AM18" s="143"/>
      <c r="AN18" s="143"/>
      <c r="AO18" s="143"/>
      <c r="AP18" s="143"/>
      <c r="AQ18" s="144"/>
    </row>
    <row r="19" spans="2:43" x14ac:dyDescent="0.15">
      <c r="B19" s="74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6"/>
      <c r="Q19" s="146"/>
      <c r="R19" s="146"/>
      <c r="S19" s="146"/>
      <c r="T19" s="146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8"/>
    </row>
    <row r="20" spans="2:43" x14ac:dyDescent="0.15">
      <c r="B20" s="71" t="str">
        <f>'WireDip-01'!AF5</f>
        <v>03-6KV ＯＥ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6"/>
      <c r="Q20" s="146"/>
      <c r="R20" s="146"/>
      <c r="S20" s="146"/>
      <c r="T20" s="146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8"/>
    </row>
    <row r="21" spans="2:43" x14ac:dyDescent="0.15">
      <c r="B21" s="73" t="s">
        <v>70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35">
        <v>9</v>
      </c>
      <c r="M21" s="135"/>
      <c r="N21" s="135"/>
      <c r="O21" s="135"/>
      <c r="P21" s="135">
        <v>10</v>
      </c>
      <c r="Q21" s="135"/>
      <c r="R21" s="135"/>
      <c r="S21" s="135"/>
      <c r="T21" s="135">
        <v>12</v>
      </c>
      <c r="U21" s="135"/>
      <c r="V21" s="135"/>
      <c r="W21" s="135"/>
      <c r="X21" s="135">
        <v>15</v>
      </c>
      <c r="Y21" s="135"/>
      <c r="Z21" s="135">
        <v>16.5</v>
      </c>
      <c r="AA21" s="135"/>
      <c r="AB21" s="135"/>
      <c r="AC21" s="135">
        <v>18</v>
      </c>
      <c r="AD21" s="135"/>
      <c r="AE21" s="136"/>
      <c r="AF21" s="136">
        <v>19.5</v>
      </c>
      <c r="AG21" s="136"/>
      <c r="AH21" s="136">
        <v>22</v>
      </c>
      <c r="AI21" s="136">
        <v>25</v>
      </c>
      <c r="AJ21" s="136"/>
      <c r="AK21" s="136"/>
      <c r="AL21" s="136"/>
      <c r="AM21" s="136"/>
      <c r="AN21" s="136"/>
      <c r="AO21" s="136"/>
      <c r="AP21" s="136"/>
      <c r="AQ21" s="137"/>
    </row>
    <row r="22" spans="2:43" x14ac:dyDescent="0.15">
      <c r="B22" s="73" t="s">
        <v>74</v>
      </c>
      <c r="C22" s="145"/>
      <c r="D22" s="145"/>
      <c r="E22" s="145"/>
      <c r="F22" s="145"/>
      <c r="G22" s="145"/>
      <c r="H22" s="145"/>
      <c r="I22" s="145"/>
      <c r="J22" s="145"/>
      <c r="K22" s="145"/>
      <c r="L22" s="138">
        <v>19.635000000000002</v>
      </c>
      <c r="M22" s="138"/>
      <c r="N22" s="138"/>
      <c r="O22" s="138"/>
      <c r="P22" s="138">
        <v>21.991</v>
      </c>
      <c r="Q22" s="138"/>
      <c r="R22" s="138"/>
      <c r="S22" s="138"/>
      <c r="T22" s="138">
        <v>37.164999999999999</v>
      </c>
      <c r="U22" s="138"/>
      <c r="V22" s="138"/>
      <c r="W22" s="138"/>
      <c r="X22" s="138">
        <v>59.69</v>
      </c>
      <c r="Y22" s="138"/>
      <c r="Z22" s="138">
        <v>78.94</v>
      </c>
      <c r="AA22" s="138"/>
      <c r="AB22" s="138"/>
      <c r="AC22" s="138">
        <v>100.877</v>
      </c>
      <c r="AD22" s="138"/>
      <c r="AE22" s="139"/>
      <c r="AF22" s="139">
        <v>125.499</v>
      </c>
      <c r="AG22" s="139"/>
      <c r="AH22" s="139">
        <v>153.726</v>
      </c>
      <c r="AI22" s="139">
        <v>196.44399999999999</v>
      </c>
      <c r="AJ22" s="139"/>
      <c r="AK22" s="139"/>
      <c r="AL22" s="139"/>
      <c r="AM22" s="139"/>
      <c r="AN22" s="139"/>
      <c r="AO22" s="139"/>
      <c r="AP22" s="139"/>
      <c r="AQ22" s="140"/>
    </row>
    <row r="23" spans="2:43" x14ac:dyDescent="0.15">
      <c r="B23" s="73" t="s">
        <v>71</v>
      </c>
      <c r="C23" s="145"/>
      <c r="D23" s="145"/>
      <c r="E23" s="145"/>
      <c r="F23" s="145"/>
      <c r="G23" s="145"/>
      <c r="H23" s="145"/>
      <c r="I23" s="145"/>
      <c r="J23" s="145"/>
      <c r="K23" s="145"/>
      <c r="L23" s="138">
        <v>0.22</v>
      </c>
      <c r="M23" s="138"/>
      <c r="N23" s="138"/>
      <c r="O23" s="138"/>
      <c r="P23" s="138">
        <v>0.25</v>
      </c>
      <c r="Q23" s="138"/>
      <c r="R23" s="138"/>
      <c r="S23" s="138"/>
      <c r="T23" s="138">
        <v>0.4</v>
      </c>
      <c r="U23" s="138"/>
      <c r="V23" s="138"/>
      <c r="W23" s="138"/>
      <c r="X23" s="138">
        <v>0.64</v>
      </c>
      <c r="Y23" s="138"/>
      <c r="Z23" s="138">
        <v>0.84</v>
      </c>
      <c r="AA23" s="138"/>
      <c r="AB23" s="138"/>
      <c r="AC23" s="138">
        <v>1.04</v>
      </c>
      <c r="AD23" s="138"/>
      <c r="AE23" s="139"/>
      <c r="AF23" s="139">
        <v>1.28</v>
      </c>
      <c r="AG23" s="139"/>
      <c r="AH23" s="139">
        <v>1.54</v>
      </c>
      <c r="AI23" s="139">
        <v>1.98</v>
      </c>
      <c r="AJ23" s="139"/>
      <c r="AK23" s="139"/>
      <c r="AL23" s="139"/>
      <c r="AM23" s="139"/>
      <c r="AN23" s="139"/>
      <c r="AO23" s="139"/>
      <c r="AP23" s="139"/>
      <c r="AQ23" s="140"/>
    </row>
    <row r="24" spans="2:43" x14ac:dyDescent="0.15">
      <c r="B24" s="73" t="s">
        <v>75</v>
      </c>
      <c r="C24" s="145"/>
      <c r="D24" s="145"/>
      <c r="E24" s="145"/>
      <c r="F24" s="145"/>
      <c r="G24" s="145"/>
      <c r="H24" s="145"/>
      <c r="I24" s="145"/>
      <c r="J24" s="145"/>
      <c r="K24" s="145"/>
      <c r="L24" s="142">
        <v>760</v>
      </c>
      <c r="M24" s="142"/>
      <c r="N24" s="142"/>
      <c r="O24" s="142"/>
      <c r="P24" s="142">
        <v>888</v>
      </c>
      <c r="Q24" s="142"/>
      <c r="R24" s="142"/>
      <c r="S24" s="142"/>
      <c r="T24" s="142">
        <v>1480</v>
      </c>
      <c r="U24" s="142"/>
      <c r="V24" s="142"/>
      <c r="W24" s="142"/>
      <c r="X24" s="142">
        <v>2410</v>
      </c>
      <c r="Y24" s="142"/>
      <c r="Z24" s="142">
        <v>3160</v>
      </c>
      <c r="AA24" s="142"/>
      <c r="AB24" s="142"/>
      <c r="AC24" s="142">
        <v>4020</v>
      </c>
      <c r="AD24" s="142"/>
      <c r="AE24" s="143"/>
      <c r="AF24" s="143">
        <v>4950</v>
      </c>
      <c r="AG24" s="143"/>
      <c r="AH24" s="143">
        <v>6160</v>
      </c>
      <c r="AI24" s="143">
        <v>7830</v>
      </c>
      <c r="AJ24" s="143"/>
      <c r="AK24" s="143"/>
      <c r="AL24" s="143"/>
      <c r="AM24" s="143"/>
      <c r="AN24" s="143"/>
      <c r="AO24" s="143"/>
      <c r="AP24" s="143"/>
      <c r="AQ24" s="144"/>
    </row>
    <row r="25" spans="2:43" x14ac:dyDescent="0.15">
      <c r="B25" s="73" t="s">
        <v>72</v>
      </c>
      <c r="C25" s="145"/>
      <c r="D25" s="145"/>
      <c r="E25" s="145"/>
      <c r="F25" s="145"/>
      <c r="G25" s="145"/>
      <c r="H25" s="145"/>
      <c r="I25" s="145"/>
      <c r="J25" s="145"/>
      <c r="K25" s="145"/>
      <c r="L25" s="142">
        <v>12000</v>
      </c>
      <c r="M25" s="142"/>
      <c r="N25" s="142"/>
      <c r="O25" s="142"/>
      <c r="P25" s="142">
        <v>12000</v>
      </c>
      <c r="Q25" s="142"/>
      <c r="R25" s="142"/>
      <c r="S25" s="142"/>
      <c r="T25" s="142">
        <v>12000</v>
      </c>
      <c r="U25" s="142"/>
      <c r="V25" s="142"/>
      <c r="W25" s="142"/>
      <c r="X25" s="142">
        <v>12000</v>
      </c>
      <c r="Y25" s="142"/>
      <c r="Z25" s="142">
        <v>12000</v>
      </c>
      <c r="AA25" s="142"/>
      <c r="AB25" s="142"/>
      <c r="AC25" s="142">
        <v>12000</v>
      </c>
      <c r="AD25" s="142"/>
      <c r="AE25" s="143"/>
      <c r="AF25" s="142">
        <v>12000</v>
      </c>
      <c r="AG25" s="143"/>
      <c r="AH25" s="142">
        <v>12000</v>
      </c>
      <c r="AI25" s="142">
        <v>12000</v>
      </c>
      <c r="AJ25" s="143"/>
      <c r="AK25" s="143"/>
      <c r="AL25" s="143"/>
      <c r="AM25" s="143"/>
      <c r="AN25" s="143"/>
      <c r="AO25" s="143"/>
      <c r="AP25" s="143"/>
      <c r="AQ25" s="144"/>
    </row>
    <row r="26" spans="2:43" x14ac:dyDescent="0.15">
      <c r="B26" s="73" t="s">
        <v>73</v>
      </c>
      <c r="C26" s="145"/>
      <c r="D26" s="145"/>
      <c r="E26" s="145"/>
      <c r="F26" s="145"/>
      <c r="G26" s="145"/>
      <c r="H26" s="145"/>
      <c r="I26" s="145"/>
      <c r="J26" s="145"/>
      <c r="K26" s="145"/>
      <c r="L26" s="142">
        <v>170</v>
      </c>
      <c r="M26" s="142"/>
      <c r="N26" s="142"/>
      <c r="O26" s="142"/>
      <c r="P26" s="142">
        <v>170</v>
      </c>
      <c r="Q26" s="142"/>
      <c r="R26" s="142"/>
      <c r="S26" s="142"/>
      <c r="T26" s="142">
        <v>170</v>
      </c>
      <c r="U26" s="142"/>
      <c r="V26" s="142"/>
      <c r="W26" s="142"/>
      <c r="X26" s="142">
        <v>170</v>
      </c>
      <c r="Y26" s="142"/>
      <c r="Z26" s="142">
        <v>170</v>
      </c>
      <c r="AA26" s="142"/>
      <c r="AB26" s="142"/>
      <c r="AC26" s="142">
        <v>170</v>
      </c>
      <c r="AD26" s="142"/>
      <c r="AE26" s="143"/>
      <c r="AF26" s="142">
        <v>170</v>
      </c>
      <c r="AG26" s="143"/>
      <c r="AH26" s="142">
        <v>170</v>
      </c>
      <c r="AI26" s="142">
        <v>170</v>
      </c>
      <c r="AJ26" s="143"/>
      <c r="AK26" s="143"/>
      <c r="AL26" s="143"/>
      <c r="AM26" s="143"/>
      <c r="AN26" s="143"/>
      <c r="AO26" s="143"/>
      <c r="AP26" s="143"/>
      <c r="AQ26" s="144"/>
    </row>
    <row r="27" spans="2:43" x14ac:dyDescent="0.15">
      <c r="B27" s="74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50"/>
      <c r="Q27" s="150"/>
      <c r="R27" s="150"/>
      <c r="S27" s="150"/>
      <c r="T27" s="150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2"/>
    </row>
    <row r="28" spans="2:43" x14ac:dyDescent="0.15">
      <c r="B28" s="75" t="str">
        <f>'WireDip-01'!AF6</f>
        <v>04-6KV ＯＰ</v>
      </c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6"/>
      <c r="Q28" s="146"/>
      <c r="R28" s="146"/>
      <c r="S28" s="146"/>
      <c r="T28" s="146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8"/>
    </row>
    <row r="29" spans="2:43" x14ac:dyDescent="0.15">
      <c r="B29" s="73" t="s">
        <v>70</v>
      </c>
      <c r="C29" s="145"/>
      <c r="D29" s="145"/>
      <c r="E29" s="145"/>
      <c r="F29" s="145"/>
      <c r="G29" s="145"/>
      <c r="H29" s="145"/>
      <c r="I29" s="145"/>
      <c r="J29" s="145"/>
      <c r="K29" s="145"/>
      <c r="L29" s="135">
        <v>9</v>
      </c>
      <c r="M29" s="135"/>
      <c r="N29" s="135"/>
      <c r="O29" s="135"/>
      <c r="P29" s="135">
        <v>10</v>
      </c>
      <c r="Q29" s="135"/>
      <c r="R29" s="135"/>
      <c r="S29" s="135"/>
      <c r="T29" s="135">
        <v>12</v>
      </c>
      <c r="U29" s="135"/>
      <c r="V29" s="135"/>
      <c r="W29" s="135"/>
      <c r="X29" s="135">
        <v>15</v>
      </c>
      <c r="Y29" s="135"/>
      <c r="Z29" s="135">
        <v>16.5</v>
      </c>
      <c r="AA29" s="135"/>
      <c r="AB29" s="135"/>
      <c r="AC29" s="135">
        <v>18</v>
      </c>
      <c r="AD29" s="135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7"/>
    </row>
    <row r="30" spans="2:43" x14ac:dyDescent="0.15">
      <c r="B30" s="73" t="s">
        <v>74</v>
      </c>
      <c r="C30" s="145"/>
      <c r="D30" s="145"/>
      <c r="E30" s="145"/>
      <c r="F30" s="145"/>
      <c r="G30" s="145"/>
      <c r="H30" s="145"/>
      <c r="I30" s="145"/>
      <c r="J30" s="145"/>
      <c r="K30" s="145"/>
      <c r="L30" s="138">
        <v>19.635000000000002</v>
      </c>
      <c r="M30" s="138"/>
      <c r="N30" s="138"/>
      <c r="O30" s="138"/>
      <c r="P30" s="138">
        <v>21.991</v>
      </c>
      <c r="Q30" s="138"/>
      <c r="R30" s="138"/>
      <c r="S30" s="138"/>
      <c r="T30" s="138">
        <v>37.164999999999999</v>
      </c>
      <c r="U30" s="138"/>
      <c r="V30" s="138"/>
      <c r="W30" s="138"/>
      <c r="X30" s="138">
        <v>59.69</v>
      </c>
      <c r="Y30" s="138"/>
      <c r="Z30" s="138">
        <v>78.94</v>
      </c>
      <c r="AA30" s="138"/>
      <c r="AB30" s="138"/>
      <c r="AC30" s="138">
        <v>100.877</v>
      </c>
      <c r="AD30" s="138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40"/>
    </row>
    <row r="31" spans="2:43" x14ac:dyDescent="0.15">
      <c r="B31" s="73" t="s">
        <v>71</v>
      </c>
      <c r="C31" s="145"/>
      <c r="D31" s="145"/>
      <c r="E31" s="145"/>
      <c r="F31" s="145"/>
      <c r="G31" s="145"/>
      <c r="H31" s="145"/>
      <c r="I31" s="145"/>
      <c r="J31" s="145"/>
      <c r="K31" s="145"/>
      <c r="L31" s="138">
        <v>0.24</v>
      </c>
      <c r="M31" s="138"/>
      <c r="N31" s="138"/>
      <c r="O31" s="138"/>
      <c r="P31" s="138">
        <v>0.28000000000000003</v>
      </c>
      <c r="Q31" s="138"/>
      <c r="R31" s="138"/>
      <c r="S31" s="138"/>
      <c r="T31" s="138">
        <v>0.43</v>
      </c>
      <c r="U31" s="138"/>
      <c r="V31" s="138"/>
      <c r="W31" s="138"/>
      <c r="X31" s="138">
        <v>0.69</v>
      </c>
      <c r="Y31" s="138"/>
      <c r="Z31" s="138">
        <v>0.89</v>
      </c>
      <c r="AA31" s="138"/>
      <c r="AB31" s="138"/>
      <c r="AC31" s="138">
        <v>1.1000000000000001</v>
      </c>
      <c r="AD31" s="138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40"/>
    </row>
    <row r="32" spans="2:43" x14ac:dyDescent="0.15">
      <c r="B32" s="73" t="s">
        <v>75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2">
        <v>684</v>
      </c>
      <c r="M32" s="142"/>
      <c r="N32" s="142"/>
      <c r="O32" s="142"/>
      <c r="P32" s="142">
        <v>800</v>
      </c>
      <c r="Q32" s="142"/>
      <c r="R32" s="142"/>
      <c r="S32" s="142"/>
      <c r="T32" s="142">
        <v>1330</v>
      </c>
      <c r="U32" s="142"/>
      <c r="V32" s="142"/>
      <c r="W32" s="142"/>
      <c r="X32" s="142">
        <v>2160</v>
      </c>
      <c r="Y32" s="142"/>
      <c r="Z32" s="142">
        <v>2840</v>
      </c>
      <c r="AA32" s="142"/>
      <c r="AB32" s="142"/>
      <c r="AC32" s="142">
        <v>3600</v>
      </c>
      <c r="AD32" s="142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4"/>
    </row>
    <row r="33" spans="2:43" x14ac:dyDescent="0.15">
      <c r="B33" s="73" t="s">
        <v>72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2">
        <v>12000</v>
      </c>
      <c r="M33" s="142"/>
      <c r="N33" s="142"/>
      <c r="O33" s="142"/>
      <c r="P33" s="142">
        <v>12000</v>
      </c>
      <c r="Q33" s="142"/>
      <c r="R33" s="142"/>
      <c r="S33" s="142"/>
      <c r="T33" s="142">
        <v>12000</v>
      </c>
      <c r="U33" s="142"/>
      <c r="V33" s="142"/>
      <c r="W33" s="142"/>
      <c r="X33" s="142">
        <v>12000</v>
      </c>
      <c r="Y33" s="142"/>
      <c r="Z33" s="142">
        <v>12000</v>
      </c>
      <c r="AA33" s="142"/>
      <c r="AB33" s="142"/>
      <c r="AC33" s="142">
        <v>12000</v>
      </c>
      <c r="AD33" s="142"/>
      <c r="AE33" s="143"/>
      <c r="AF33" s="142"/>
      <c r="AG33" s="143"/>
      <c r="AH33" s="142"/>
      <c r="AI33" s="142"/>
      <c r="AJ33" s="143"/>
      <c r="AK33" s="143"/>
      <c r="AL33" s="143"/>
      <c r="AM33" s="143"/>
      <c r="AN33" s="143"/>
      <c r="AO33" s="143"/>
      <c r="AP33" s="143"/>
      <c r="AQ33" s="144"/>
    </row>
    <row r="34" spans="2:43" x14ac:dyDescent="0.15">
      <c r="B34" s="73" t="s">
        <v>73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2">
        <v>170</v>
      </c>
      <c r="M34" s="142"/>
      <c r="N34" s="142"/>
      <c r="O34" s="142"/>
      <c r="P34" s="142">
        <v>170</v>
      </c>
      <c r="Q34" s="142"/>
      <c r="R34" s="142"/>
      <c r="S34" s="142"/>
      <c r="T34" s="142">
        <v>170</v>
      </c>
      <c r="U34" s="142"/>
      <c r="V34" s="142"/>
      <c r="W34" s="142"/>
      <c r="X34" s="142">
        <v>170</v>
      </c>
      <c r="Y34" s="142"/>
      <c r="Z34" s="142">
        <v>170</v>
      </c>
      <c r="AA34" s="142"/>
      <c r="AB34" s="142"/>
      <c r="AC34" s="142">
        <v>170</v>
      </c>
      <c r="AD34" s="142"/>
      <c r="AE34" s="143"/>
      <c r="AF34" s="142"/>
      <c r="AG34" s="143"/>
      <c r="AH34" s="142"/>
      <c r="AI34" s="142"/>
      <c r="AJ34" s="143"/>
      <c r="AK34" s="143"/>
      <c r="AL34" s="143"/>
      <c r="AM34" s="143"/>
      <c r="AN34" s="143"/>
      <c r="AO34" s="143"/>
      <c r="AP34" s="143"/>
      <c r="AQ34" s="144"/>
    </row>
    <row r="35" spans="2:43" x14ac:dyDescent="0.15">
      <c r="B35" s="74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50"/>
      <c r="Q35" s="150"/>
      <c r="R35" s="150"/>
      <c r="S35" s="150"/>
      <c r="T35" s="150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2"/>
    </row>
    <row r="36" spans="2:43" x14ac:dyDescent="0.15">
      <c r="B36" s="71" t="str">
        <f>'WireDip-01'!AF7</f>
        <v>05-6KV ACSR-OC</v>
      </c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6"/>
      <c r="Q36" s="146"/>
      <c r="R36" s="146"/>
      <c r="S36" s="146"/>
      <c r="T36" s="146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8"/>
    </row>
    <row r="37" spans="2:43" x14ac:dyDescent="0.15">
      <c r="B37" s="73" t="s">
        <v>70</v>
      </c>
      <c r="C37" s="145"/>
      <c r="D37" s="145"/>
      <c r="E37" s="145"/>
      <c r="F37" s="145"/>
      <c r="G37" s="145"/>
      <c r="H37" s="145"/>
      <c r="I37" s="145"/>
      <c r="J37" s="145"/>
      <c r="K37" s="145"/>
      <c r="L37" s="135"/>
      <c r="M37" s="135"/>
      <c r="N37" s="135"/>
      <c r="O37" s="135"/>
      <c r="P37" s="135"/>
      <c r="Q37" s="135">
        <v>10.3</v>
      </c>
      <c r="R37" s="135"/>
      <c r="S37" s="135">
        <v>11.2</v>
      </c>
      <c r="T37" s="135"/>
      <c r="U37" s="135"/>
      <c r="V37" s="135"/>
      <c r="W37" s="135">
        <v>14.7</v>
      </c>
      <c r="X37" s="135"/>
      <c r="Y37" s="135"/>
      <c r="Z37" s="135"/>
      <c r="AA37" s="135"/>
      <c r="AB37" s="135">
        <v>17</v>
      </c>
      <c r="AC37" s="135"/>
      <c r="AD37" s="135"/>
      <c r="AE37" s="136">
        <v>18.600000000000001</v>
      </c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7"/>
    </row>
    <row r="38" spans="2:43" x14ac:dyDescent="0.15">
      <c r="B38" s="73" t="s">
        <v>74</v>
      </c>
      <c r="C38" s="145"/>
      <c r="D38" s="145"/>
      <c r="E38" s="145"/>
      <c r="F38" s="145"/>
      <c r="G38" s="145"/>
      <c r="H38" s="145"/>
      <c r="I38" s="145"/>
      <c r="J38" s="145"/>
      <c r="K38" s="145"/>
      <c r="L38" s="138"/>
      <c r="M38" s="138"/>
      <c r="N38" s="138"/>
      <c r="O38" s="138"/>
      <c r="P38" s="138"/>
      <c r="Q38" s="138">
        <v>25</v>
      </c>
      <c r="R38" s="138"/>
      <c r="S38" s="138">
        <v>32</v>
      </c>
      <c r="T38" s="138"/>
      <c r="U38" s="138"/>
      <c r="V38" s="138"/>
      <c r="W38" s="138">
        <v>58</v>
      </c>
      <c r="X38" s="138"/>
      <c r="Y38" s="138"/>
      <c r="Z38" s="138"/>
      <c r="AA38" s="138"/>
      <c r="AB38" s="138">
        <v>95</v>
      </c>
      <c r="AC38" s="138"/>
      <c r="AD38" s="138"/>
      <c r="AE38" s="139">
        <v>120</v>
      </c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40"/>
    </row>
    <row r="39" spans="2:43" x14ac:dyDescent="0.15">
      <c r="B39" s="73" t="s">
        <v>71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38"/>
      <c r="M39" s="138"/>
      <c r="N39" s="138"/>
      <c r="O39" s="138"/>
      <c r="P39" s="138"/>
      <c r="Q39" s="138">
        <v>0.155</v>
      </c>
      <c r="R39" s="138"/>
      <c r="S39" s="138">
        <v>0.185</v>
      </c>
      <c r="T39" s="138"/>
      <c r="U39" s="138"/>
      <c r="V39" s="138"/>
      <c r="W39" s="138">
        <v>0.32500000000000001</v>
      </c>
      <c r="X39" s="138"/>
      <c r="Y39" s="138"/>
      <c r="Z39" s="138"/>
      <c r="AA39" s="138"/>
      <c r="AB39" s="138">
        <v>0.45500000000000002</v>
      </c>
      <c r="AC39" s="138"/>
      <c r="AD39" s="138"/>
      <c r="AE39" s="139">
        <v>0.55500000000000005</v>
      </c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40"/>
    </row>
    <row r="40" spans="2:43" x14ac:dyDescent="0.15">
      <c r="B40" s="73" t="s">
        <v>75</v>
      </c>
      <c r="C40" s="145"/>
      <c r="D40" s="145"/>
      <c r="E40" s="145"/>
      <c r="F40" s="145"/>
      <c r="G40" s="145"/>
      <c r="H40" s="145"/>
      <c r="I40" s="145"/>
      <c r="J40" s="145"/>
      <c r="K40" s="145"/>
      <c r="L40" s="142"/>
      <c r="M40" s="142"/>
      <c r="N40" s="142"/>
      <c r="O40" s="142"/>
      <c r="P40" s="142"/>
      <c r="Q40" s="142">
        <v>868</v>
      </c>
      <c r="R40" s="142"/>
      <c r="S40" s="142">
        <v>1090</v>
      </c>
      <c r="T40" s="142"/>
      <c r="U40" s="142"/>
      <c r="V40" s="142"/>
      <c r="W40" s="142">
        <v>1900</v>
      </c>
      <c r="X40" s="142"/>
      <c r="Y40" s="142"/>
      <c r="Z40" s="142"/>
      <c r="AA40" s="142"/>
      <c r="AB40" s="142">
        <v>2360</v>
      </c>
      <c r="AC40" s="142"/>
      <c r="AD40" s="142"/>
      <c r="AE40" s="143">
        <v>3130</v>
      </c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4"/>
    </row>
    <row r="41" spans="2:43" x14ac:dyDescent="0.15">
      <c r="B41" s="73" t="s">
        <v>72</v>
      </c>
      <c r="C41" s="145"/>
      <c r="D41" s="145"/>
      <c r="E41" s="145"/>
      <c r="F41" s="145"/>
      <c r="G41" s="145"/>
      <c r="H41" s="145"/>
      <c r="I41" s="145"/>
      <c r="J41" s="145"/>
      <c r="K41" s="145"/>
      <c r="L41" s="142"/>
      <c r="M41" s="142"/>
      <c r="N41" s="142"/>
      <c r="O41" s="142"/>
      <c r="P41" s="142"/>
      <c r="Q41" s="142">
        <v>7800</v>
      </c>
      <c r="R41" s="142"/>
      <c r="S41" s="142">
        <v>8400</v>
      </c>
      <c r="T41" s="142"/>
      <c r="U41" s="142"/>
      <c r="V41" s="142"/>
      <c r="W41" s="142">
        <v>8400</v>
      </c>
      <c r="X41" s="142"/>
      <c r="Y41" s="142"/>
      <c r="Z41" s="142"/>
      <c r="AA41" s="142"/>
      <c r="AB41" s="142">
        <v>7700</v>
      </c>
      <c r="AC41" s="142"/>
      <c r="AD41" s="142"/>
      <c r="AE41" s="143">
        <v>7800</v>
      </c>
      <c r="AF41" s="142"/>
      <c r="AG41" s="143"/>
      <c r="AH41" s="142"/>
      <c r="AI41" s="143"/>
      <c r="AJ41" s="143"/>
      <c r="AK41" s="143"/>
      <c r="AL41" s="143"/>
      <c r="AM41" s="143"/>
      <c r="AN41" s="143"/>
      <c r="AO41" s="143"/>
      <c r="AP41" s="143"/>
      <c r="AQ41" s="144"/>
    </row>
    <row r="42" spans="2:43" x14ac:dyDescent="0.15">
      <c r="B42" s="73" t="s">
        <v>73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42"/>
      <c r="M42" s="142"/>
      <c r="N42" s="142"/>
      <c r="O42" s="142"/>
      <c r="P42" s="142"/>
      <c r="Q42" s="142">
        <v>198</v>
      </c>
      <c r="R42" s="142"/>
      <c r="S42" s="142">
        <v>189</v>
      </c>
      <c r="T42" s="142"/>
      <c r="U42" s="142"/>
      <c r="V42" s="142"/>
      <c r="W42" s="142">
        <v>189</v>
      </c>
      <c r="X42" s="142"/>
      <c r="Y42" s="142"/>
      <c r="Z42" s="142"/>
      <c r="AA42" s="142"/>
      <c r="AB42" s="142">
        <v>201</v>
      </c>
      <c r="AC42" s="142"/>
      <c r="AD42" s="142"/>
      <c r="AE42" s="143">
        <v>198</v>
      </c>
      <c r="AF42" s="142"/>
      <c r="AG42" s="143"/>
      <c r="AH42" s="142"/>
      <c r="AI42" s="143"/>
      <c r="AJ42" s="143"/>
      <c r="AK42" s="143"/>
      <c r="AL42" s="143"/>
      <c r="AM42" s="143"/>
      <c r="AN42" s="143"/>
      <c r="AO42" s="143"/>
      <c r="AP42" s="143"/>
      <c r="AQ42" s="144"/>
    </row>
    <row r="43" spans="2:43" x14ac:dyDescent="0.15">
      <c r="B43" s="74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50"/>
      <c r="Q43" s="150"/>
      <c r="R43" s="150"/>
      <c r="S43" s="150"/>
      <c r="T43" s="150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2"/>
    </row>
    <row r="44" spans="2:43" x14ac:dyDescent="0.15">
      <c r="B44" s="71" t="str">
        <f>'WireDip-01'!AF8</f>
        <v>06-6KV ACSR-OE</v>
      </c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6"/>
      <c r="Q44" s="146"/>
      <c r="R44" s="146"/>
      <c r="S44" s="146"/>
      <c r="T44" s="146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8"/>
    </row>
    <row r="45" spans="2:43" x14ac:dyDescent="0.15">
      <c r="B45" s="73" t="s">
        <v>70</v>
      </c>
      <c r="C45" s="145"/>
      <c r="D45" s="145"/>
      <c r="E45" s="145"/>
      <c r="F45" s="145"/>
      <c r="G45" s="145"/>
      <c r="H45" s="145"/>
      <c r="I45" s="145"/>
      <c r="J45" s="145"/>
      <c r="K45" s="145"/>
      <c r="L45" s="135"/>
      <c r="M45" s="135"/>
      <c r="N45" s="135"/>
      <c r="O45" s="135"/>
      <c r="P45" s="135"/>
      <c r="Q45" s="135">
        <v>10.3</v>
      </c>
      <c r="R45" s="135"/>
      <c r="S45" s="135">
        <v>11.2</v>
      </c>
      <c r="T45" s="135"/>
      <c r="U45" s="135"/>
      <c r="V45" s="135"/>
      <c r="W45" s="135">
        <v>14.7</v>
      </c>
      <c r="X45" s="135"/>
      <c r="Y45" s="135"/>
      <c r="Z45" s="135"/>
      <c r="AA45" s="135"/>
      <c r="AB45" s="135">
        <v>17</v>
      </c>
      <c r="AC45" s="135"/>
      <c r="AD45" s="135"/>
      <c r="AE45" s="136">
        <v>18.600000000000001</v>
      </c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7"/>
    </row>
    <row r="46" spans="2:43" x14ac:dyDescent="0.15">
      <c r="B46" s="73" t="s">
        <v>74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38"/>
      <c r="M46" s="138"/>
      <c r="N46" s="138"/>
      <c r="O46" s="138"/>
      <c r="P46" s="138"/>
      <c r="Q46" s="138">
        <v>25</v>
      </c>
      <c r="R46" s="138"/>
      <c r="S46" s="138">
        <v>32</v>
      </c>
      <c r="T46" s="138"/>
      <c r="U46" s="138"/>
      <c r="V46" s="138"/>
      <c r="W46" s="138">
        <v>58</v>
      </c>
      <c r="X46" s="138"/>
      <c r="Y46" s="138"/>
      <c r="Z46" s="138"/>
      <c r="AA46" s="138"/>
      <c r="AB46" s="138">
        <v>95</v>
      </c>
      <c r="AC46" s="138"/>
      <c r="AD46" s="138"/>
      <c r="AE46" s="139">
        <v>120</v>
      </c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40"/>
    </row>
    <row r="47" spans="2:43" x14ac:dyDescent="0.15">
      <c r="B47" s="73" t="s">
        <v>71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38"/>
      <c r="M47" s="138"/>
      <c r="N47" s="138"/>
      <c r="O47" s="138"/>
      <c r="P47" s="138"/>
      <c r="Q47" s="138">
        <v>0.155</v>
      </c>
      <c r="R47" s="138"/>
      <c r="S47" s="138">
        <v>0.185</v>
      </c>
      <c r="T47" s="138"/>
      <c r="U47" s="138"/>
      <c r="V47" s="138"/>
      <c r="W47" s="138">
        <v>0.32500000000000001</v>
      </c>
      <c r="X47" s="138"/>
      <c r="Y47" s="138"/>
      <c r="Z47" s="138"/>
      <c r="AA47" s="138"/>
      <c r="AB47" s="138">
        <v>0.45500000000000002</v>
      </c>
      <c r="AC47" s="138"/>
      <c r="AD47" s="138"/>
      <c r="AE47" s="139">
        <v>0.55500000000000005</v>
      </c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40"/>
    </row>
    <row r="48" spans="2:43" x14ac:dyDescent="0.15">
      <c r="B48" s="73" t="s">
        <v>75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42"/>
      <c r="M48" s="142"/>
      <c r="N48" s="142"/>
      <c r="O48" s="142"/>
      <c r="P48" s="142"/>
      <c r="Q48" s="142">
        <v>907</v>
      </c>
      <c r="R48" s="142"/>
      <c r="S48" s="142">
        <v>1140</v>
      </c>
      <c r="T48" s="142"/>
      <c r="U48" s="142"/>
      <c r="V48" s="142"/>
      <c r="W48" s="142">
        <v>1980</v>
      </c>
      <c r="X48" s="142"/>
      <c r="Y48" s="142"/>
      <c r="Z48" s="142"/>
      <c r="AA48" s="142"/>
      <c r="AB48" s="142">
        <v>2510</v>
      </c>
      <c r="AC48" s="142"/>
      <c r="AD48" s="142"/>
      <c r="AE48" s="143">
        <v>3300</v>
      </c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4"/>
    </row>
    <row r="49" spans="2:43" x14ac:dyDescent="0.15">
      <c r="B49" s="73" t="s">
        <v>72</v>
      </c>
      <c r="C49" s="145"/>
      <c r="D49" s="145"/>
      <c r="E49" s="145"/>
      <c r="F49" s="145"/>
      <c r="G49" s="145"/>
      <c r="H49" s="145"/>
      <c r="I49" s="145"/>
      <c r="J49" s="145"/>
      <c r="K49" s="145"/>
      <c r="L49" s="142"/>
      <c r="M49" s="142"/>
      <c r="N49" s="142"/>
      <c r="O49" s="142"/>
      <c r="P49" s="142"/>
      <c r="Q49" s="142">
        <v>7800</v>
      </c>
      <c r="R49" s="142"/>
      <c r="S49" s="142">
        <v>8400</v>
      </c>
      <c r="T49" s="142"/>
      <c r="U49" s="142"/>
      <c r="V49" s="142"/>
      <c r="W49" s="142">
        <v>8400</v>
      </c>
      <c r="X49" s="142"/>
      <c r="Y49" s="142"/>
      <c r="Z49" s="142"/>
      <c r="AA49" s="142"/>
      <c r="AB49" s="142">
        <v>7700</v>
      </c>
      <c r="AC49" s="142"/>
      <c r="AD49" s="142"/>
      <c r="AE49" s="143">
        <v>7800</v>
      </c>
      <c r="AF49" s="142"/>
      <c r="AG49" s="143"/>
      <c r="AH49" s="142"/>
      <c r="AI49" s="143"/>
      <c r="AJ49" s="143"/>
      <c r="AK49" s="143"/>
      <c r="AL49" s="143"/>
      <c r="AM49" s="143"/>
      <c r="AN49" s="143"/>
      <c r="AO49" s="143"/>
      <c r="AP49" s="143"/>
      <c r="AQ49" s="144"/>
    </row>
    <row r="50" spans="2:43" x14ac:dyDescent="0.15">
      <c r="B50" s="73" t="s">
        <v>73</v>
      </c>
      <c r="C50" s="145"/>
      <c r="D50" s="145"/>
      <c r="E50" s="145"/>
      <c r="F50" s="145"/>
      <c r="G50" s="145"/>
      <c r="H50" s="145"/>
      <c r="I50" s="145"/>
      <c r="J50" s="145"/>
      <c r="K50" s="145"/>
      <c r="L50" s="142"/>
      <c r="M50" s="142"/>
      <c r="N50" s="142"/>
      <c r="O50" s="142"/>
      <c r="P50" s="142"/>
      <c r="Q50" s="142">
        <v>198</v>
      </c>
      <c r="R50" s="142"/>
      <c r="S50" s="142">
        <v>189</v>
      </c>
      <c r="T50" s="142"/>
      <c r="U50" s="142"/>
      <c r="V50" s="142"/>
      <c r="W50" s="142">
        <v>189</v>
      </c>
      <c r="X50" s="142"/>
      <c r="Y50" s="142"/>
      <c r="Z50" s="142"/>
      <c r="AA50" s="142"/>
      <c r="AB50" s="142">
        <v>201</v>
      </c>
      <c r="AC50" s="142"/>
      <c r="AD50" s="142"/>
      <c r="AE50" s="143">
        <v>198</v>
      </c>
      <c r="AF50" s="142"/>
      <c r="AG50" s="143"/>
      <c r="AH50" s="142"/>
      <c r="AI50" s="143"/>
      <c r="AJ50" s="143"/>
      <c r="AK50" s="143"/>
      <c r="AL50" s="143"/>
      <c r="AM50" s="143"/>
      <c r="AN50" s="143"/>
      <c r="AO50" s="143"/>
      <c r="AP50" s="143"/>
      <c r="AQ50" s="144"/>
    </row>
    <row r="51" spans="2:43" x14ac:dyDescent="0.15">
      <c r="B51" s="74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50"/>
      <c r="Q51" s="150"/>
      <c r="R51" s="150"/>
      <c r="S51" s="150"/>
      <c r="T51" s="150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2"/>
    </row>
    <row r="52" spans="2:43" x14ac:dyDescent="0.15">
      <c r="B52" s="71" t="str">
        <f>'WireDip-01'!AF9</f>
        <v>07-6KV AAAC-OC</v>
      </c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6"/>
      <c r="Q52" s="146"/>
      <c r="R52" s="146"/>
      <c r="S52" s="146"/>
      <c r="T52" s="146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8"/>
    </row>
    <row r="53" spans="2:43" x14ac:dyDescent="0.15">
      <c r="B53" s="73" t="s">
        <v>70</v>
      </c>
      <c r="C53" s="145"/>
      <c r="D53" s="145"/>
      <c r="E53" s="145"/>
      <c r="F53" s="145"/>
      <c r="G53" s="145"/>
      <c r="H53" s="145"/>
      <c r="I53" s="145"/>
      <c r="J53" s="145"/>
      <c r="K53" s="145"/>
      <c r="L53" s="135"/>
      <c r="M53" s="135"/>
      <c r="N53" s="135"/>
      <c r="O53" s="135"/>
      <c r="P53" s="135">
        <v>9.5</v>
      </c>
      <c r="Q53" s="135"/>
      <c r="R53" s="135">
        <v>10.5</v>
      </c>
      <c r="S53" s="135"/>
      <c r="T53" s="135">
        <v>11.3</v>
      </c>
      <c r="U53" s="135"/>
      <c r="V53" s="135">
        <v>13.8</v>
      </c>
      <c r="W53" s="135"/>
      <c r="X53" s="135"/>
      <c r="Y53" s="135">
        <v>14.9</v>
      </c>
      <c r="Z53" s="135"/>
      <c r="AA53" s="135">
        <v>16.2</v>
      </c>
      <c r="AB53" s="135"/>
      <c r="AC53" s="135"/>
      <c r="AD53" s="135">
        <v>17.399999999999999</v>
      </c>
      <c r="AE53" s="136"/>
      <c r="AF53" s="136"/>
      <c r="AG53" s="136">
        <v>18.5</v>
      </c>
      <c r="AH53" s="136"/>
      <c r="AI53" s="136"/>
      <c r="AJ53" s="136"/>
      <c r="AK53" s="136"/>
      <c r="AL53" s="136"/>
      <c r="AM53" s="136"/>
      <c r="AN53" s="136"/>
      <c r="AO53" s="136"/>
      <c r="AP53" s="136"/>
      <c r="AQ53" s="137"/>
    </row>
    <row r="54" spans="2:43" x14ac:dyDescent="0.15">
      <c r="B54" s="73" t="s">
        <v>74</v>
      </c>
      <c r="C54" s="145"/>
      <c r="D54" s="145"/>
      <c r="E54" s="145"/>
      <c r="F54" s="145"/>
      <c r="G54" s="145"/>
      <c r="H54" s="145"/>
      <c r="I54" s="145"/>
      <c r="J54" s="145"/>
      <c r="K54" s="145"/>
      <c r="L54" s="138"/>
      <c r="M54" s="138"/>
      <c r="N54" s="138"/>
      <c r="O54" s="138"/>
      <c r="P54" s="138">
        <v>22</v>
      </c>
      <c r="Q54" s="138"/>
      <c r="R54" s="138">
        <v>30</v>
      </c>
      <c r="S54" s="138"/>
      <c r="T54" s="138">
        <v>38</v>
      </c>
      <c r="U54" s="138"/>
      <c r="V54" s="138">
        <v>55</v>
      </c>
      <c r="W54" s="138"/>
      <c r="X54" s="138"/>
      <c r="Y54" s="138">
        <v>70</v>
      </c>
      <c r="Z54" s="138"/>
      <c r="AA54" s="138">
        <v>90</v>
      </c>
      <c r="AB54" s="138"/>
      <c r="AC54" s="138"/>
      <c r="AD54" s="138">
        <v>111.3</v>
      </c>
      <c r="AE54" s="139"/>
      <c r="AF54" s="139"/>
      <c r="AG54" s="139">
        <v>130</v>
      </c>
      <c r="AH54" s="139"/>
      <c r="AI54" s="139"/>
      <c r="AJ54" s="139"/>
      <c r="AK54" s="139"/>
      <c r="AL54" s="139"/>
      <c r="AM54" s="139"/>
      <c r="AN54" s="139"/>
      <c r="AO54" s="139"/>
      <c r="AP54" s="139"/>
      <c r="AQ54" s="140"/>
    </row>
    <row r="55" spans="2:43" x14ac:dyDescent="0.15">
      <c r="B55" s="73" t="s">
        <v>71</v>
      </c>
      <c r="C55" s="145"/>
      <c r="D55" s="145"/>
      <c r="E55" s="145"/>
      <c r="F55" s="145"/>
      <c r="G55" s="145"/>
      <c r="H55" s="145"/>
      <c r="I55" s="145"/>
      <c r="J55" s="145"/>
      <c r="K55" s="145"/>
      <c r="L55" s="138"/>
      <c r="M55" s="138"/>
      <c r="N55" s="138"/>
      <c r="O55" s="138"/>
      <c r="P55" s="138">
        <v>0.115</v>
      </c>
      <c r="Q55" s="138"/>
      <c r="R55" s="138">
        <v>0.14499999999999999</v>
      </c>
      <c r="S55" s="138"/>
      <c r="T55" s="138">
        <v>0.16</v>
      </c>
      <c r="U55" s="138"/>
      <c r="V55" s="138">
        <v>0.24</v>
      </c>
      <c r="W55" s="138"/>
      <c r="X55" s="138"/>
      <c r="Y55" s="138">
        <v>0.28499999999999998</v>
      </c>
      <c r="Z55" s="138"/>
      <c r="AA55" s="138">
        <v>0.35499999999999998</v>
      </c>
      <c r="AB55" s="138"/>
      <c r="AC55" s="138"/>
      <c r="AD55" s="138">
        <v>0.43</v>
      </c>
      <c r="AE55" s="139"/>
      <c r="AF55" s="139"/>
      <c r="AG55" s="139">
        <v>0.48</v>
      </c>
      <c r="AH55" s="139"/>
      <c r="AI55" s="139"/>
      <c r="AJ55" s="139"/>
      <c r="AK55" s="139"/>
      <c r="AL55" s="139"/>
      <c r="AM55" s="139"/>
      <c r="AN55" s="139"/>
      <c r="AO55" s="139"/>
      <c r="AP55" s="139"/>
      <c r="AQ55" s="140"/>
    </row>
    <row r="56" spans="2:43" x14ac:dyDescent="0.15">
      <c r="B56" s="73" t="s">
        <v>75</v>
      </c>
      <c r="C56" s="145"/>
      <c r="D56" s="145"/>
      <c r="E56" s="145"/>
      <c r="F56" s="145"/>
      <c r="G56" s="145"/>
      <c r="H56" s="145"/>
      <c r="I56" s="145"/>
      <c r="J56" s="145"/>
      <c r="K56" s="145"/>
      <c r="L56" s="142"/>
      <c r="M56" s="142"/>
      <c r="N56" s="142"/>
      <c r="O56" s="142"/>
      <c r="P56" s="142">
        <v>463</v>
      </c>
      <c r="Q56" s="142"/>
      <c r="R56" s="142">
        <v>632</v>
      </c>
      <c r="S56" s="142"/>
      <c r="T56" s="142">
        <v>800</v>
      </c>
      <c r="U56" s="142"/>
      <c r="V56" s="142">
        <v>1150</v>
      </c>
      <c r="W56" s="142"/>
      <c r="X56" s="142"/>
      <c r="Y56" s="142">
        <v>1410</v>
      </c>
      <c r="Z56" s="142"/>
      <c r="AA56" s="142">
        <v>1780</v>
      </c>
      <c r="AB56" s="142"/>
      <c r="AC56" s="142"/>
      <c r="AD56" s="142">
        <v>2130</v>
      </c>
      <c r="AE56" s="143"/>
      <c r="AF56" s="143"/>
      <c r="AG56" s="143">
        <v>2420</v>
      </c>
      <c r="AH56" s="143"/>
      <c r="AI56" s="143"/>
      <c r="AJ56" s="143"/>
      <c r="AK56" s="143"/>
      <c r="AL56" s="143"/>
      <c r="AM56" s="143"/>
      <c r="AN56" s="143"/>
      <c r="AO56" s="143"/>
      <c r="AP56" s="143"/>
      <c r="AQ56" s="144"/>
    </row>
    <row r="57" spans="2:43" x14ac:dyDescent="0.15">
      <c r="B57" s="73" t="s">
        <v>72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2"/>
      <c r="M57" s="142"/>
      <c r="N57" s="142"/>
      <c r="O57" s="142"/>
      <c r="P57" s="143">
        <v>6500</v>
      </c>
      <c r="Q57" s="142"/>
      <c r="R57" s="143">
        <v>6500</v>
      </c>
      <c r="S57" s="142"/>
      <c r="T57" s="143">
        <v>6500</v>
      </c>
      <c r="U57" s="142"/>
      <c r="V57" s="143">
        <v>6500</v>
      </c>
      <c r="W57" s="142"/>
      <c r="X57" s="142"/>
      <c r="Y57" s="143">
        <v>6500</v>
      </c>
      <c r="Z57" s="142"/>
      <c r="AA57" s="143">
        <v>6500</v>
      </c>
      <c r="AB57" s="142"/>
      <c r="AC57" s="142"/>
      <c r="AD57" s="143">
        <v>6500</v>
      </c>
      <c r="AE57" s="143"/>
      <c r="AF57" s="142"/>
      <c r="AG57" s="143">
        <v>6500</v>
      </c>
      <c r="AH57" s="142"/>
      <c r="AI57" s="143"/>
      <c r="AJ57" s="143"/>
      <c r="AK57" s="143"/>
      <c r="AL57" s="143"/>
      <c r="AM57" s="143"/>
      <c r="AN57" s="143"/>
      <c r="AO57" s="143"/>
      <c r="AP57" s="143"/>
      <c r="AQ57" s="144"/>
    </row>
    <row r="58" spans="2:43" x14ac:dyDescent="0.15">
      <c r="B58" s="73" t="s">
        <v>73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2"/>
      <c r="M58" s="142"/>
      <c r="N58" s="142"/>
      <c r="O58" s="142"/>
      <c r="P58" s="143">
        <v>230</v>
      </c>
      <c r="Q58" s="142"/>
      <c r="R58" s="143">
        <v>230</v>
      </c>
      <c r="S58" s="142"/>
      <c r="T58" s="143">
        <v>230</v>
      </c>
      <c r="U58" s="142"/>
      <c r="V58" s="143">
        <v>230</v>
      </c>
      <c r="W58" s="142"/>
      <c r="X58" s="142"/>
      <c r="Y58" s="143">
        <v>230</v>
      </c>
      <c r="Z58" s="142"/>
      <c r="AA58" s="143">
        <v>230</v>
      </c>
      <c r="AB58" s="142"/>
      <c r="AC58" s="142"/>
      <c r="AD58" s="143">
        <v>230</v>
      </c>
      <c r="AE58" s="143"/>
      <c r="AF58" s="142"/>
      <c r="AG58" s="143">
        <v>230</v>
      </c>
      <c r="AH58" s="142"/>
      <c r="AI58" s="143"/>
      <c r="AJ58" s="143"/>
      <c r="AK58" s="143"/>
      <c r="AL58" s="143"/>
      <c r="AM58" s="143"/>
      <c r="AN58" s="143"/>
      <c r="AO58" s="143"/>
      <c r="AP58" s="143"/>
      <c r="AQ58" s="144"/>
    </row>
    <row r="59" spans="2:43" x14ac:dyDescent="0.15">
      <c r="B59" s="74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50"/>
      <c r="Q59" s="150"/>
      <c r="R59" s="150"/>
      <c r="S59" s="150"/>
      <c r="T59" s="150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2"/>
    </row>
    <row r="60" spans="2:43" x14ac:dyDescent="0.15">
      <c r="B60" s="75" t="str">
        <f>'WireDip-01'!AF10</f>
        <v>08-6KV CV-T</v>
      </c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6"/>
      <c r="Q60" s="146"/>
      <c r="R60" s="146"/>
      <c r="S60" s="146"/>
      <c r="T60" s="146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8"/>
    </row>
    <row r="61" spans="2:43" x14ac:dyDescent="0.15">
      <c r="B61" s="73" t="s">
        <v>70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35"/>
      <c r="M61" s="135"/>
      <c r="N61" s="135"/>
      <c r="O61" s="135">
        <v>40</v>
      </c>
      <c r="P61" s="135">
        <v>43</v>
      </c>
      <c r="Q61" s="135"/>
      <c r="R61" s="135"/>
      <c r="S61" s="135"/>
      <c r="T61" s="135">
        <v>47</v>
      </c>
      <c r="U61" s="135"/>
      <c r="V61" s="135"/>
      <c r="W61" s="135"/>
      <c r="X61" s="135">
        <v>52</v>
      </c>
      <c r="Y61" s="135"/>
      <c r="Z61" s="135"/>
      <c r="AA61" s="135"/>
      <c r="AB61" s="135"/>
      <c r="AC61" s="135">
        <v>58</v>
      </c>
      <c r="AD61" s="135"/>
      <c r="AE61" s="136"/>
      <c r="AF61" s="136"/>
      <c r="AG61" s="136"/>
      <c r="AH61" s="136">
        <v>65</v>
      </c>
      <c r="AI61" s="136">
        <v>73</v>
      </c>
      <c r="AJ61" s="136"/>
      <c r="AK61" s="136">
        <v>78</v>
      </c>
      <c r="AL61" s="136">
        <v>84</v>
      </c>
      <c r="AM61" s="136"/>
      <c r="AN61" s="136"/>
      <c r="AO61" s="136"/>
      <c r="AP61" s="136"/>
      <c r="AQ61" s="137"/>
    </row>
    <row r="62" spans="2:43" x14ac:dyDescent="0.15">
      <c r="B62" s="73" t="s">
        <v>74</v>
      </c>
      <c r="C62" s="129"/>
      <c r="D62" s="129"/>
      <c r="E62" s="129"/>
      <c r="F62" s="129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40"/>
    </row>
    <row r="63" spans="2:43" x14ac:dyDescent="0.15">
      <c r="B63" s="73" t="s">
        <v>71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38"/>
      <c r="M63" s="138"/>
      <c r="N63" s="138"/>
      <c r="O63" s="138">
        <v>1.35</v>
      </c>
      <c r="P63" s="138">
        <v>1.66</v>
      </c>
      <c r="Q63" s="138"/>
      <c r="R63" s="138"/>
      <c r="S63" s="138"/>
      <c r="T63" s="138">
        <v>2.2599999999999998</v>
      </c>
      <c r="U63" s="138"/>
      <c r="V63" s="138"/>
      <c r="W63" s="138"/>
      <c r="X63" s="138">
        <v>3.05</v>
      </c>
      <c r="Y63" s="138"/>
      <c r="Z63" s="138"/>
      <c r="AA63" s="138"/>
      <c r="AB63" s="138"/>
      <c r="AC63" s="138">
        <v>4.42</v>
      </c>
      <c r="AD63" s="138"/>
      <c r="AE63" s="139"/>
      <c r="AF63" s="139"/>
      <c r="AG63" s="139"/>
      <c r="AH63" s="139">
        <v>6.08</v>
      </c>
      <c r="AI63" s="139">
        <v>7.88</v>
      </c>
      <c r="AJ63" s="139"/>
      <c r="AK63" s="139">
        <v>9.4499999999999993</v>
      </c>
      <c r="AL63" s="139">
        <v>11.8</v>
      </c>
      <c r="AM63" s="139"/>
      <c r="AN63" s="139"/>
      <c r="AO63" s="139"/>
      <c r="AP63" s="139"/>
      <c r="AQ63" s="140"/>
    </row>
    <row r="64" spans="2:43" x14ac:dyDescent="0.15">
      <c r="B64" s="73" t="s">
        <v>75</v>
      </c>
      <c r="C64" s="145"/>
      <c r="D64" s="145"/>
      <c r="E64" s="145"/>
      <c r="F64" s="145"/>
      <c r="G64" s="145"/>
      <c r="H64" s="145"/>
      <c r="I64" s="145"/>
      <c r="J64" s="145"/>
      <c r="K64" s="145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4"/>
    </row>
    <row r="65" spans="2:43" x14ac:dyDescent="0.15">
      <c r="B65" s="73" t="s">
        <v>72</v>
      </c>
      <c r="C65" s="145"/>
      <c r="D65" s="145"/>
      <c r="E65" s="145"/>
      <c r="F65" s="145"/>
      <c r="G65" s="145"/>
      <c r="H65" s="145"/>
      <c r="I65" s="145"/>
      <c r="J65" s="145"/>
      <c r="K65" s="145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3"/>
      <c r="AF65" s="142"/>
      <c r="AG65" s="143"/>
      <c r="AH65" s="142"/>
      <c r="AI65" s="143"/>
      <c r="AJ65" s="143"/>
      <c r="AK65" s="143"/>
      <c r="AL65" s="143"/>
      <c r="AM65" s="143"/>
      <c r="AN65" s="143"/>
      <c r="AO65" s="143"/>
      <c r="AP65" s="143"/>
      <c r="AQ65" s="144"/>
    </row>
    <row r="66" spans="2:43" x14ac:dyDescent="0.15">
      <c r="B66" s="73" t="s">
        <v>73</v>
      </c>
      <c r="C66" s="145"/>
      <c r="D66" s="145"/>
      <c r="E66" s="145"/>
      <c r="F66" s="145"/>
      <c r="G66" s="145"/>
      <c r="H66" s="145"/>
      <c r="I66" s="145"/>
      <c r="J66" s="145"/>
      <c r="K66" s="145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3"/>
      <c r="AF66" s="142"/>
      <c r="AG66" s="143"/>
      <c r="AH66" s="142"/>
      <c r="AI66" s="143"/>
      <c r="AJ66" s="143"/>
      <c r="AK66" s="143"/>
      <c r="AL66" s="143"/>
      <c r="AM66" s="143"/>
      <c r="AN66" s="143"/>
      <c r="AO66" s="143"/>
      <c r="AP66" s="143"/>
      <c r="AQ66" s="144"/>
    </row>
    <row r="67" spans="2:43" x14ac:dyDescent="0.15">
      <c r="B67" s="74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50"/>
      <c r="Q67" s="150"/>
      <c r="R67" s="150"/>
      <c r="S67" s="150"/>
      <c r="T67" s="150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2"/>
    </row>
    <row r="68" spans="2:43" x14ac:dyDescent="0.15">
      <c r="B68" s="75" t="str">
        <f>'WireDip-01'!AF11</f>
        <v>09-600V CV-2C</v>
      </c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6"/>
      <c r="Q68" s="146"/>
      <c r="R68" s="146"/>
      <c r="S68" s="146"/>
      <c r="T68" s="146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8"/>
    </row>
    <row r="69" spans="2:43" x14ac:dyDescent="0.15">
      <c r="B69" s="73" t="s">
        <v>70</v>
      </c>
      <c r="C69" s="153"/>
      <c r="D69" s="153"/>
      <c r="E69" s="153"/>
      <c r="F69" s="153"/>
      <c r="G69" s="154">
        <v>10.5</v>
      </c>
      <c r="H69" s="153"/>
      <c r="I69" s="153"/>
      <c r="J69" s="153">
        <v>11.5</v>
      </c>
      <c r="K69" s="153"/>
      <c r="L69" s="154"/>
      <c r="M69" s="154">
        <v>13.5</v>
      </c>
      <c r="N69" s="154">
        <v>14.5</v>
      </c>
      <c r="O69" s="154">
        <v>16</v>
      </c>
      <c r="P69" s="154">
        <v>19.5</v>
      </c>
      <c r="Q69" s="154"/>
      <c r="R69" s="154"/>
      <c r="S69" s="154"/>
      <c r="T69" s="154">
        <v>23</v>
      </c>
      <c r="U69" s="154"/>
      <c r="V69" s="154"/>
      <c r="W69" s="154"/>
      <c r="X69" s="154">
        <v>29</v>
      </c>
      <c r="Y69" s="154"/>
      <c r="Z69" s="154"/>
      <c r="AA69" s="154"/>
      <c r="AB69" s="154"/>
      <c r="AC69" s="154">
        <v>37</v>
      </c>
      <c r="AD69" s="154"/>
      <c r="AE69" s="155"/>
      <c r="AF69" s="155"/>
      <c r="AG69" s="155"/>
      <c r="AH69" s="155">
        <v>43</v>
      </c>
      <c r="AI69" s="155">
        <v>50</v>
      </c>
      <c r="AJ69" s="155"/>
      <c r="AK69" s="155">
        <v>54</v>
      </c>
      <c r="AL69" s="155">
        <v>60</v>
      </c>
      <c r="AM69" s="155"/>
      <c r="AN69" s="155"/>
      <c r="AO69" s="155"/>
      <c r="AP69" s="155"/>
      <c r="AQ69" s="156"/>
    </row>
    <row r="70" spans="2:43" x14ac:dyDescent="0.15">
      <c r="B70" s="73" t="s">
        <v>74</v>
      </c>
      <c r="C70" s="129"/>
      <c r="D70" s="129"/>
      <c r="E70" s="129"/>
      <c r="F70" s="129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40"/>
    </row>
    <row r="71" spans="2:43" x14ac:dyDescent="0.15">
      <c r="B71" s="73" t="s">
        <v>71</v>
      </c>
      <c r="C71" s="78"/>
      <c r="D71" s="78"/>
      <c r="E71" s="78"/>
      <c r="F71" s="78"/>
      <c r="G71" s="78">
        <v>0.12</v>
      </c>
      <c r="H71" s="78"/>
      <c r="I71" s="78"/>
      <c r="J71" s="78">
        <v>0.16</v>
      </c>
      <c r="K71" s="78"/>
      <c r="L71" s="79"/>
      <c r="M71" s="79">
        <v>0.23</v>
      </c>
      <c r="N71" s="79">
        <v>0.28999999999999998</v>
      </c>
      <c r="O71" s="79">
        <v>0.42</v>
      </c>
      <c r="P71" s="79">
        <v>0.62</v>
      </c>
      <c r="Q71" s="79"/>
      <c r="R71" s="79"/>
      <c r="S71" s="79"/>
      <c r="T71" s="79">
        <v>0.98499999999999999</v>
      </c>
      <c r="U71" s="79"/>
      <c r="V71" s="79"/>
      <c r="W71" s="79"/>
      <c r="X71" s="79">
        <v>1.53</v>
      </c>
      <c r="Y71" s="79"/>
      <c r="Z71" s="79"/>
      <c r="AA71" s="79"/>
      <c r="AB71" s="79"/>
      <c r="AC71" s="79">
        <v>2.52</v>
      </c>
      <c r="AD71" s="79"/>
      <c r="AE71" s="80"/>
      <c r="AF71" s="80"/>
      <c r="AG71" s="80"/>
      <c r="AH71" s="80">
        <v>3.62</v>
      </c>
      <c r="AI71" s="80">
        <v>4.8600000000000003</v>
      </c>
      <c r="AJ71" s="80"/>
      <c r="AK71" s="80">
        <v>5.89</v>
      </c>
      <c r="AL71" s="80">
        <v>7.52</v>
      </c>
      <c r="AM71" s="80"/>
      <c r="AN71" s="80"/>
      <c r="AO71" s="80"/>
      <c r="AP71" s="80"/>
      <c r="AQ71" s="81"/>
    </row>
    <row r="72" spans="2:43" x14ac:dyDescent="0.15">
      <c r="B72" s="73" t="s">
        <v>75</v>
      </c>
      <c r="C72" s="145"/>
      <c r="D72" s="145"/>
      <c r="E72" s="145"/>
      <c r="F72" s="145"/>
      <c r="G72" s="145"/>
      <c r="H72" s="145"/>
      <c r="I72" s="145"/>
      <c r="J72" s="145"/>
      <c r="K72" s="145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4"/>
    </row>
    <row r="73" spans="2:43" x14ac:dyDescent="0.15">
      <c r="B73" s="73" t="s">
        <v>72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3"/>
      <c r="AF73" s="142"/>
      <c r="AG73" s="143"/>
      <c r="AH73" s="142"/>
      <c r="AI73" s="143"/>
      <c r="AJ73" s="143"/>
      <c r="AK73" s="143"/>
      <c r="AL73" s="143"/>
      <c r="AM73" s="143"/>
      <c r="AN73" s="143"/>
      <c r="AO73" s="143"/>
      <c r="AP73" s="143"/>
      <c r="AQ73" s="144"/>
    </row>
    <row r="74" spans="2:43" x14ac:dyDescent="0.15">
      <c r="B74" s="73" t="s">
        <v>73</v>
      </c>
      <c r="C74" s="145"/>
      <c r="D74" s="145"/>
      <c r="E74" s="145"/>
      <c r="F74" s="145"/>
      <c r="G74" s="145"/>
      <c r="H74" s="145"/>
      <c r="I74" s="145"/>
      <c r="J74" s="145"/>
      <c r="K74" s="145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3"/>
      <c r="AF74" s="142"/>
      <c r="AG74" s="143"/>
      <c r="AH74" s="142"/>
      <c r="AI74" s="143"/>
      <c r="AJ74" s="143"/>
      <c r="AK74" s="143"/>
      <c r="AL74" s="143"/>
      <c r="AM74" s="143"/>
      <c r="AN74" s="143"/>
      <c r="AO74" s="143"/>
      <c r="AP74" s="143"/>
      <c r="AQ74" s="144"/>
    </row>
    <row r="75" spans="2:43" x14ac:dyDescent="0.15">
      <c r="B75" s="74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50"/>
      <c r="Q75" s="150"/>
      <c r="R75" s="150"/>
      <c r="S75" s="150"/>
      <c r="T75" s="150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2"/>
    </row>
    <row r="76" spans="2:43" x14ac:dyDescent="0.15">
      <c r="B76" s="75" t="str">
        <f>'WireDip-01'!AF12</f>
        <v>10-600V CV-3C</v>
      </c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6"/>
      <c r="Q76" s="146"/>
      <c r="R76" s="146"/>
      <c r="S76" s="146"/>
      <c r="T76" s="146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8"/>
    </row>
    <row r="77" spans="2:43" x14ac:dyDescent="0.15">
      <c r="B77" s="73" t="s">
        <v>70</v>
      </c>
      <c r="C77" s="153"/>
      <c r="D77" s="153"/>
      <c r="E77" s="153"/>
      <c r="F77" s="153"/>
      <c r="G77" s="154">
        <v>10.5</v>
      </c>
      <c r="H77" s="153"/>
      <c r="I77" s="153"/>
      <c r="J77" s="153">
        <v>12.5</v>
      </c>
      <c r="K77" s="153"/>
      <c r="L77" s="154"/>
      <c r="M77" s="154">
        <v>14</v>
      </c>
      <c r="N77" s="154">
        <v>15.5</v>
      </c>
      <c r="O77" s="154">
        <v>17</v>
      </c>
      <c r="P77" s="154">
        <v>21</v>
      </c>
      <c r="Q77" s="154"/>
      <c r="R77" s="154"/>
      <c r="S77" s="154"/>
      <c r="T77" s="154">
        <v>25</v>
      </c>
      <c r="U77" s="154"/>
      <c r="V77" s="154"/>
      <c r="W77" s="154"/>
      <c r="X77" s="154">
        <v>31</v>
      </c>
      <c r="Y77" s="154"/>
      <c r="Z77" s="154"/>
      <c r="AA77" s="154"/>
      <c r="AB77" s="154"/>
      <c r="AC77" s="154">
        <v>40</v>
      </c>
      <c r="AD77" s="154"/>
      <c r="AE77" s="155"/>
      <c r="AF77" s="155"/>
      <c r="AG77" s="155"/>
      <c r="AH77" s="155">
        <v>46</v>
      </c>
      <c r="AI77" s="155">
        <v>54</v>
      </c>
      <c r="AJ77" s="155"/>
      <c r="AK77" s="155">
        <v>58</v>
      </c>
      <c r="AL77" s="155">
        <v>65</v>
      </c>
      <c r="AM77" s="155"/>
      <c r="AN77" s="155"/>
      <c r="AO77" s="155"/>
      <c r="AP77" s="155"/>
      <c r="AQ77" s="156"/>
    </row>
    <row r="78" spans="2:43" x14ac:dyDescent="0.15">
      <c r="B78" s="73" t="s">
        <v>74</v>
      </c>
      <c r="C78" s="129"/>
      <c r="D78" s="129"/>
      <c r="E78" s="129"/>
      <c r="F78" s="129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40"/>
    </row>
    <row r="79" spans="2:43" x14ac:dyDescent="0.15">
      <c r="B79" s="73" t="s">
        <v>71</v>
      </c>
      <c r="C79" s="78"/>
      <c r="D79" s="78"/>
      <c r="E79" s="78"/>
      <c r="F79" s="78"/>
      <c r="G79" s="78">
        <v>0.14499999999999999</v>
      </c>
      <c r="H79" s="78"/>
      <c r="I79" s="78"/>
      <c r="J79" s="78">
        <v>0.20499999999999999</v>
      </c>
      <c r="K79" s="78"/>
      <c r="L79" s="79"/>
      <c r="M79" s="79">
        <v>0.29499999999999998</v>
      </c>
      <c r="N79" s="79">
        <v>0.38</v>
      </c>
      <c r="O79" s="79">
        <v>0.56499999999999995</v>
      </c>
      <c r="P79" s="79">
        <v>0.84</v>
      </c>
      <c r="Q79" s="79"/>
      <c r="R79" s="79"/>
      <c r="S79" s="79"/>
      <c r="T79" s="79">
        <v>1.36</v>
      </c>
      <c r="U79" s="79"/>
      <c r="V79" s="79"/>
      <c r="W79" s="79"/>
      <c r="X79" s="79">
        <v>2.12</v>
      </c>
      <c r="Y79" s="79"/>
      <c r="Z79" s="79"/>
      <c r="AA79" s="79"/>
      <c r="AB79" s="79"/>
      <c r="AC79" s="79">
        <v>3.5</v>
      </c>
      <c r="AD79" s="79"/>
      <c r="AE79" s="80"/>
      <c r="AF79" s="80"/>
      <c r="AG79" s="80"/>
      <c r="AH79" s="80">
        <v>5.0599999999999996</v>
      </c>
      <c r="AI79" s="80">
        <v>6.78</v>
      </c>
      <c r="AJ79" s="80"/>
      <c r="AK79" s="80">
        <v>8.27</v>
      </c>
      <c r="AL79" s="80">
        <v>10.6</v>
      </c>
      <c r="AM79" s="80"/>
      <c r="AN79" s="80"/>
      <c r="AO79" s="80"/>
      <c r="AP79" s="80"/>
      <c r="AQ79" s="81"/>
    </row>
    <row r="80" spans="2:43" x14ac:dyDescent="0.15">
      <c r="B80" s="73" t="s">
        <v>75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4"/>
    </row>
    <row r="81" spans="2:43" x14ac:dyDescent="0.15">
      <c r="B81" s="73" t="s">
        <v>72</v>
      </c>
      <c r="C81" s="145"/>
      <c r="D81" s="145"/>
      <c r="E81" s="145"/>
      <c r="F81" s="145"/>
      <c r="G81" s="145"/>
      <c r="H81" s="145"/>
      <c r="I81" s="145"/>
      <c r="J81" s="145"/>
      <c r="K81" s="145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3"/>
      <c r="AF81" s="142"/>
      <c r="AG81" s="143"/>
      <c r="AH81" s="142"/>
      <c r="AI81" s="143"/>
      <c r="AJ81" s="143"/>
      <c r="AK81" s="143"/>
      <c r="AL81" s="143"/>
      <c r="AM81" s="143"/>
      <c r="AN81" s="143"/>
      <c r="AO81" s="143"/>
      <c r="AP81" s="143"/>
      <c r="AQ81" s="144"/>
    </row>
    <row r="82" spans="2:43" x14ac:dyDescent="0.15">
      <c r="B82" s="73" t="s">
        <v>73</v>
      </c>
      <c r="C82" s="145"/>
      <c r="D82" s="145"/>
      <c r="E82" s="145"/>
      <c r="F82" s="145"/>
      <c r="G82" s="145"/>
      <c r="H82" s="145"/>
      <c r="I82" s="145"/>
      <c r="J82" s="145"/>
      <c r="K82" s="145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3"/>
      <c r="AF82" s="142"/>
      <c r="AG82" s="143"/>
      <c r="AH82" s="142"/>
      <c r="AI82" s="143"/>
      <c r="AJ82" s="143"/>
      <c r="AK82" s="143"/>
      <c r="AL82" s="143"/>
      <c r="AM82" s="143"/>
      <c r="AN82" s="143"/>
      <c r="AO82" s="143"/>
      <c r="AP82" s="143"/>
      <c r="AQ82" s="144"/>
    </row>
    <row r="83" spans="2:43" x14ac:dyDescent="0.15">
      <c r="B83" s="74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50"/>
      <c r="Q83" s="150"/>
      <c r="R83" s="150"/>
      <c r="S83" s="150"/>
      <c r="T83" s="150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2"/>
    </row>
    <row r="84" spans="2:43" x14ac:dyDescent="0.15">
      <c r="B84" s="75" t="str">
        <f>'WireDip-01'!AF13</f>
        <v>11-600V CV-T</v>
      </c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6"/>
      <c r="Q84" s="146"/>
      <c r="R84" s="146"/>
      <c r="S84" s="146"/>
      <c r="T84" s="146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8"/>
    </row>
    <row r="85" spans="2:43" x14ac:dyDescent="0.15">
      <c r="B85" s="73" t="s">
        <v>70</v>
      </c>
      <c r="C85" s="153"/>
      <c r="D85" s="153"/>
      <c r="E85" s="153"/>
      <c r="F85" s="153"/>
      <c r="G85" s="154"/>
      <c r="H85" s="153"/>
      <c r="I85" s="153"/>
      <c r="J85" s="153"/>
      <c r="K85" s="153"/>
      <c r="L85" s="154"/>
      <c r="M85" s="154"/>
      <c r="N85" s="154">
        <v>18.5</v>
      </c>
      <c r="O85" s="154">
        <v>21</v>
      </c>
      <c r="P85" s="154">
        <v>24</v>
      </c>
      <c r="Q85" s="154"/>
      <c r="R85" s="154"/>
      <c r="S85" s="154"/>
      <c r="T85" s="154">
        <v>28</v>
      </c>
      <c r="U85" s="154"/>
      <c r="V85" s="154"/>
      <c r="W85" s="154"/>
      <c r="X85" s="154">
        <v>33</v>
      </c>
      <c r="Y85" s="154"/>
      <c r="Z85" s="154"/>
      <c r="AA85" s="154"/>
      <c r="AB85" s="154"/>
      <c r="AC85" s="154">
        <v>41</v>
      </c>
      <c r="AD85" s="154"/>
      <c r="AE85" s="155"/>
      <c r="AF85" s="155"/>
      <c r="AG85" s="155"/>
      <c r="AH85" s="155">
        <v>47</v>
      </c>
      <c r="AI85" s="155">
        <v>55</v>
      </c>
      <c r="AJ85" s="155"/>
      <c r="AK85" s="155">
        <v>60</v>
      </c>
      <c r="AL85" s="155">
        <v>66</v>
      </c>
      <c r="AM85" s="155"/>
      <c r="AN85" s="155"/>
      <c r="AO85" s="155"/>
      <c r="AP85" s="155"/>
      <c r="AQ85" s="156"/>
    </row>
    <row r="86" spans="2:43" x14ac:dyDescent="0.15">
      <c r="B86" s="73" t="s">
        <v>74</v>
      </c>
      <c r="C86" s="129"/>
      <c r="D86" s="129"/>
      <c r="E86" s="129"/>
      <c r="F86" s="129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40"/>
    </row>
    <row r="87" spans="2:43" x14ac:dyDescent="0.15">
      <c r="B87" s="73" t="s">
        <v>71</v>
      </c>
      <c r="C87" s="78"/>
      <c r="D87" s="78"/>
      <c r="E87" s="78"/>
      <c r="F87" s="78"/>
      <c r="G87" s="78"/>
      <c r="H87" s="78"/>
      <c r="I87" s="78"/>
      <c r="J87" s="78"/>
      <c r="K87" s="78"/>
      <c r="L87" s="79"/>
      <c r="M87" s="79"/>
      <c r="N87" s="79">
        <v>0.4</v>
      </c>
      <c r="O87" s="79">
        <v>0.57999999999999996</v>
      </c>
      <c r="P87" s="79">
        <v>0.85</v>
      </c>
      <c r="Q87" s="79"/>
      <c r="R87" s="79"/>
      <c r="S87" s="79"/>
      <c r="T87" s="79">
        <v>1.33</v>
      </c>
      <c r="U87" s="79"/>
      <c r="V87" s="79"/>
      <c r="W87" s="79"/>
      <c r="X87" s="79">
        <v>2.0299999999999998</v>
      </c>
      <c r="Y87" s="79"/>
      <c r="Z87" s="79"/>
      <c r="AA87" s="79"/>
      <c r="AB87" s="79"/>
      <c r="AC87" s="79">
        <v>3.28</v>
      </c>
      <c r="AD87" s="79"/>
      <c r="AE87" s="80"/>
      <c r="AF87" s="80"/>
      <c r="AG87" s="80"/>
      <c r="AH87" s="80">
        <v>4.71</v>
      </c>
      <c r="AI87" s="80">
        <v>6.32</v>
      </c>
      <c r="AJ87" s="80"/>
      <c r="AK87" s="80">
        <v>7.71</v>
      </c>
      <c r="AL87" s="80">
        <v>9.8699999999999992</v>
      </c>
      <c r="AM87" s="80"/>
      <c r="AN87" s="80"/>
      <c r="AO87" s="80"/>
      <c r="AP87" s="80"/>
      <c r="AQ87" s="81"/>
    </row>
    <row r="88" spans="2:43" x14ac:dyDescent="0.15">
      <c r="B88" s="73" t="s">
        <v>75</v>
      </c>
      <c r="C88" s="145"/>
      <c r="D88" s="145"/>
      <c r="E88" s="145"/>
      <c r="F88" s="145"/>
      <c r="G88" s="145"/>
      <c r="H88" s="145"/>
      <c r="I88" s="145"/>
      <c r="J88" s="145"/>
      <c r="K88" s="145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4"/>
    </row>
    <row r="89" spans="2:43" x14ac:dyDescent="0.15">
      <c r="B89" s="73" t="s">
        <v>72</v>
      </c>
      <c r="C89" s="145"/>
      <c r="D89" s="145"/>
      <c r="E89" s="145"/>
      <c r="F89" s="145"/>
      <c r="G89" s="145"/>
      <c r="H89" s="145"/>
      <c r="I89" s="145"/>
      <c r="J89" s="145"/>
      <c r="K89" s="145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3"/>
      <c r="AF89" s="142"/>
      <c r="AG89" s="143"/>
      <c r="AH89" s="142"/>
      <c r="AI89" s="143"/>
      <c r="AJ89" s="143"/>
      <c r="AK89" s="143"/>
      <c r="AL89" s="143"/>
      <c r="AM89" s="143"/>
      <c r="AN89" s="143"/>
      <c r="AO89" s="143"/>
      <c r="AP89" s="143"/>
      <c r="AQ89" s="144"/>
    </row>
    <row r="90" spans="2:43" x14ac:dyDescent="0.15">
      <c r="B90" s="73" t="s">
        <v>73</v>
      </c>
      <c r="C90" s="145"/>
      <c r="D90" s="145"/>
      <c r="E90" s="145"/>
      <c r="F90" s="145"/>
      <c r="G90" s="145"/>
      <c r="H90" s="145"/>
      <c r="I90" s="145"/>
      <c r="J90" s="145"/>
      <c r="K90" s="145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3"/>
      <c r="AF90" s="142"/>
      <c r="AG90" s="143"/>
      <c r="AH90" s="142"/>
      <c r="AI90" s="143"/>
      <c r="AJ90" s="143"/>
      <c r="AK90" s="143"/>
      <c r="AL90" s="143"/>
      <c r="AM90" s="143"/>
      <c r="AN90" s="143"/>
      <c r="AO90" s="143"/>
      <c r="AP90" s="143"/>
      <c r="AQ90" s="144"/>
    </row>
    <row r="91" spans="2:43" x14ac:dyDescent="0.15">
      <c r="B91" s="73"/>
      <c r="C91" s="149"/>
      <c r="D91" s="149"/>
      <c r="E91" s="149"/>
      <c r="F91" s="149"/>
      <c r="G91" s="149"/>
      <c r="H91" s="149"/>
      <c r="I91" s="149"/>
      <c r="J91" s="149"/>
      <c r="K91" s="149"/>
      <c r="L91" s="157"/>
      <c r="M91" s="157"/>
      <c r="N91" s="157"/>
      <c r="O91" s="157"/>
      <c r="P91" s="158"/>
      <c r="Q91" s="158"/>
      <c r="R91" s="158"/>
      <c r="S91" s="158"/>
      <c r="T91" s="158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60"/>
    </row>
    <row r="92" spans="2:43" x14ac:dyDescent="0.15">
      <c r="B92" s="75" t="str">
        <f>'WireDip-01'!AF14</f>
        <v>12-CVV- 2C</v>
      </c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6"/>
      <c r="Q92" s="146"/>
      <c r="R92" s="146"/>
      <c r="S92" s="146"/>
      <c r="T92" s="146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8"/>
    </row>
    <row r="93" spans="2:43" x14ac:dyDescent="0.15">
      <c r="B93" s="73" t="s">
        <v>70</v>
      </c>
      <c r="C93" s="153"/>
      <c r="D93" s="153">
        <v>8.8000000000000007</v>
      </c>
      <c r="E93" s="153"/>
      <c r="F93" s="153">
        <v>9.1</v>
      </c>
      <c r="G93" s="154">
        <v>10</v>
      </c>
      <c r="H93" s="153"/>
      <c r="I93" s="153"/>
      <c r="J93" s="153">
        <v>11.5</v>
      </c>
      <c r="K93" s="153"/>
      <c r="L93" s="154"/>
      <c r="M93" s="154">
        <v>13.5</v>
      </c>
      <c r="N93" s="154">
        <v>15.5</v>
      </c>
      <c r="O93" s="154">
        <v>18.5</v>
      </c>
      <c r="P93" s="154">
        <v>22</v>
      </c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5"/>
      <c r="AF93" s="155"/>
      <c r="AG93" s="155"/>
      <c r="AH93" s="155"/>
      <c r="AI93" s="155"/>
      <c r="AJ93" s="155"/>
      <c r="AK93" s="155"/>
      <c r="AL93" s="155"/>
      <c r="AM93" s="155"/>
      <c r="AN93" s="155"/>
      <c r="AO93" s="155"/>
      <c r="AP93" s="155"/>
      <c r="AQ93" s="156"/>
    </row>
    <row r="94" spans="2:43" x14ac:dyDescent="0.15">
      <c r="B94" s="73" t="s">
        <v>74</v>
      </c>
      <c r="C94" s="129"/>
      <c r="D94" s="129">
        <f>3.1415926535*(D93^2)/4</f>
        <v>60.821233771760014</v>
      </c>
      <c r="E94" s="129"/>
      <c r="F94" s="129">
        <f>3.1415926535*(F93^2)/4</f>
        <v>65.038821909083737</v>
      </c>
      <c r="G94" s="129">
        <f>3.1415926535*(G93^2)/4</f>
        <v>78.5398163375</v>
      </c>
      <c r="H94" s="138"/>
      <c r="I94" s="138"/>
      <c r="J94" s="129">
        <f>3.1415926535*(J93^2)/4</f>
        <v>103.86890710634376</v>
      </c>
      <c r="K94" s="138"/>
      <c r="L94" s="138"/>
      <c r="M94" s="129">
        <f>3.1415926535*(M93^2)/4</f>
        <v>143.13881527509375</v>
      </c>
      <c r="N94" s="129">
        <f>3.1415926535*(N93^2)/4</f>
        <v>188.69190875084377</v>
      </c>
      <c r="O94" s="129">
        <f>3.1415926535*(O93^2)/4</f>
        <v>268.80252141509374</v>
      </c>
      <c r="P94" s="129">
        <f>3.1415926535*(P93^2)/4</f>
        <v>380.13271107349999</v>
      </c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40"/>
    </row>
    <row r="95" spans="2:43" x14ac:dyDescent="0.15">
      <c r="B95" s="73" t="s">
        <v>71</v>
      </c>
      <c r="C95" s="78"/>
      <c r="D95" s="78">
        <v>0.09</v>
      </c>
      <c r="E95" s="78"/>
      <c r="F95" s="78">
        <v>9.5000000000000001E-2</v>
      </c>
      <c r="G95" s="78">
        <v>0.125</v>
      </c>
      <c r="H95" s="78"/>
      <c r="I95" s="78"/>
      <c r="J95" s="78">
        <v>0.16500000000000001</v>
      </c>
      <c r="K95" s="78"/>
      <c r="L95" s="79"/>
      <c r="M95" s="79">
        <v>0.23499999999999999</v>
      </c>
      <c r="N95" s="79">
        <v>0.32</v>
      </c>
      <c r="O95" s="79">
        <v>0.5</v>
      </c>
      <c r="P95" s="79">
        <v>0.72</v>
      </c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1"/>
    </row>
    <row r="96" spans="2:43" x14ac:dyDescent="0.15">
      <c r="B96" s="73" t="s">
        <v>75</v>
      </c>
      <c r="C96" s="145"/>
      <c r="D96" s="145"/>
      <c r="E96" s="145"/>
      <c r="F96" s="145"/>
      <c r="G96" s="145"/>
      <c r="H96" s="145"/>
      <c r="I96" s="145"/>
      <c r="J96" s="145"/>
      <c r="K96" s="145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4"/>
    </row>
    <row r="97" spans="2:43" x14ac:dyDescent="0.15">
      <c r="B97" s="73" t="s">
        <v>72</v>
      </c>
      <c r="C97" s="145"/>
      <c r="D97" s="145"/>
      <c r="E97" s="145"/>
      <c r="F97" s="145"/>
      <c r="G97" s="145"/>
      <c r="H97" s="145"/>
      <c r="I97" s="145"/>
      <c r="J97" s="145"/>
      <c r="K97" s="145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3"/>
      <c r="AF97" s="142"/>
      <c r="AG97" s="143"/>
      <c r="AH97" s="142"/>
      <c r="AI97" s="143"/>
      <c r="AJ97" s="143"/>
      <c r="AK97" s="143"/>
      <c r="AL97" s="143"/>
      <c r="AM97" s="143"/>
      <c r="AN97" s="143"/>
      <c r="AO97" s="143"/>
      <c r="AP97" s="143"/>
      <c r="AQ97" s="144"/>
    </row>
    <row r="98" spans="2:43" x14ac:dyDescent="0.15">
      <c r="B98" s="73" t="s">
        <v>73</v>
      </c>
      <c r="C98" s="145"/>
      <c r="D98" s="145"/>
      <c r="E98" s="145"/>
      <c r="F98" s="145"/>
      <c r="G98" s="145"/>
      <c r="H98" s="145"/>
      <c r="I98" s="145"/>
      <c r="J98" s="145"/>
      <c r="K98" s="145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3"/>
      <c r="AF98" s="142"/>
      <c r="AG98" s="143"/>
      <c r="AH98" s="142"/>
      <c r="AI98" s="143"/>
      <c r="AJ98" s="143"/>
      <c r="AK98" s="143"/>
      <c r="AL98" s="143"/>
      <c r="AM98" s="143"/>
      <c r="AN98" s="143"/>
      <c r="AO98" s="143"/>
      <c r="AP98" s="143"/>
      <c r="AQ98" s="144"/>
    </row>
    <row r="99" spans="2:43" x14ac:dyDescent="0.15">
      <c r="B99" s="73"/>
      <c r="C99" s="149"/>
      <c r="D99" s="149"/>
      <c r="E99" s="149"/>
      <c r="F99" s="149"/>
      <c r="G99" s="149"/>
      <c r="H99" s="149"/>
      <c r="I99" s="149"/>
      <c r="J99" s="149"/>
      <c r="K99" s="149"/>
      <c r="L99" s="157"/>
      <c r="M99" s="157"/>
      <c r="N99" s="157"/>
      <c r="O99" s="157"/>
      <c r="P99" s="158"/>
      <c r="Q99" s="158"/>
      <c r="R99" s="158"/>
      <c r="S99" s="158"/>
      <c r="T99" s="158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60"/>
    </row>
    <row r="100" spans="2:43" x14ac:dyDescent="0.15">
      <c r="B100" s="75" t="str">
        <f>'WireDip-01'!AF15</f>
        <v>13-CVV- 3C</v>
      </c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6"/>
      <c r="Q100" s="146"/>
      <c r="R100" s="146"/>
      <c r="S100" s="146"/>
      <c r="T100" s="146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8"/>
    </row>
    <row r="101" spans="2:43" x14ac:dyDescent="0.15">
      <c r="B101" s="73" t="s">
        <v>70</v>
      </c>
      <c r="C101" s="153"/>
      <c r="D101" s="153">
        <v>9.1999999999999993</v>
      </c>
      <c r="E101" s="153"/>
      <c r="F101" s="153">
        <v>9.6</v>
      </c>
      <c r="G101" s="154">
        <v>10.5</v>
      </c>
      <c r="H101" s="153"/>
      <c r="I101" s="153"/>
      <c r="J101" s="153">
        <v>12</v>
      </c>
      <c r="K101" s="153"/>
      <c r="L101" s="154"/>
      <c r="M101" s="154">
        <v>14</v>
      </c>
      <c r="N101" s="154">
        <v>16.5</v>
      </c>
      <c r="O101" s="154">
        <v>19.5</v>
      </c>
      <c r="P101" s="154">
        <v>24</v>
      </c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6"/>
    </row>
    <row r="102" spans="2:43" x14ac:dyDescent="0.15">
      <c r="B102" s="73" t="s">
        <v>74</v>
      </c>
      <c r="C102" s="129"/>
      <c r="D102" s="129">
        <f>3.1415926535*(D101^2)/4</f>
        <v>66.476100548059989</v>
      </c>
      <c r="E102" s="129"/>
      <c r="F102" s="129">
        <f>3.1415926535*(F101^2)/4</f>
        <v>72.382294736639992</v>
      </c>
      <c r="G102" s="129">
        <f>3.1415926535*(G101^2)/4</f>
        <v>86.59014751209375</v>
      </c>
      <c r="H102" s="138"/>
      <c r="I102" s="138"/>
      <c r="J102" s="129">
        <f>3.1415926535*(J101^2)/4</f>
        <v>113.09733552599999</v>
      </c>
      <c r="K102" s="138"/>
      <c r="L102" s="138"/>
      <c r="M102" s="129">
        <f>3.1415926535*(M101^2)/4</f>
        <v>153.9380400215</v>
      </c>
      <c r="N102" s="129">
        <f>3.1415926535*(N101^2)/4</f>
        <v>213.82464997884375</v>
      </c>
      <c r="O102" s="129">
        <f>3.1415926535*(O101^2)/4</f>
        <v>298.64765162334373</v>
      </c>
      <c r="P102" s="129">
        <f>3.1415926535*(P101^2)/4</f>
        <v>452.38934210399998</v>
      </c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40"/>
    </row>
    <row r="103" spans="2:43" x14ac:dyDescent="0.15">
      <c r="B103" s="73" t="s">
        <v>71</v>
      </c>
      <c r="C103" s="78"/>
      <c r="D103" s="78">
        <v>0.105</v>
      </c>
      <c r="E103" s="78"/>
      <c r="F103" s="78">
        <v>0.115</v>
      </c>
      <c r="G103" s="78">
        <v>0.15</v>
      </c>
      <c r="H103" s="78"/>
      <c r="I103" s="78"/>
      <c r="J103" s="78">
        <v>0.215</v>
      </c>
      <c r="K103" s="78"/>
      <c r="L103" s="79"/>
      <c r="M103" s="79">
        <v>0.31</v>
      </c>
      <c r="N103" s="79">
        <v>0.42</v>
      </c>
      <c r="O103" s="79">
        <v>0.67</v>
      </c>
      <c r="P103" s="79">
        <v>0.99</v>
      </c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1"/>
    </row>
    <row r="104" spans="2:43" x14ac:dyDescent="0.15">
      <c r="B104" s="73" t="s">
        <v>75</v>
      </c>
      <c r="C104" s="145"/>
      <c r="D104" s="145"/>
      <c r="E104" s="145"/>
      <c r="F104" s="145"/>
      <c r="G104" s="145"/>
      <c r="H104" s="145"/>
      <c r="I104" s="145"/>
      <c r="J104" s="145"/>
      <c r="K104" s="145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4"/>
    </row>
    <row r="105" spans="2:43" x14ac:dyDescent="0.15">
      <c r="B105" s="73" t="s">
        <v>72</v>
      </c>
      <c r="C105" s="145"/>
      <c r="D105" s="145"/>
      <c r="E105" s="145"/>
      <c r="F105" s="145"/>
      <c r="G105" s="145"/>
      <c r="H105" s="145"/>
      <c r="I105" s="145"/>
      <c r="J105" s="145"/>
      <c r="K105" s="145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3"/>
      <c r="AF105" s="142"/>
      <c r="AG105" s="143"/>
      <c r="AH105" s="142"/>
      <c r="AI105" s="143"/>
      <c r="AJ105" s="143"/>
      <c r="AK105" s="143"/>
      <c r="AL105" s="143"/>
      <c r="AM105" s="143"/>
      <c r="AN105" s="143"/>
      <c r="AO105" s="143"/>
      <c r="AP105" s="143"/>
      <c r="AQ105" s="144"/>
    </row>
    <row r="106" spans="2:43" x14ac:dyDescent="0.15">
      <c r="B106" s="73" t="s">
        <v>73</v>
      </c>
      <c r="C106" s="145"/>
      <c r="D106" s="145"/>
      <c r="E106" s="145"/>
      <c r="F106" s="145"/>
      <c r="G106" s="145"/>
      <c r="H106" s="145"/>
      <c r="I106" s="145"/>
      <c r="J106" s="145"/>
      <c r="K106" s="145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3"/>
      <c r="AF106" s="142"/>
      <c r="AG106" s="143"/>
      <c r="AH106" s="142"/>
      <c r="AI106" s="143"/>
      <c r="AJ106" s="143"/>
      <c r="AK106" s="143"/>
      <c r="AL106" s="143"/>
      <c r="AM106" s="143"/>
      <c r="AN106" s="143"/>
      <c r="AO106" s="143"/>
      <c r="AP106" s="143"/>
      <c r="AQ106" s="144"/>
    </row>
    <row r="107" spans="2:43" x14ac:dyDescent="0.15">
      <c r="B107" s="73"/>
      <c r="C107" s="149"/>
      <c r="D107" s="149"/>
      <c r="E107" s="149"/>
      <c r="F107" s="149"/>
      <c r="G107" s="149"/>
      <c r="H107" s="149"/>
      <c r="I107" s="149"/>
      <c r="J107" s="149"/>
      <c r="K107" s="149"/>
      <c r="L107" s="157"/>
      <c r="M107" s="157"/>
      <c r="N107" s="157"/>
      <c r="O107" s="157"/>
      <c r="P107" s="158"/>
      <c r="Q107" s="158"/>
      <c r="R107" s="158"/>
      <c r="S107" s="158"/>
      <c r="T107" s="158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60"/>
    </row>
    <row r="108" spans="2:43" x14ac:dyDescent="0.15">
      <c r="B108" s="75" t="str">
        <f>'WireDip-01'!AF16</f>
        <v>14-CVV- 4C</v>
      </c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6"/>
      <c r="Q108" s="146"/>
      <c r="R108" s="146"/>
      <c r="S108" s="146"/>
      <c r="T108" s="146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8"/>
    </row>
    <row r="109" spans="2:43" x14ac:dyDescent="0.15">
      <c r="B109" s="73" t="s">
        <v>70</v>
      </c>
      <c r="C109" s="153"/>
      <c r="D109" s="153">
        <v>9.9</v>
      </c>
      <c r="E109" s="153"/>
      <c r="F109" s="153">
        <v>10.5</v>
      </c>
      <c r="G109" s="154">
        <v>11.5</v>
      </c>
      <c r="H109" s="153"/>
      <c r="I109" s="153"/>
      <c r="J109" s="153">
        <v>13</v>
      </c>
      <c r="K109" s="153"/>
      <c r="L109" s="154"/>
      <c r="M109" s="154">
        <v>15.5</v>
      </c>
      <c r="N109" s="154">
        <v>18</v>
      </c>
      <c r="O109" s="154">
        <v>22</v>
      </c>
      <c r="P109" s="154">
        <v>26</v>
      </c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6"/>
    </row>
    <row r="110" spans="2:43" x14ac:dyDescent="0.15">
      <c r="B110" s="73" t="s">
        <v>74</v>
      </c>
      <c r="C110" s="129"/>
      <c r="D110" s="129">
        <f>3.1415926535*(D109^2)/4</f>
        <v>76.976873992383759</v>
      </c>
      <c r="E110" s="129"/>
      <c r="F110" s="129">
        <f>3.1415926535*(F109^2)/4</f>
        <v>86.59014751209375</v>
      </c>
      <c r="G110" s="129">
        <f>3.1415926535*(G109^2)/4</f>
        <v>103.86890710634376</v>
      </c>
      <c r="H110" s="138"/>
      <c r="I110" s="138"/>
      <c r="J110" s="129">
        <f>3.1415926535*(J109^2)/4</f>
        <v>132.73228961037501</v>
      </c>
      <c r="K110" s="138"/>
      <c r="L110" s="138"/>
      <c r="M110" s="129">
        <f>3.1415926535*(M109^2)/4</f>
        <v>188.69190875084377</v>
      </c>
      <c r="N110" s="129">
        <f>3.1415926535*(N109^2)/4</f>
        <v>254.4690049335</v>
      </c>
      <c r="O110" s="129">
        <f>3.1415926535*(O109^2)/4</f>
        <v>380.13271107349999</v>
      </c>
      <c r="P110" s="129">
        <f>3.1415926535*(P109^2)/4</f>
        <v>530.92915844150002</v>
      </c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40"/>
    </row>
    <row r="111" spans="2:43" x14ac:dyDescent="0.15">
      <c r="B111" s="73" t="s">
        <v>71</v>
      </c>
      <c r="C111" s="78"/>
      <c r="D111" s="78">
        <v>0.125</v>
      </c>
      <c r="E111" s="78"/>
      <c r="F111" s="78">
        <v>0.14000000000000001</v>
      </c>
      <c r="G111" s="78">
        <v>0.185</v>
      </c>
      <c r="H111" s="78"/>
      <c r="I111" s="78"/>
      <c r="J111" s="78">
        <v>0.26500000000000001</v>
      </c>
      <c r="K111" s="78"/>
      <c r="L111" s="79"/>
      <c r="M111" s="79">
        <v>0.39</v>
      </c>
      <c r="N111" s="79">
        <v>0.53500000000000003</v>
      </c>
      <c r="O111" s="79">
        <v>0.85499999999999998</v>
      </c>
      <c r="P111" s="79">
        <v>1.29</v>
      </c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1"/>
    </row>
    <row r="112" spans="2:43" x14ac:dyDescent="0.15">
      <c r="B112" s="73" t="s">
        <v>75</v>
      </c>
      <c r="C112" s="145"/>
      <c r="D112" s="145"/>
      <c r="E112" s="145"/>
      <c r="F112" s="145"/>
      <c r="G112" s="145"/>
      <c r="H112" s="145"/>
      <c r="I112" s="145"/>
      <c r="J112" s="145"/>
      <c r="K112" s="145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4"/>
    </row>
    <row r="113" spans="2:43" x14ac:dyDescent="0.15">
      <c r="B113" s="73" t="s">
        <v>72</v>
      </c>
      <c r="C113" s="145"/>
      <c r="D113" s="145"/>
      <c r="E113" s="145"/>
      <c r="F113" s="145"/>
      <c r="G113" s="145"/>
      <c r="H113" s="145"/>
      <c r="I113" s="145"/>
      <c r="J113" s="145"/>
      <c r="K113" s="145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3"/>
      <c r="AF113" s="142"/>
      <c r="AG113" s="143"/>
      <c r="AH113" s="142"/>
      <c r="AI113" s="143"/>
      <c r="AJ113" s="143"/>
      <c r="AK113" s="143"/>
      <c r="AL113" s="143"/>
      <c r="AM113" s="143"/>
      <c r="AN113" s="143"/>
      <c r="AO113" s="143"/>
      <c r="AP113" s="143"/>
      <c r="AQ113" s="144"/>
    </row>
    <row r="114" spans="2:43" x14ac:dyDescent="0.15">
      <c r="B114" s="73" t="s">
        <v>73</v>
      </c>
      <c r="C114" s="145"/>
      <c r="D114" s="145"/>
      <c r="E114" s="145"/>
      <c r="F114" s="145"/>
      <c r="G114" s="145"/>
      <c r="H114" s="145"/>
      <c r="I114" s="145"/>
      <c r="J114" s="145"/>
      <c r="K114" s="145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3"/>
      <c r="AF114" s="142"/>
      <c r="AG114" s="143"/>
      <c r="AH114" s="142"/>
      <c r="AI114" s="143"/>
      <c r="AJ114" s="143"/>
      <c r="AK114" s="143"/>
      <c r="AL114" s="143"/>
      <c r="AM114" s="143"/>
      <c r="AN114" s="143"/>
      <c r="AO114" s="143"/>
      <c r="AP114" s="143"/>
      <c r="AQ114" s="144"/>
    </row>
    <row r="115" spans="2:43" x14ac:dyDescent="0.15">
      <c r="B115" s="73"/>
      <c r="C115" s="149"/>
      <c r="D115" s="149"/>
      <c r="E115" s="149"/>
      <c r="F115" s="149"/>
      <c r="G115" s="149"/>
      <c r="H115" s="149"/>
      <c r="I115" s="149"/>
      <c r="J115" s="149"/>
      <c r="K115" s="149"/>
      <c r="L115" s="157"/>
      <c r="M115" s="157"/>
      <c r="N115" s="157"/>
      <c r="O115" s="157"/>
      <c r="P115" s="158"/>
      <c r="Q115" s="158"/>
      <c r="R115" s="158"/>
      <c r="S115" s="158"/>
      <c r="T115" s="158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60"/>
    </row>
    <row r="116" spans="2:43" x14ac:dyDescent="0.15">
      <c r="B116" s="75" t="str">
        <f>'WireDip-01'!AF17</f>
        <v>15-CVV－5C</v>
      </c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6"/>
      <c r="Q116" s="146"/>
      <c r="R116" s="146"/>
      <c r="S116" s="146"/>
      <c r="T116" s="146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8"/>
    </row>
    <row r="117" spans="2:43" x14ac:dyDescent="0.15">
      <c r="B117" s="73" t="s">
        <v>70</v>
      </c>
      <c r="C117" s="153"/>
      <c r="D117" s="153">
        <v>11</v>
      </c>
      <c r="E117" s="153"/>
      <c r="F117" s="153">
        <v>11.5</v>
      </c>
      <c r="G117" s="154">
        <v>12.5</v>
      </c>
      <c r="H117" s="153"/>
      <c r="I117" s="153"/>
      <c r="J117" s="153">
        <v>14</v>
      </c>
      <c r="K117" s="153"/>
      <c r="L117" s="154"/>
      <c r="M117" s="154">
        <v>17</v>
      </c>
      <c r="N117" s="154">
        <v>19.5</v>
      </c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6"/>
    </row>
    <row r="118" spans="2:43" x14ac:dyDescent="0.15">
      <c r="B118" s="73" t="s">
        <v>74</v>
      </c>
      <c r="C118" s="129"/>
      <c r="D118" s="129">
        <f>3.1415926535*(D117^2)/4</f>
        <v>95.033177768374998</v>
      </c>
      <c r="E118" s="129"/>
      <c r="F118" s="129">
        <f>3.1415926535*(F117^2)/4</f>
        <v>103.86890710634376</v>
      </c>
      <c r="G118" s="129">
        <f>3.1415926535*(G117^2)/4</f>
        <v>122.71846302734376</v>
      </c>
      <c r="H118" s="138"/>
      <c r="I118" s="138"/>
      <c r="J118" s="129">
        <f>3.1415926535*(J117^2)/4</f>
        <v>153.9380400215</v>
      </c>
      <c r="K118" s="138"/>
      <c r="L118" s="138"/>
      <c r="M118" s="129">
        <f>3.1415926535*(M117^2)/4</f>
        <v>226.98006921537501</v>
      </c>
      <c r="N118" s="129">
        <f>3.1415926535*(N117^2)/4</f>
        <v>298.64765162334373</v>
      </c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40"/>
    </row>
    <row r="119" spans="2:43" x14ac:dyDescent="0.15">
      <c r="B119" s="73" t="s">
        <v>71</v>
      </c>
      <c r="C119" s="78"/>
      <c r="D119" s="78">
        <v>0.15</v>
      </c>
      <c r="E119" s="78"/>
      <c r="F119" s="78">
        <v>0.16500000000000001</v>
      </c>
      <c r="G119" s="78">
        <v>0.22500000000000001</v>
      </c>
      <c r="H119" s="78"/>
      <c r="I119" s="78"/>
      <c r="J119" s="78">
        <v>0.32</v>
      </c>
      <c r="K119" s="78"/>
      <c r="L119" s="79"/>
      <c r="M119" s="79">
        <v>0.47</v>
      </c>
      <c r="N119" s="79">
        <v>0.65</v>
      </c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1"/>
    </row>
    <row r="120" spans="2:43" x14ac:dyDescent="0.15">
      <c r="B120" s="73" t="s">
        <v>75</v>
      </c>
      <c r="C120" s="145"/>
      <c r="D120" s="145"/>
      <c r="E120" s="145"/>
      <c r="F120" s="145"/>
      <c r="G120" s="145"/>
      <c r="H120" s="145"/>
      <c r="I120" s="145"/>
      <c r="J120" s="145"/>
      <c r="K120" s="145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4"/>
    </row>
    <row r="121" spans="2:43" x14ac:dyDescent="0.15">
      <c r="B121" s="73" t="s">
        <v>72</v>
      </c>
      <c r="C121" s="145"/>
      <c r="D121" s="145"/>
      <c r="E121" s="145"/>
      <c r="F121" s="145"/>
      <c r="G121" s="145"/>
      <c r="H121" s="145"/>
      <c r="I121" s="145"/>
      <c r="J121" s="145"/>
      <c r="K121" s="145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3"/>
      <c r="AF121" s="142"/>
      <c r="AG121" s="143"/>
      <c r="AH121" s="142"/>
      <c r="AI121" s="143"/>
      <c r="AJ121" s="143"/>
      <c r="AK121" s="143"/>
      <c r="AL121" s="143"/>
      <c r="AM121" s="143"/>
      <c r="AN121" s="143"/>
      <c r="AO121" s="143"/>
      <c r="AP121" s="143"/>
      <c r="AQ121" s="144"/>
    </row>
    <row r="122" spans="2:43" x14ac:dyDescent="0.15">
      <c r="B122" s="73" t="s">
        <v>73</v>
      </c>
      <c r="C122" s="145"/>
      <c r="D122" s="145"/>
      <c r="E122" s="145"/>
      <c r="F122" s="145"/>
      <c r="G122" s="145"/>
      <c r="H122" s="145"/>
      <c r="I122" s="145"/>
      <c r="J122" s="145"/>
      <c r="K122" s="145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3"/>
      <c r="AF122" s="142"/>
      <c r="AG122" s="143"/>
      <c r="AH122" s="142"/>
      <c r="AI122" s="143"/>
      <c r="AJ122" s="143"/>
      <c r="AK122" s="143"/>
      <c r="AL122" s="143"/>
      <c r="AM122" s="143"/>
      <c r="AN122" s="143"/>
      <c r="AO122" s="143"/>
      <c r="AP122" s="143"/>
      <c r="AQ122" s="144"/>
    </row>
    <row r="123" spans="2:43" x14ac:dyDescent="0.15">
      <c r="B123" s="73"/>
      <c r="C123" s="149"/>
      <c r="D123" s="149"/>
      <c r="E123" s="149"/>
      <c r="F123" s="149"/>
      <c r="G123" s="149"/>
      <c r="H123" s="149"/>
      <c r="I123" s="149"/>
      <c r="J123" s="149"/>
      <c r="K123" s="149"/>
      <c r="L123" s="157"/>
      <c r="M123" s="157"/>
      <c r="N123" s="157"/>
      <c r="O123" s="157"/>
      <c r="P123" s="158"/>
      <c r="Q123" s="158"/>
      <c r="R123" s="158"/>
      <c r="S123" s="158"/>
      <c r="T123" s="158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60"/>
    </row>
    <row r="124" spans="2:43" x14ac:dyDescent="0.15">
      <c r="B124" s="75" t="str">
        <f>'WireDip-01'!AF18</f>
        <v>16-CVV- 6C</v>
      </c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6"/>
      <c r="Q124" s="146"/>
      <c r="R124" s="146"/>
      <c r="S124" s="146"/>
      <c r="T124" s="146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8"/>
    </row>
    <row r="125" spans="2:43" x14ac:dyDescent="0.15">
      <c r="B125" s="73" t="s">
        <v>70</v>
      </c>
      <c r="C125" s="153"/>
      <c r="D125" s="153">
        <v>12</v>
      </c>
      <c r="E125" s="153"/>
      <c r="F125" s="153">
        <v>12</v>
      </c>
      <c r="G125" s="154">
        <v>13.5</v>
      </c>
      <c r="H125" s="153"/>
      <c r="I125" s="153"/>
      <c r="J125" s="153">
        <v>15.5</v>
      </c>
      <c r="K125" s="153"/>
      <c r="L125" s="154"/>
      <c r="M125" s="154">
        <v>18.5</v>
      </c>
      <c r="N125" s="154">
        <v>22</v>
      </c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155"/>
      <c r="AP125" s="155"/>
      <c r="AQ125" s="156"/>
    </row>
    <row r="126" spans="2:43" x14ac:dyDescent="0.15">
      <c r="B126" s="73" t="s">
        <v>74</v>
      </c>
      <c r="C126" s="129"/>
      <c r="D126" s="129">
        <f>3.1415926535*(D125^2)/4</f>
        <v>113.09733552599999</v>
      </c>
      <c r="E126" s="129"/>
      <c r="F126" s="129">
        <f>3.1415926535*(F125^2)/4</f>
        <v>113.09733552599999</v>
      </c>
      <c r="G126" s="129">
        <f>3.1415926535*(G125^2)/4</f>
        <v>143.13881527509375</v>
      </c>
      <c r="H126" s="138"/>
      <c r="I126" s="138"/>
      <c r="J126" s="129">
        <f>3.1415926535*(J125^2)/4</f>
        <v>188.69190875084377</v>
      </c>
      <c r="K126" s="138"/>
      <c r="L126" s="138"/>
      <c r="M126" s="129">
        <f>3.1415926535*(M125^2)/4</f>
        <v>268.80252141509374</v>
      </c>
      <c r="N126" s="129">
        <f>3.1415926535*(N125^2)/4</f>
        <v>380.13271107349999</v>
      </c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40"/>
    </row>
    <row r="127" spans="2:43" x14ac:dyDescent="0.15">
      <c r="B127" s="73" t="s">
        <v>71</v>
      </c>
      <c r="C127" s="78"/>
      <c r="D127" s="78">
        <v>0.17</v>
      </c>
      <c r="E127" s="78"/>
      <c r="F127" s="78">
        <v>0.19</v>
      </c>
      <c r="G127" s="78">
        <v>0.26</v>
      </c>
      <c r="H127" s="78"/>
      <c r="I127" s="78"/>
      <c r="J127" s="78">
        <v>0.375</v>
      </c>
      <c r="K127" s="78"/>
      <c r="L127" s="79"/>
      <c r="M127" s="79">
        <v>0.55500000000000005</v>
      </c>
      <c r="N127" s="79">
        <v>0.77500000000000002</v>
      </c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1"/>
    </row>
    <row r="128" spans="2:43" x14ac:dyDescent="0.15">
      <c r="B128" s="73" t="s">
        <v>75</v>
      </c>
      <c r="C128" s="145"/>
      <c r="D128" s="145"/>
      <c r="E128" s="145"/>
      <c r="F128" s="145"/>
      <c r="G128" s="145"/>
      <c r="H128" s="145"/>
      <c r="I128" s="145"/>
      <c r="J128" s="145"/>
      <c r="K128" s="145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4"/>
    </row>
    <row r="129" spans="2:43" x14ac:dyDescent="0.15">
      <c r="B129" s="73" t="s">
        <v>72</v>
      </c>
      <c r="C129" s="145"/>
      <c r="D129" s="145"/>
      <c r="E129" s="145"/>
      <c r="F129" s="145"/>
      <c r="G129" s="145"/>
      <c r="H129" s="145"/>
      <c r="I129" s="145"/>
      <c r="J129" s="145"/>
      <c r="K129" s="145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3"/>
      <c r="AF129" s="142"/>
      <c r="AG129" s="143"/>
      <c r="AH129" s="142"/>
      <c r="AI129" s="143"/>
      <c r="AJ129" s="143"/>
      <c r="AK129" s="143"/>
      <c r="AL129" s="143"/>
      <c r="AM129" s="143"/>
      <c r="AN129" s="143"/>
      <c r="AO129" s="143"/>
      <c r="AP129" s="143"/>
      <c r="AQ129" s="144"/>
    </row>
    <row r="130" spans="2:43" x14ac:dyDescent="0.15">
      <c r="B130" s="73" t="s">
        <v>73</v>
      </c>
      <c r="C130" s="145"/>
      <c r="D130" s="145"/>
      <c r="E130" s="145"/>
      <c r="F130" s="145"/>
      <c r="G130" s="145"/>
      <c r="H130" s="145"/>
      <c r="I130" s="145"/>
      <c r="J130" s="145"/>
      <c r="K130" s="145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3"/>
      <c r="AF130" s="142"/>
      <c r="AG130" s="143"/>
      <c r="AH130" s="142"/>
      <c r="AI130" s="143"/>
      <c r="AJ130" s="143"/>
      <c r="AK130" s="143"/>
      <c r="AL130" s="143"/>
      <c r="AM130" s="143"/>
      <c r="AN130" s="143"/>
      <c r="AO130" s="143"/>
      <c r="AP130" s="143"/>
      <c r="AQ130" s="144"/>
    </row>
    <row r="131" spans="2:43" x14ac:dyDescent="0.15">
      <c r="B131" s="73"/>
      <c r="C131" s="149"/>
      <c r="D131" s="149"/>
      <c r="E131" s="149"/>
      <c r="F131" s="149"/>
      <c r="G131" s="149"/>
      <c r="H131" s="149"/>
      <c r="I131" s="149"/>
      <c r="J131" s="149"/>
      <c r="K131" s="149"/>
      <c r="L131" s="157"/>
      <c r="M131" s="157"/>
      <c r="N131" s="157"/>
      <c r="O131" s="157"/>
      <c r="P131" s="158"/>
      <c r="Q131" s="158"/>
      <c r="R131" s="158"/>
      <c r="S131" s="158"/>
      <c r="T131" s="158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60"/>
    </row>
    <row r="132" spans="2:43" x14ac:dyDescent="0.15">
      <c r="B132" s="75" t="str">
        <f>'WireDip-01'!AF19</f>
        <v>17-CVV- 7C</v>
      </c>
      <c r="C132" s="153"/>
      <c r="D132" s="153"/>
      <c r="E132" s="153"/>
      <c r="F132" s="153"/>
      <c r="G132" s="154"/>
      <c r="H132" s="153"/>
      <c r="I132" s="153"/>
      <c r="J132" s="153"/>
      <c r="K132" s="153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6"/>
    </row>
    <row r="133" spans="2:43" x14ac:dyDescent="0.15">
      <c r="B133" s="73" t="s">
        <v>70</v>
      </c>
      <c r="C133" s="153"/>
      <c r="D133" s="153">
        <v>12</v>
      </c>
      <c r="E133" s="153"/>
      <c r="F133" s="153">
        <v>12</v>
      </c>
      <c r="G133" s="154">
        <v>13.5</v>
      </c>
      <c r="H133" s="153"/>
      <c r="I133" s="153"/>
      <c r="J133" s="153">
        <v>15.5</v>
      </c>
      <c r="K133" s="153"/>
      <c r="L133" s="154"/>
      <c r="M133" s="154">
        <v>18.5</v>
      </c>
      <c r="N133" s="154">
        <v>22</v>
      </c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6"/>
    </row>
    <row r="134" spans="2:43" x14ac:dyDescent="0.15">
      <c r="B134" s="73" t="s">
        <v>74</v>
      </c>
      <c r="C134" s="129"/>
      <c r="D134" s="129">
        <f>3.1415926535*(D133^2)/4</f>
        <v>113.09733552599999</v>
      </c>
      <c r="E134" s="129"/>
      <c r="F134" s="129">
        <f>3.1415926535*(F133^2)/4</f>
        <v>113.09733552599999</v>
      </c>
      <c r="G134" s="129">
        <f>3.1415926535*(G133^2)/4</f>
        <v>143.13881527509375</v>
      </c>
      <c r="H134" s="138"/>
      <c r="I134" s="138"/>
      <c r="J134" s="129">
        <f>3.1415926535*(J133^2)/4</f>
        <v>188.69190875084377</v>
      </c>
      <c r="K134" s="138"/>
      <c r="L134" s="138"/>
      <c r="M134" s="129">
        <f>3.1415926535*(M133^2)/4</f>
        <v>268.80252141509374</v>
      </c>
      <c r="N134" s="129">
        <f>3.1415926535*(N133^2)/4</f>
        <v>380.13271107349999</v>
      </c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40"/>
    </row>
    <row r="135" spans="2:43" x14ac:dyDescent="0.15">
      <c r="B135" s="73" t="s">
        <v>71</v>
      </c>
      <c r="C135" s="78"/>
      <c r="D135" s="78">
        <v>0.185</v>
      </c>
      <c r="E135" s="78"/>
      <c r="F135" s="78">
        <v>0.22</v>
      </c>
      <c r="G135" s="78">
        <v>0.28499999999999998</v>
      </c>
      <c r="H135" s="78"/>
      <c r="I135" s="78"/>
      <c r="J135" s="78">
        <v>0.41499999999999998</v>
      </c>
      <c r="K135" s="78"/>
      <c r="L135" s="79"/>
      <c r="M135" s="79">
        <v>0.61499999999999999</v>
      </c>
      <c r="N135" s="79">
        <v>0.86</v>
      </c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1"/>
    </row>
    <row r="136" spans="2:43" x14ac:dyDescent="0.15">
      <c r="B136" s="73" t="s">
        <v>75</v>
      </c>
      <c r="C136" s="145"/>
      <c r="D136" s="145"/>
      <c r="E136" s="145"/>
      <c r="F136" s="145"/>
      <c r="G136" s="145"/>
      <c r="H136" s="145"/>
      <c r="I136" s="145"/>
      <c r="J136" s="145"/>
      <c r="K136" s="145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4"/>
    </row>
    <row r="137" spans="2:43" x14ac:dyDescent="0.15">
      <c r="B137" s="73" t="s">
        <v>72</v>
      </c>
      <c r="C137" s="145"/>
      <c r="D137" s="145"/>
      <c r="E137" s="145"/>
      <c r="F137" s="145"/>
      <c r="G137" s="145"/>
      <c r="H137" s="145"/>
      <c r="I137" s="145"/>
      <c r="J137" s="145"/>
      <c r="K137" s="145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3"/>
      <c r="AF137" s="142"/>
      <c r="AG137" s="143"/>
      <c r="AH137" s="142"/>
      <c r="AI137" s="143"/>
      <c r="AJ137" s="143"/>
      <c r="AK137" s="143"/>
      <c r="AL137" s="143"/>
      <c r="AM137" s="143"/>
      <c r="AN137" s="143"/>
      <c r="AO137" s="143"/>
      <c r="AP137" s="143"/>
      <c r="AQ137" s="144"/>
    </row>
    <row r="138" spans="2:43" x14ac:dyDescent="0.15">
      <c r="B138" s="73" t="s">
        <v>73</v>
      </c>
      <c r="C138" s="145"/>
      <c r="D138" s="145"/>
      <c r="E138" s="145"/>
      <c r="F138" s="145"/>
      <c r="G138" s="145"/>
      <c r="H138" s="145"/>
      <c r="I138" s="145"/>
      <c r="J138" s="145"/>
      <c r="K138" s="145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3"/>
      <c r="AF138" s="142"/>
      <c r="AG138" s="143"/>
      <c r="AH138" s="142"/>
      <c r="AI138" s="143"/>
      <c r="AJ138" s="143"/>
      <c r="AK138" s="143"/>
      <c r="AL138" s="143"/>
      <c r="AM138" s="143"/>
      <c r="AN138" s="143"/>
      <c r="AO138" s="143"/>
      <c r="AP138" s="143"/>
      <c r="AQ138" s="144"/>
    </row>
    <row r="139" spans="2:43" x14ac:dyDescent="0.15">
      <c r="B139" s="73"/>
      <c r="C139" s="149"/>
      <c r="D139" s="149"/>
      <c r="E139" s="149"/>
      <c r="F139" s="149"/>
      <c r="G139" s="149"/>
      <c r="H139" s="149"/>
      <c r="I139" s="149"/>
      <c r="J139" s="149"/>
      <c r="K139" s="149"/>
      <c r="L139" s="157"/>
      <c r="M139" s="157"/>
      <c r="N139" s="157"/>
      <c r="O139" s="157"/>
      <c r="P139" s="158"/>
      <c r="Q139" s="158"/>
      <c r="R139" s="158"/>
      <c r="S139" s="158"/>
      <c r="T139" s="158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60"/>
    </row>
    <row r="140" spans="2:43" x14ac:dyDescent="0.15">
      <c r="B140" s="75" t="str">
        <f>'WireDip-01'!AF20</f>
        <v>18-CVV- 8C</v>
      </c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6"/>
      <c r="Q140" s="146"/>
      <c r="R140" s="146"/>
      <c r="S140" s="146"/>
      <c r="T140" s="146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8"/>
    </row>
    <row r="141" spans="2:43" x14ac:dyDescent="0.15">
      <c r="B141" s="73" t="s">
        <v>70</v>
      </c>
      <c r="C141" s="153"/>
      <c r="D141" s="153">
        <v>12.5</v>
      </c>
      <c r="E141" s="153"/>
      <c r="F141" s="153">
        <v>13</v>
      </c>
      <c r="G141" s="154">
        <v>14.5</v>
      </c>
      <c r="H141" s="153"/>
      <c r="I141" s="153"/>
      <c r="J141" s="153">
        <v>16.5</v>
      </c>
      <c r="K141" s="153"/>
      <c r="L141" s="154"/>
      <c r="M141" s="154">
        <v>20</v>
      </c>
      <c r="N141" s="154">
        <v>24</v>
      </c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6"/>
    </row>
    <row r="142" spans="2:43" x14ac:dyDescent="0.15">
      <c r="B142" s="73" t="s">
        <v>74</v>
      </c>
      <c r="C142" s="129"/>
      <c r="D142" s="129">
        <f>3.1415926535*(D141^2)/4</f>
        <v>122.71846302734376</v>
      </c>
      <c r="E142" s="129"/>
      <c r="F142" s="129">
        <f>3.1415926535*(F141^2)/4</f>
        <v>132.73228961037501</v>
      </c>
      <c r="G142" s="129">
        <f>3.1415926535*(G141^2)/4</f>
        <v>165.12996384959376</v>
      </c>
      <c r="H142" s="138"/>
      <c r="I142" s="138"/>
      <c r="J142" s="129">
        <f>3.1415926535*(J141^2)/4</f>
        <v>213.82464997884375</v>
      </c>
      <c r="K142" s="138"/>
      <c r="L142" s="138"/>
      <c r="M142" s="129">
        <f>3.1415926535*(M141^2)/4</f>
        <v>314.15926535</v>
      </c>
      <c r="N142" s="129">
        <f>3.1415926535*(N141^2)/4</f>
        <v>452.38934210399998</v>
      </c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40"/>
    </row>
    <row r="143" spans="2:43" x14ac:dyDescent="0.15">
      <c r="B143" s="73" t="s">
        <v>71</v>
      </c>
      <c r="C143" s="78"/>
      <c r="D143" s="78">
        <v>0.20499999999999999</v>
      </c>
      <c r="E143" s="78"/>
      <c r="F143" s="78">
        <v>0.23</v>
      </c>
      <c r="G143" s="78">
        <v>0.32500000000000001</v>
      </c>
      <c r="H143" s="78"/>
      <c r="I143" s="78"/>
      <c r="J143" s="78">
        <v>0.47499999999999998</v>
      </c>
      <c r="K143" s="78"/>
      <c r="L143" s="79"/>
      <c r="M143" s="79">
        <v>0.70499999999999996</v>
      </c>
      <c r="N143" s="79">
        <v>1</v>
      </c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1"/>
    </row>
    <row r="144" spans="2:43" x14ac:dyDescent="0.15">
      <c r="B144" s="73" t="s">
        <v>75</v>
      </c>
      <c r="C144" s="145"/>
      <c r="D144" s="145"/>
      <c r="E144" s="145"/>
      <c r="F144" s="145"/>
      <c r="G144" s="145"/>
      <c r="H144" s="145"/>
      <c r="I144" s="145"/>
      <c r="J144" s="145"/>
      <c r="K144" s="145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4"/>
    </row>
    <row r="145" spans="2:43" x14ac:dyDescent="0.15">
      <c r="B145" s="73" t="s">
        <v>72</v>
      </c>
      <c r="C145" s="145"/>
      <c r="D145" s="145"/>
      <c r="E145" s="145"/>
      <c r="F145" s="145"/>
      <c r="G145" s="145"/>
      <c r="H145" s="145"/>
      <c r="I145" s="145"/>
      <c r="J145" s="145"/>
      <c r="K145" s="145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3"/>
      <c r="AF145" s="142"/>
      <c r="AG145" s="143"/>
      <c r="AH145" s="142"/>
      <c r="AI145" s="143"/>
      <c r="AJ145" s="143"/>
      <c r="AK145" s="143"/>
      <c r="AL145" s="143"/>
      <c r="AM145" s="143"/>
      <c r="AN145" s="143"/>
      <c r="AO145" s="143"/>
      <c r="AP145" s="143"/>
      <c r="AQ145" s="144"/>
    </row>
    <row r="146" spans="2:43" x14ac:dyDescent="0.15">
      <c r="B146" s="73" t="s">
        <v>73</v>
      </c>
      <c r="C146" s="145"/>
      <c r="D146" s="145"/>
      <c r="E146" s="145"/>
      <c r="F146" s="145"/>
      <c r="G146" s="145"/>
      <c r="H146" s="145"/>
      <c r="I146" s="145"/>
      <c r="J146" s="145"/>
      <c r="K146" s="145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3"/>
      <c r="AF146" s="142"/>
      <c r="AG146" s="143"/>
      <c r="AH146" s="142"/>
      <c r="AI146" s="143"/>
      <c r="AJ146" s="143"/>
      <c r="AK146" s="143"/>
      <c r="AL146" s="143"/>
      <c r="AM146" s="143"/>
      <c r="AN146" s="143"/>
      <c r="AO146" s="143"/>
      <c r="AP146" s="143"/>
      <c r="AQ146" s="144"/>
    </row>
    <row r="147" spans="2:43" x14ac:dyDescent="0.15">
      <c r="B147" s="73"/>
      <c r="C147" s="149"/>
      <c r="D147" s="149"/>
      <c r="E147" s="149"/>
      <c r="F147" s="149"/>
      <c r="G147" s="149"/>
      <c r="H147" s="149"/>
      <c r="I147" s="149"/>
      <c r="J147" s="149"/>
      <c r="K147" s="149"/>
      <c r="L147" s="157"/>
      <c r="M147" s="157"/>
      <c r="N147" s="157"/>
      <c r="O147" s="157"/>
      <c r="P147" s="158"/>
      <c r="Q147" s="158"/>
      <c r="R147" s="158"/>
      <c r="S147" s="158"/>
      <c r="T147" s="158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60"/>
    </row>
    <row r="148" spans="2:43" x14ac:dyDescent="0.15">
      <c r="B148" s="75" t="str">
        <f>'WireDip-01'!AF21</f>
        <v>19-CVV-10C</v>
      </c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6"/>
      <c r="Q148" s="146"/>
      <c r="R148" s="146"/>
      <c r="S148" s="146"/>
      <c r="T148" s="146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8"/>
    </row>
    <row r="149" spans="2:43" x14ac:dyDescent="0.15">
      <c r="B149" s="73" t="s">
        <v>70</v>
      </c>
      <c r="C149" s="153"/>
      <c r="D149" s="153">
        <v>14.5</v>
      </c>
      <c r="E149" s="153"/>
      <c r="F149" s="153">
        <v>15</v>
      </c>
      <c r="G149" s="154">
        <v>17</v>
      </c>
      <c r="H149" s="153"/>
      <c r="I149" s="153"/>
      <c r="J149" s="153">
        <v>19.5</v>
      </c>
      <c r="K149" s="153"/>
      <c r="L149" s="154"/>
      <c r="M149" s="154">
        <v>24</v>
      </c>
      <c r="N149" s="154">
        <v>28</v>
      </c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6"/>
    </row>
    <row r="150" spans="2:43" x14ac:dyDescent="0.15">
      <c r="B150" s="73" t="s">
        <v>74</v>
      </c>
      <c r="C150" s="129"/>
      <c r="D150" s="129">
        <f>3.1415926535*(D149^2)/4</f>
        <v>165.12996384959376</v>
      </c>
      <c r="E150" s="129"/>
      <c r="F150" s="129">
        <f>3.1415926535*(F149^2)/4</f>
        <v>176.71458675937501</v>
      </c>
      <c r="G150" s="129">
        <f>3.1415926535*(G149^2)/4</f>
        <v>226.98006921537501</v>
      </c>
      <c r="H150" s="138"/>
      <c r="I150" s="138"/>
      <c r="J150" s="129">
        <f>3.1415926535*(J149^2)/4</f>
        <v>298.64765162334373</v>
      </c>
      <c r="K150" s="138"/>
      <c r="L150" s="138"/>
      <c r="M150" s="129">
        <f>3.1415926535*(M149^2)/4</f>
        <v>452.38934210399998</v>
      </c>
      <c r="N150" s="129">
        <f>3.1415926535*(N149^2)/4</f>
        <v>615.752160086</v>
      </c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40"/>
    </row>
    <row r="151" spans="2:43" x14ac:dyDescent="0.15">
      <c r="B151" s="73" t="s">
        <v>71</v>
      </c>
      <c r="C151" s="78"/>
      <c r="D151" s="78">
        <v>0.26</v>
      </c>
      <c r="E151" s="78"/>
      <c r="F151" s="78">
        <v>0.28999999999999998</v>
      </c>
      <c r="G151" s="78">
        <v>0.40500000000000003</v>
      </c>
      <c r="H151" s="78"/>
      <c r="I151" s="78"/>
      <c r="J151" s="78">
        <v>0.6</v>
      </c>
      <c r="K151" s="78"/>
      <c r="L151" s="79"/>
      <c r="M151" s="79">
        <v>0.91</v>
      </c>
      <c r="N151" s="79">
        <v>1.29</v>
      </c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1"/>
    </row>
    <row r="152" spans="2:43" x14ac:dyDescent="0.15">
      <c r="B152" s="73" t="s">
        <v>75</v>
      </c>
      <c r="C152" s="145"/>
      <c r="D152" s="145"/>
      <c r="E152" s="145"/>
      <c r="F152" s="145"/>
      <c r="G152" s="145"/>
      <c r="H152" s="145"/>
      <c r="I152" s="145"/>
      <c r="J152" s="145"/>
      <c r="K152" s="145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4"/>
    </row>
    <row r="153" spans="2:43" x14ac:dyDescent="0.15">
      <c r="B153" s="73" t="s">
        <v>72</v>
      </c>
      <c r="C153" s="145"/>
      <c r="D153" s="145"/>
      <c r="E153" s="145"/>
      <c r="F153" s="145"/>
      <c r="G153" s="145"/>
      <c r="H153" s="145"/>
      <c r="I153" s="145"/>
      <c r="J153" s="145"/>
      <c r="K153" s="145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3"/>
      <c r="AF153" s="142"/>
      <c r="AG153" s="143"/>
      <c r="AH153" s="142"/>
      <c r="AI153" s="143"/>
      <c r="AJ153" s="143"/>
      <c r="AK153" s="143"/>
      <c r="AL153" s="143"/>
      <c r="AM153" s="143"/>
      <c r="AN153" s="143"/>
      <c r="AO153" s="143"/>
      <c r="AP153" s="143"/>
      <c r="AQ153" s="144"/>
    </row>
    <row r="154" spans="2:43" x14ac:dyDescent="0.15">
      <c r="B154" s="73" t="s">
        <v>73</v>
      </c>
      <c r="C154" s="145"/>
      <c r="D154" s="145"/>
      <c r="E154" s="145"/>
      <c r="F154" s="145"/>
      <c r="G154" s="145"/>
      <c r="H154" s="145"/>
      <c r="I154" s="145"/>
      <c r="J154" s="145"/>
      <c r="K154" s="145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3"/>
      <c r="AF154" s="142"/>
      <c r="AG154" s="143"/>
      <c r="AH154" s="142"/>
      <c r="AI154" s="143"/>
      <c r="AJ154" s="143"/>
      <c r="AK154" s="143"/>
      <c r="AL154" s="143"/>
      <c r="AM154" s="143"/>
      <c r="AN154" s="143"/>
      <c r="AO154" s="143"/>
      <c r="AP154" s="143"/>
      <c r="AQ154" s="144"/>
    </row>
    <row r="155" spans="2:43" x14ac:dyDescent="0.15">
      <c r="B155" s="73"/>
      <c r="C155" s="149"/>
      <c r="D155" s="149"/>
      <c r="E155" s="149"/>
      <c r="F155" s="149"/>
      <c r="G155" s="149"/>
      <c r="H155" s="149"/>
      <c r="I155" s="149"/>
      <c r="J155" s="149"/>
      <c r="K155" s="149"/>
      <c r="L155" s="157"/>
      <c r="M155" s="157"/>
      <c r="N155" s="157"/>
      <c r="O155" s="157"/>
      <c r="P155" s="158"/>
      <c r="Q155" s="158"/>
      <c r="R155" s="158"/>
      <c r="S155" s="158"/>
      <c r="T155" s="158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60"/>
    </row>
    <row r="156" spans="2:43" x14ac:dyDescent="0.15">
      <c r="B156" s="75" t="str">
        <f>'WireDip-01'!AF22</f>
        <v>20-CVV-12C</v>
      </c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6"/>
      <c r="Q156" s="146"/>
      <c r="R156" s="146"/>
      <c r="S156" s="146"/>
      <c r="T156" s="146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8"/>
    </row>
    <row r="157" spans="2:43" x14ac:dyDescent="0.15">
      <c r="B157" s="73" t="s">
        <v>70</v>
      </c>
      <c r="C157" s="153"/>
      <c r="D157" s="153">
        <v>15</v>
      </c>
      <c r="E157" s="153"/>
      <c r="F157" s="153">
        <v>15.5</v>
      </c>
      <c r="G157" s="154">
        <v>17.5</v>
      </c>
      <c r="H157" s="153"/>
      <c r="I157" s="153"/>
      <c r="J157" s="153">
        <v>20</v>
      </c>
      <c r="K157" s="153"/>
      <c r="L157" s="154"/>
      <c r="M157" s="154">
        <v>25</v>
      </c>
      <c r="N157" s="154">
        <v>29</v>
      </c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6"/>
    </row>
    <row r="158" spans="2:43" x14ac:dyDescent="0.15">
      <c r="B158" s="73" t="s">
        <v>74</v>
      </c>
      <c r="C158" s="129"/>
      <c r="D158" s="129">
        <f>3.1415926535*(D157^2)/4</f>
        <v>176.71458675937501</v>
      </c>
      <c r="E158" s="129"/>
      <c r="F158" s="129">
        <f>3.1415926535*(F157^2)/4</f>
        <v>188.69190875084377</v>
      </c>
      <c r="G158" s="129">
        <f>3.1415926535*(G157^2)/4</f>
        <v>240.52818753359375</v>
      </c>
      <c r="H158" s="138"/>
      <c r="I158" s="138"/>
      <c r="J158" s="129">
        <f>3.1415926535*(J157^2)/4</f>
        <v>314.15926535</v>
      </c>
      <c r="K158" s="138"/>
      <c r="L158" s="138"/>
      <c r="M158" s="129">
        <f>3.1415926535*(M157^2)/4</f>
        <v>490.87385210937504</v>
      </c>
      <c r="N158" s="129">
        <f>3.1415926535*(N157^2)/4</f>
        <v>660.51985539837506</v>
      </c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40"/>
    </row>
    <row r="159" spans="2:43" x14ac:dyDescent="0.15">
      <c r="B159" s="73" t="s">
        <v>71</v>
      </c>
      <c r="C159" s="78"/>
      <c r="D159" s="78">
        <v>0.28999999999999998</v>
      </c>
      <c r="E159" s="78"/>
      <c r="F159" s="78">
        <v>0.33</v>
      </c>
      <c r="G159" s="78">
        <v>0.46500000000000002</v>
      </c>
      <c r="H159" s="78"/>
      <c r="I159" s="78"/>
      <c r="J159" s="78">
        <v>0.69</v>
      </c>
      <c r="K159" s="78"/>
      <c r="L159" s="79"/>
      <c r="M159" s="79">
        <v>1.05</v>
      </c>
      <c r="N159" s="79">
        <v>1.49</v>
      </c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1"/>
    </row>
    <row r="160" spans="2:43" x14ac:dyDescent="0.15">
      <c r="B160" s="73" t="s">
        <v>75</v>
      </c>
      <c r="C160" s="145"/>
      <c r="D160" s="145"/>
      <c r="E160" s="145"/>
      <c r="F160" s="145"/>
      <c r="G160" s="145"/>
      <c r="H160" s="145"/>
      <c r="I160" s="145"/>
      <c r="J160" s="145"/>
      <c r="K160" s="145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4"/>
    </row>
    <row r="161" spans="2:43" x14ac:dyDescent="0.15">
      <c r="B161" s="73" t="s">
        <v>72</v>
      </c>
      <c r="C161" s="145"/>
      <c r="D161" s="145"/>
      <c r="E161" s="145"/>
      <c r="F161" s="145"/>
      <c r="G161" s="145"/>
      <c r="H161" s="145"/>
      <c r="I161" s="145"/>
      <c r="J161" s="145"/>
      <c r="K161" s="145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3"/>
      <c r="AF161" s="142"/>
      <c r="AG161" s="143"/>
      <c r="AH161" s="142"/>
      <c r="AI161" s="143"/>
      <c r="AJ161" s="143"/>
      <c r="AK161" s="143"/>
      <c r="AL161" s="143"/>
      <c r="AM161" s="143"/>
      <c r="AN161" s="143"/>
      <c r="AO161" s="143"/>
      <c r="AP161" s="143"/>
      <c r="AQ161" s="144"/>
    </row>
    <row r="162" spans="2:43" x14ac:dyDescent="0.15">
      <c r="B162" s="73" t="s">
        <v>73</v>
      </c>
      <c r="C162" s="145"/>
      <c r="D162" s="145"/>
      <c r="E162" s="145"/>
      <c r="F162" s="145"/>
      <c r="G162" s="145"/>
      <c r="H162" s="145"/>
      <c r="I162" s="145"/>
      <c r="J162" s="145"/>
      <c r="K162" s="145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3"/>
      <c r="AF162" s="142"/>
      <c r="AG162" s="143"/>
      <c r="AH162" s="142"/>
      <c r="AI162" s="143"/>
      <c r="AJ162" s="143"/>
      <c r="AK162" s="143"/>
      <c r="AL162" s="143"/>
      <c r="AM162" s="143"/>
      <c r="AN162" s="143"/>
      <c r="AO162" s="143"/>
      <c r="AP162" s="143"/>
      <c r="AQ162" s="144"/>
    </row>
    <row r="163" spans="2:43" x14ac:dyDescent="0.15">
      <c r="B163" s="73"/>
      <c r="C163" s="149"/>
      <c r="D163" s="149"/>
      <c r="E163" s="149"/>
      <c r="F163" s="149"/>
      <c r="G163" s="149"/>
      <c r="H163" s="149"/>
      <c r="I163" s="149"/>
      <c r="J163" s="149"/>
      <c r="K163" s="149"/>
      <c r="L163" s="157"/>
      <c r="M163" s="157"/>
      <c r="N163" s="157"/>
      <c r="O163" s="157"/>
      <c r="P163" s="158"/>
      <c r="Q163" s="158"/>
      <c r="R163" s="158"/>
      <c r="S163" s="158"/>
      <c r="T163" s="158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60"/>
    </row>
    <row r="164" spans="2:43" x14ac:dyDescent="0.15">
      <c r="B164" s="75" t="str">
        <f>'WireDip-01'!AF23</f>
        <v>21-CVV-15C</v>
      </c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6"/>
      <c r="Q164" s="146"/>
      <c r="R164" s="146"/>
      <c r="S164" s="146"/>
      <c r="T164" s="146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8"/>
    </row>
    <row r="165" spans="2:43" x14ac:dyDescent="0.15">
      <c r="B165" s="73" t="s">
        <v>70</v>
      </c>
      <c r="C165" s="153"/>
      <c r="D165" s="153">
        <v>16</v>
      </c>
      <c r="E165" s="153"/>
      <c r="F165" s="153">
        <v>17</v>
      </c>
      <c r="G165" s="154">
        <v>19</v>
      </c>
      <c r="H165" s="153"/>
      <c r="I165" s="153"/>
      <c r="J165" s="153">
        <v>22</v>
      </c>
      <c r="K165" s="153"/>
      <c r="L165" s="154"/>
      <c r="M165" s="154">
        <v>27</v>
      </c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6"/>
    </row>
    <row r="166" spans="2:43" x14ac:dyDescent="0.15">
      <c r="B166" s="73" t="s">
        <v>74</v>
      </c>
      <c r="C166" s="129"/>
      <c r="D166" s="129">
        <f>3.1415926535*(D165^2)/4</f>
        <v>201.061929824</v>
      </c>
      <c r="E166" s="129"/>
      <c r="F166" s="129">
        <f>3.1415926535*(F165^2)/4</f>
        <v>226.98006921537501</v>
      </c>
      <c r="G166" s="129">
        <f>3.1415926535*(G165^2)/4</f>
        <v>283.52873697837498</v>
      </c>
      <c r="H166" s="138"/>
      <c r="I166" s="138"/>
      <c r="J166" s="129">
        <f>3.1415926535*(J165^2)/4</f>
        <v>380.13271107349999</v>
      </c>
      <c r="K166" s="138"/>
      <c r="L166" s="138"/>
      <c r="M166" s="129">
        <f>3.1415926535*(M165^2)/4</f>
        <v>572.55526110037499</v>
      </c>
      <c r="N166" s="129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40"/>
    </row>
    <row r="167" spans="2:43" x14ac:dyDescent="0.15">
      <c r="B167" s="73" t="s">
        <v>71</v>
      </c>
      <c r="C167" s="78"/>
      <c r="D167" s="78">
        <v>0.34499999999999997</v>
      </c>
      <c r="E167" s="78"/>
      <c r="F167" s="78">
        <v>0.39500000000000002</v>
      </c>
      <c r="G167" s="78">
        <v>0.56499999999999995</v>
      </c>
      <c r="H167" s="78"/>
      <c r="I167" s="78"/>
      <c r="J167" s="78">
        <v>0.84</v>
      </c>
      <c r="K167" s="78"/>
      <c r="L167" s="79"/>
      <c r="M167" s="79">
        <v>1.29</v>
      </c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1"/>
    </row>
    <row r="168" spans="2:43" x14ac:dyDescent="0.15">
      <c r="B168" s="73" t="s">
        <v>75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4"/>
    </row>
    <row r="169" spans="2:43" x14ac:dyDescent="0.15">
      <c r="B169" s="73" t="s">
        <v>72</v>
      </c>
      <c r="C169" s="145"/>
      <c r="D169" s="145"/>
      <c r="E169" s="145"/>
      <c r="F169" s="145"/>
      <c r="G169" s="145"/>
      <c r="H169" s="145"/>
      <c r="I169" s="145"/>
      <c r="J169" s="145"/>
      <c r="K169" s="145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3"/>
      <c r="AF169" s="142"/>
      <c r="AG169" s="143"/>
      <c r="AH169" s="142"/>
      <c r="AI169" s="143"/>
      <c r="AJ169" s="143"/>
      <c r="AK169" s="143"/>
      <c r="AL169" s="143"/>
      <c r="AM169" s="143"/>
      <c r="AN169" s="143"/>
      <c r="AO169" s="143"/>
      <c r="AP169" s="143"/>
      <c r="AQ169" s="144"/>
    </row>
    <row r="170" spans="2:43" x14ac:dyDescent="0.15">
      <c r="B170" s="73" t="s">
        <v>73</v>
      </c>
      <c r="C170" s="145"/>
      <c r="D170" s="145"/>
      <c r="E170" s="145"/>
      <c r="F170" s="145"/>
      <c r="G170" s="145"/>
      <c r="H170" s="145"/>
      <c r="I170" s="145"/>
      <c r="J170" s="145"/>
      <c r="K170" s="145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3"/>
      <c r="AF170" s="142"/>
      <c r="AG170" s="143"/>
      <c r="AH170" s="142"/>
      <c r="AI170" s="143"/>
      <c r="AJ170" s="143"/>
      <c r="AK170" s="143"/>
      <c r="AL170" s="143"/>
      <c r="AM170" s="143"/>
      <c r="AN170" s="143"/>
      <c r="AO170" s="143"/>
      <c r="AP170" s="143"/>
      <c r="AQ170" s="144"/>
    </row>
    <row r="171" spans="2:43" x14ac:dyDescent="0.15">
      <c r="B171" s="73"/>
      <c r="C171" s="149"/>
      <c r="D171" s="149"/>
      <c r="E171" s="149"/>
      <c r="F171" s="149"/>
      <c r="G171" s="149"/>
      <c r="H171" s="149"/>
      <c r="I171" s="149"/>
      <c r="J171" s="149"/>
      <c r="K171" s="149"/>
      <c r="L171" s="157"/>
      <c r="M171" s="157"/>
      <c r="N171" s="157"/>
      <c r="O171" s="157"/>
      <c r="P171" s="158"/>
      <c r="Q171" s="158"/>
      <c r="R171" s="158"/>
      <c r="S171" s="158"/>
      <c r="T171" s="158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60"/>
    </row>
    <row r="172" spans="2:43" x14ac:dyDescent="0.15">
      <c r="B172" s="75" t="str">
        <f>'WireDip-01'!AF24</f>
        <v>22-CVV-20C</v>
      </c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6"/>
      <c r="Q172" s="146"/>
      <c r="R172" s="146"/>
      <c r="S172" s="146"/>
      <c r="T172" s="146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8"/>
    </row>
    <row r="173" spans="2:43" x14ac:dyDescent="0.15">
      <c r="B173" s="73" t="s">
        <v>70</v>
      </c>
      <c r="C173" s="153"/>
      <c r="D173" s="153">
        <v>18</v>
      </c>
      <c r="E173" s="153"/>
      <c r="F173" s="153">
        <v>18.5</v>
      </c>
      <c r="G173" s="154">
        <v>21</v>
      </c>
      <c r="H173" s="153"/>
      <c r="I173" s="153"/>
      <c r="J173" s="153">
        <v>25</v>
      </c>
      <c r="K173" s="153"/>
      <c r="L173" s="154"/>
      <c r="M173" s="154">
        <v>30</v>
      </c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6"/>
    </row>
    <row r="174" spans="2:43" x14ac:dyDescent="0.15">
      <c r="B174" s="73" t="s">
        <v>74</v>
      </c>
      <c r="C174" s="129"/>
      <c r="D174" s="129">
        <f>3.1415926535*(D173^2)/4</f>
        <v>254.4690049335</v>
      </c>
      <c r="E174" s="129"/>
      <c r="F174" s="129">
        <f>3.1415926535*(F173^2)/4</f>
        <v>268.80252141509374</v>
      </c>
      <c r="G174" s="129">
        <f>3.1415926535*(G173^2)/4</f>
        <v>346.360590048375</v>
      </c>
      <c r="H174" s="138"/>
      <c r="I174" s="138"/>
      <c r="J174" s="129">
        <f>3.1415926535*(J173^2)/4</f>
        <v>490.87385210937504</v>
      </c>
      <c r="K174" s="138"/>
      <c r="L174" s="138"/>
      <c r="M174" s="129">
        <f>3.1415926535*(M173^2)/4</f>
        <v>706.85834703750004</v>
      </c>
      <c r="N174" s="129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40"/>
    </row>
    <row r="175" spans="2:43" x14ac:dyDescent="0.15">
      <c r="B175" s="73" t="s">
        <v>71</v>
      </c>
      <c r="C175" s="78"/>
      <c r="D175" s="78">
        <v>0.44</v>
      </c>
      <c r="E175" s="78"/>
      <c r="F175" s="78">
        <v>0.51</v>
      </c>
      <c r="G175" s="78">
        <v>0.72</v>
      </c>
      <c r="H175" s="78"/>
      <c r="I175" s="78"/>
      <c r="J175" s="78">
        <v>1.1000000000000001</v>
      </c>
      <c r="K175" s="78"/>
      <c r="L175" s="79"/>
      <c r="M175" s="79">
        <v>1.69</v>
      </c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1"/>
    </row>
    <row r="176" spans="2:43" x14ac:dyDescent="0.15">
      <c r="B176" s="73" t="s">
        <v>75</v>
      </c>
      <c r="C176" s="145"/>
      <c r="D176" s="145"/>
      <c r="E176" s="145"/>
      <c r="F176" s="145"/>
      <c r="G176" s="145"/>
      <c r="H176" s="145"/>
      <c r="I176" s="145"/>
      <c r="J176" s="145"/>
      <c r="K176" s="145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4"/>
    </row>
    <row r="177" spans="2:43" x14ac:dyDescent="0.15">
      <c r="B177" s="73" t="s">
        <v>72</v>
      </c>
      <c r="C177" s="145"/>
      <c r="D177" s="145"/>
      <c r="E177" s="145"/>
      <c r="F177" s="145"/>
      <c r="G177" s="145"/>
      <c r="H177" s="145"/>
      <c r="I177" s="145"/>
      <c r="J177" s="145"/>
      <c r="K177" s="145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3"/>
      <c r="AF177" s="142"/>
      <c r="AG177" s="143"/>
      <c r="AH177" s="142"/>
      <c r="AI177" s="143"/>
      <c r="AJ177" s="143"/>
      <c r="AK177" s="143"/>
      <c r="AL177" s="143"/>
      <c r="AM177" s="143"/>
      <c r="AN177" s="143"/>
      <c r="AO177" s="143"/>
      <c r="AP177" s="143"/>
      <c r="AQ177" s="144"/>
    </row>
    <row r="178" spans="2:43" x14ac:dyDescent="0.15">
      <c r="B178" s="73" t="s">
        <v>73</v>
      </c>
      <c r="C178" s="145"/>
      <c r="D178" s="145"/>
      <c r="E178" s="145"/>
      <c r="F178" s="145"/>
      <c r="G178" s="145"/>
      <c r="H178" s="145"/>
      <c r="I178" s="145"/>
      <c r="J178" s="145"/>
      <c r="K178" s="145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3"/>
      <c r="AF178" s="142"/>
      <c r="AG178" s="143"/>
      <c r="AH178" s="142"/>
      <c r="AI178" s="143"/>
      <c r="AJ178" s="143"/>
      <c r="AK178" s="143"/>
      <c r="AL178" s="143"/>
      <c r="AM178" s="143"/>
      <c r="AN178" s="143"/>
      <c r="AO178" s="143"/>
      <c r="AP178" s="143"/>
      <c r="AQ178" s="144"/>
    </row>
    <row r="179" spans="2:43" x14ac:dyDescent="0.15">
      <c r="B179" s="73"/>
      <c r="C179" s="149"/>
      <c r="D179" s="149"/>
      <c r="E179" s="149"/>
      <c r="F179" s="149"/>
      <c r="G179" s="149"/>
      <c r="H179" s="149"/>
      <c r="I179" s="149"/>
      <c r="J179" s="149"/>
      <c r="K179" s="149"/>
      <c r="L179" s="157"/>
      <c r="M179" s="157"/>
      <c r="N179" s="157"/>
      <c r="O179" s="157"/>
      <c r="P179" s="158"/>
      <c r="Q179" s="158"/>
      <c r="R179" s="158"/>
      <c r="S179" s="158"/>
      <c r="T179" s="158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60"/>
    </row>
    <row r="180" spans="2:43" x14ac:dyDescent="0.15">
      <c r="B180" s="75" t="str">
        <f>'WireDip-01'!AF25</f>
        <v>23-CVV-30C</v>
      </c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6"/>
      <c r="Q180" s="146"/>
      <c r="R180" s="146"/>
      <c r="S180" s="146"/>
      <c r="T180" s="146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8"/>
    </row>
    <row r="181" spans="2:43" x14ac:dyDescent="0.15">
      <c r="B181" s="73" t="s">
        <v>70</v>
      </c>
      <c r="C181" s="153"/>
      <c r="D181" s="153">
        <v>22</v>
      </c>
      <c r="E181" s="153"/>
      <c r="F181" s="153">
        <v>23</v>
      </c>
      <c r="G181" s="154">
        <v>26</v>
      </c>
      <c r="H181" s="153"/>
      <c r="I181" s="153"/>
      <c r="J181" s="153">
        <v>30</v>
      </c>
      <c r="K181" s="153"/>
      <c r="L181" s="154"/>
      <c r="M181" s="154">
        <v>37</v>
      </c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5"/>
      <c r="AF181" s="155"/>
      <c r="AG181" s="155"/>
      <c r="AH181" s="155"/>
      <c r="AI181" s="155"/>
      <c r="AJ181" s="155"/>
      <c r="AK181" s="155"/>
      <c r="AL181" s="155"/>
      <c r="AM181" s="155"/>
      <c r="AN181" s="155"/>
      <c r="AO181" s="155"/>
      <c r="AP181" s="155"/>
      <c r="AQ181" s="156"/>
    </row>
    <row r="182" spans="2:43" x14ac:dyDescent="0.15">
      <c r="B182" s="73" t="s">
        <v>74</v>
      </c>
      <c r="C182" s="129"/>
      <c r="D182" s="129">
        <f>3.1415926535*(D181^2)/4</f>
        <v>380.13271107349999</v>
      </c>
      <c r="E182" s="129"/>
      <c r="F182" s="129">
        <f>3.1415926535*(F181^2)/4</f>
        <v>415.47562842537502</v>
      </c>
      <c r="G182" s="129">
        <f>3.1415926535*(G181^2)/4</f>
        <v>530.92915844150002</v>
      </c>
      <c r="H182" s="138"/>
      <c r="I182" s="138"/>
      <c r="J182" s="129">
        <f>3.1415926535*(J181^2)/4</f>
        <v>706.85834703750004</v>
      </c>
      <c r="K182" s="138"/>
      <c r="L182" s="138"/>
      <c r="M182" s="129">
        <f>3.1415926535*(M181^2)/4</f>
        <v>1075.2100856603749</v>
      </c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40"/>
    </row>
    <row r="183" spans="2:43" x14ac:dyDescent="0.15">
      <c r="B183" s="73" t="s">
        <v>71</v>
      </c>
      <c r="C183" s="78"/>
      <c r="D183" s="78">
        <v>0.63</v>
      </c>
      <c r="E183" s="78"/>
      <c r="F183" s="78">
        <v>0.72499999999999998</v>
      </c>
      <c r="G183" s="78">
        <v>1.06</v>
      </c>
      <c r="H183" s="78"/>
      <c r="I183" s="78"/>
      <c r="J183" s="78">
        <v>1.62</v>
      </c>
      <c r="K183" s="78"/>
      <c r="L183" s="79"/>
      <c r="M183" s="79">
        <v>2.5299999999999998</v>
      </c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1"/>
    </row>
    <row r="184" spans="2:43" x14ac:dyDescent="0.15">
      <c r="B184" s="73" t="s">
        <v>75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4"/>
    </row>
    <row r="185" spans="2:43" x14ac:dyDescent="0.15">
      <c r="B185" s="73" t="s">
        <v>72</v>
      </c>
      <c r="C185" s="145"/>
      <c r="D185" s="145"/>
      <c r="E185" s="145"/>
      <c r="F185" s="145"/>
      <c r="G185" s="145"/>
      <c r="H185" s="145"/>
      <c r="I185" s="145"/>
      <c r="J185" s="145"/>
      <c r="K185" s="145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3"/>
      <c r="AF185" s="142"/>
      <c r="AG185" s="143"/>
      <c r="AH185" s="142"/>
      <c r="AI185" s="143"/>
      <c r="AJ185" s="143"/>
      <c r="AK185" s="143"/>
      <c r="AL185" s="143"/>
      <c r="AM185" s="143"/>
      <c r="AN185" s="143"/>
      <c r="AO185" s="143"/>
      <c r="AP185" s="143"/>
      <c r="AQ185" s="144"/>
    </row>
    <row r="186" spans="2:43" x14ac:dyDescent="0.15">
      <c r="B186" s="73" t="s">
        <v>73</v>
      </c>
      <c r="C186" s="145"/>
      <c r="D186" s="145"/>
      <c r="E186" s="145"/>
      <c r="F186" s="145"/>
      <c r="G186" s="145"/>
      <c r="H186" s="145"/>
      <c r="I186" s="145"/>
      <c r="J186" s="145"/>
      <c r="K186" s="145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3"/>
      <c r="AF186" s="142"/>
      <c r="AG186" s="143"/>
      <c r="AH186" s="142"/>
      <c r="AI186" s="143"/>
      <c r="AJ186" s="143"/>
      <c r="AK186" s="143"/>
      <c r="AL186" s="143"/>
      <c r="AM186" s="143"/>
      <c r="AN186" s="143"/>
      <c r="AO186" s="143"/>
      <c r="AP186" s="143"/>
      <c r="AQ186" s="144"/>
    </row>
    <row r="187" spans="2:43" x14ac:dyDescent="0.15">
      <c r="B187" s="73"/>
      <c r="C187" s="149"/>
      <c r="D187" s="149"/>
      <c r="E187" s="149"/>
      <c r="F187" s="149"/>
      <c r="G187" s="149"/>
      <c r="H187" s="149"/>
      <c r="I187" s="149"/>
      <c r="J187" s="149"/>
      <c r="K187" s="149"/>
      <c r="L187" s="157"/>
      <c r="M187" s="157"/>
      <c r="N187" s="157"/>
      <c r="O187" s="157"/>
      <c r="P187" s="158"/>
      <c r="Q187" s="158"/>
      <c r="R187" s="158"/>
      <c r="S187" s="158"/>
      <c r="T187" s="158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60"/>
    </row>
    <row r="188" spans="2:43" x14ac:dyDescent="0.15">
      <c r="B188" s="75" t="str">
        <f>'WireDip-01'!AF26</f>
        <v xml:space="preserve">24-USER Reg. </v>
      </c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6"/>
      <c r="Q188" s="146"/>
      <c r="R188" s="146"/>
      <c r="S188" s="146"/>
      <c r="T188" s="146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8"/>
    </row>
    <row r="189" spans="2:43" x14ac:dyDescent="0.15">
      <c r="B189" s="73" t="s">
        <v>70</v>
      </c>
      <c r="C189" s="145"/>
      <c r="D189" s="145"/>
      <c r="E189" s="145"/>
      <c r="F189" s="145"/>
      <c r="G189" s="145"/>
      <c r="H189" s="145"/>
      <c r="I189" s="145"/>
      <c r="J189" s="145"/>
      <c r="K189" s="14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7"/>
    </row>
    <row r="190" spans="2:43" x14ac:dyDescent="0.15">
      <c r="B190" s="73" t="s">
        <v>74</v>
      </c>
      <c r="C190" s="145"/>
      <c r="D190" s="145"/>
      <c r="E190" s="145"/>
      <c r="F190" s="145"/>
      <c r="G190" s="145"/>
      <c r="H190" s="145"/>
      <c r="I190" s="145"/>
      <c r="J190" s="145"/>
      <c r="K190" s="145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40"/>
    </row>
    <row r="191" spans="2:43" x14ac:dyDescent="0.15">
      <c r="B191" s="73" t="s">
        <v>71</v>
      </c>
      <c r="C191" s="145"/>
      <c r="D191" s="145"/>
      <c r="E191" s="145"/>
      <c r="F191" s="145"/>
      <c r="G191" s="145"/>
      <c r="H191" s="145"/>
      <c r="I191" s="145"/>
      <c r="J191" s="145"/>
      <c r="K191" s="145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40"/>
    </row>
    <row r="192" spans="2:43" x14ac:dyDescent="0.15">
      <c r="B192" s="73" t="s">
        <v>75</v>
      </c>
      <c r="C192" s="145"/>
      <c r="D192" s="145"/>
      <c r="E192" s="145"/>
      <c r="F192" s="145"/>
      <c r="G192" s="145"/>
      <c r="H192" s="145"/>
      <c r="I192" s="145"/>
      <c r="J192" s="145"/>
      <c r="K192" s="145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4"/>
    </row>
    <row r="193" spans="2:43" x14ac:dyDescent="0.15">
      <c r="B193" s="73" t="s">
        <v>72</v>
      </c>
      <c r="C193" s="145"/>
      <c r="D193" s="145"/>
      <c r="E193" s="145"/>
      <c r="F193" s="145"/>
      <c r="G193" s="145"/>
      <c r="H193" s="145"/>
      <c r="I193" s="145"/>
      <c r="J193" s="145"/>
      <c r="K193" s="145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3"/>
      <c r="AF193" s="142"/>
      <c r="AG193" s="143"/>
      <c r="AH193" s="142"/>
      <c r="AI193" s="143"/>
      <c r="AJ193" s="143"/>
      <c r="AK193" s="143"/>
      <c r="AL193" s="143"/>
      <c r="AM193" s="143"/>
      <c r="AN193" s="143"/>
      <c r="AO193" s="143"/>
      <c r="AP193" s="143"/>
      <c r="AQ193" s="144"/>
    </row>
    <row r="194" spans="2:43" x14ac:dyDescent="0.15">
      <c r="B194" s="73" t="s">
        <v>73</v>
      </c>
      <c r="C194" s="145"/>
      <c r="D194" s="145"/>
      <c r="E194" s="145"/>
      <c r="F194" s="145"/>
      <c r="G194" s="145"/>
      <c r="H194" s="145"/>
      <c r="I194" s="145"/>
      <c r="J194" s="145"/>
      <c r="K194" s="145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3"/>
      <c r="AF194" s="142"/>
      <c r="AG194" s="143"/>
      <c r="AH194" s="142"/>
      <c r="AI194" s="143"/>
      <c r="AJ194" s="143"/>
      <c r="AK194" s="143"/>
      <c r="AL194" s="143"/>
      <c r="AM194" s="143"/>
      <c r="AN194" s="143"/>
      <c r="AO194" s="143"/>
      <c r="AP194" s="143"/>
      <c r="AQ194" s="144"/>
    </row>
    <row r="195" spans="2:43" x14ac:dyDescent="0.15">
      <c r="B195" s="73"/>
      <c r="C195" s="149"/>
      <c r="D195" s="149"/>
      <c r="E195" s="149"/>
      <c r="F195" s="149"/>
      <c r="G195" s="149"/>
      <c r="H195" s="149"/>
      <c r="I195" s="149"/>
      <c r="J195" s="149"/>
      <c r="K195" s="149"/>
      <c r="L195" s="157"/>
      <c r="M195" s="157"/>
      <c r="N195" s="157"/>
      <c r="O195" s="157"/>
      <c r="P195" s="158"/>
      <c r="Q195" s="158"/>
      <c r="R195" s="158"/>
      <c r="S195" s="158"/>
      <c r="T195" s="158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60"/>
    </row>
    <row r="196" spans="2:43" x14ac:dyDescent="0.15">
      <c r="B196" s="75" t="str">
        <f>'WireDip-01'!AF27</f>
        <v xml:space="preserve">25-USER Reg. </v>
      </c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6"/>
      <c r="Q196" s="146"/>
      <c r="R196" s="146"/>
      <c r="S196" s="146"/>
      <c r="T196" s="146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8"/>
    </row>
    <row r="197" spans="2:43" x14ac:dyDescent="0.15">
      <c r="B197" s="73" t="s">
        <v>70</v>
      </c>
      <c r="C197" s="145"/>
      <c r="D197" s="145"/>
      <c r="E197" s="145"/>
      <c r="F197" s="145"/>
      <c r="G197" s="145"/>
      <c r="H197" s="145"/>
      <c r="I197" s="145"/>
      <c r="J197" s="145"/>
      <c r="K197" s="14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7"/>
    </row>
    <row r="198" spans="2:43" x14ac:dyDescent="0.15">
      <c r="B198" s="73" t="s">
        <v>74</v>
      </c>
      <c r="C198" s="145"/>
      <c r="D198" s="145"/>
      <c r="E198" s="145"/>
      <c r="F198" s="145"/>
      <c r="G198" s="145"/>
      <c r="H198" s="145"/>
      <c r="I198" s="145"/>
      <c r="J198" s="145"/>
      <c r="K198" s="145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40"/>
    </row>
    <row r="199" spans="2:43" x14ac:dyDescent="0.15">
      <c r="B199" s="73" t="s">
        <v>71</v>
      </c>
      <c r="C199" s="145"/>
      <c r="D199" s="145"/>
      <c r="E199" s="145"/>
      <c r="F199" s="145"/>
      <c r="G199" s="145"/>
      <c r="H199" s="145"/>
      <c r="I199" s="145"/>
      <c r="J199" s="145"/>
      <c r="K199" s="145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40"/>
    </row>
    <row r="200" spans="2:43" x14ac:dyDescent="0.15">
      <c r="B200" s="73" t="s">
        <v>75</v>
      </c>
      <c r="C200" s="145"/>
      <c r="D200" s="145"/>
      <c r="E200" s="145"/>
      <c r="F200" s="145"/>
      <c r="G200" s="145"/>
      <c r="H200" s="145"/>
      <c r="I200" s="145"/>
      <c r="J200" s="145"/>
      <c r="K200" s="145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4"/>
    </row>
    <row r="201" spans="2:43" x14ac:dyDescent="0.15">
      <c r="B201" s="73" t="s">
        <v>72</v>
      </c>
      <c r="C201" s="145"/>
      <c r="D201" s="145"/>
      <c r="E201" s="145"/>
      <c r="F201" s="145"/>
      <c r="G201" s="145"/>
      <c r="H201" s="145"/>
      <c r="I201" s="145"/>
      <c r="J201" s="145"/>
      <c r="K201" s="145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3"/>
      <c r="AF201" s="142"/>
      <c r="AG201" s="143"/>
      <c r="AH201" s="142"/>
      <c r="AI201" s="143"/>
      <c r="AJ201" s="143"/>
      <c r="AK201" s="143"/>
      <c r="AL201" s="143"/>
      <c r="AM201" s="143"/>
      <c r="AN201" s="143"/>
      <c r="AO201" s="143"/>
      <c r="AP201" s="143"/>
      <c r="AQ201" s="144"/>
    </row>
    <row r="202" spans="2:43" x14ac:dyDescent="0.15">
      <c r="B202" s="73" t="s">
        <v>73</v>
      </c>
      <c r="C202" s="145"/>
      <c r="D202" s="145"/>
      <c r="E202" s="145"/>
      <c r="F202" s="145"/>
      <c r="G202" s="145"/>
      <c r="H202" s="145"/>
      <c r="I202" s="145"/>
      <c r="J202" s="145"/>
      <c r="K202" s="145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3"/>
      <c r="AF202" s="142"/>
      <c r="AG202" s="143"/>
      <c r="AH202" s="142"/>
      <c r="AI202" s="143"/>
      <c r="AJ202" s="143"/>
      <c r="AK202" s="143"/>
      <c r="AL202" s="143"/>
      <c r="AM202" s="143"/>
      <c r="AN202" s="143"/>
      <c r="AO202" s="143"/>
      <c r="AP202" s="143"/>
      <c r="AQ202" s="144"/>
    </row>
    <row r="203" spans="2:43" x14ac:dyDescent="0.15">
      <c r="B203" s="73"/>
      <c r="C203" s="149"/>
      <c r="D203" s="149"/>
      <c r="E203" s="149"/>
      <c r="F203" s="149"/>
      <c r="G203" s="149"/>
      <c r="H203" s="149"/>
      <c r="I203" s="149"/>
      <c r="J203" s="149"/>
      <c r="K203" s="149"/>
      <c r="L203" s="157"/>
      <c r="M203" s="157"/>
      <c r="N203" s="157"/>
      <c r="O203" s="157"/>
      <c r="P203" s="158"/>
      <c r="Q203" s="158"/>
      <c r="R203" s="158"/>
      <c r="S203" s="158"/>
      <c r="T203" s="158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60"/>
    </row>
    <row r="204" spans="2:43" x14ac:dyDescent="0.15">
      <c r="B204" s="75" t="str">
        <f>'WireDip-01'!AF28</f>
        <v xml:space="preserve">26-USER Reg. </v>
      </c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6"/>
      <c r="Q204" s="146"/>
      <c r="R204" s="146"/>
      <c r="S204" s="146"/>
      <c r="T204" s="146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8"/>
    </row>
    <row r="205" spans="2:43" x14ac:dyDescent="0.15">
      <c r="B205" s="73" t="s">
        <v>70</v>
      </c>
      <c r="C205" s="145"/>
      <c r="D205" s="145"/>
      <c r="E205" s="145"/>
      <c r="F205" s="145"/>
      <c r="G205" s="145"/>
      <c r="H205" s="145"/>
      <c r="I205" s="145"/>
      <c r="J205" s="145"/>
      <c r="K205" s="14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7"/>
    </row>
    <row r="206" spans="2:43" x14ac:dyDescent="0.15">
      <c r="B206" s="73" t="s">
        <v>74</v>
      </c>
      <c r="C206" s="145"/>
      <c r="D206" s="145"/>
      <c r="E206" s="145"/>
      <c r="F206" s="145"/>
      <c r="G206" s="145"/>
      <c r="H206" s="145"/>
      <c r="I206" s="145"/>
      <c r="J206" s="145"/>
      <c r="K206" s="145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40"/>
    </row>
    <row r="207" spans="2:43" x14ac:dyDescent="0.15">
      <c r="B207" s="73" t="s">
        <v>71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40"/>
    </row>
    <row r="208" spans="2:43" x14ac:dyDescent="0.15">
      <c r="B208" s="73" t="s">
        <v>75</v>
      </c>
      <c r="C208" s="145"/>
      <c r="D208" s="145"/>
      <c r="E208" s="145"/>
      <c r="F208" s="145"/>
      <c r="G208" s="145"/>
      <c r="H208" s="145"/>
      <c r="I208" s="145"/>
      <c r="J208" s="145"/>
      <c r="K208" s="145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4"/>
    </row>
    <row r="209" spans="2:43" x14ac:dyDescent="0.15">
      <c r="B209" s="73" t="s">
        <v>72</v>
      </c>
      <c r="C209" s="145"/>
      <c r="D209" s="145"/>
      <c r="E209" s="145"/>
      <c r="F209" s="145"/>
      <c r="G209" s="145"/>
      <c r="H209" s="145"/>
      <c r="I209" s="145"/>
      <c r="J209" s="145"/>
      <c r="K209" s="145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3"/>
      <c r="AF209" s="142"/>
      <c r="AG209" s="143"/>
      <c r="AH209" s="142"/>
      <c r="AI209" s="143"/>
      <c r="AJ209" s="143"/>
      <c r="AK209" s="143"/>
      <c r="AL209" s="143"/>
      <c r="AM209" s="143"/>
      <c r="AN209" s="143"/>
      <c r="AO209" s="143"/>
      <c r="AP209" s="143"/>
      <c r="AQ209" s="144"/>
    </row>
    <row r="210" spans="2:43" x14ac:dyDescent="0.15">
      <c r="B210" s="73" t="s">
        <v>73</v>
      </c>
      <c r="C210" s="145"/>
      <c r="D210" s="145"/>
      <c r="E210" s="145"/>
      <c r="F210" s="145"/>
      <c r="G210" s="145"/>
      <c r="H210" s="145"/>
      <c r="I210" s="145"/>
      <c r="J210" s="145"/>
      <c r="K210" s="145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3"/>
      <c r="AF210" s="142"/>
      <c r="AG210" s="143"/>
      <c r="AH210" s="142"/>
      <c r="AI210" s="143"/>
      <c r="AJ210" s="143"/>
      <c r="AK210" s="143"/>
      <c r="AL210" s="143"/>
      <c r="AM210" s="143"/>
      <c r="AN210" s="143"/>
      <c r="AO210" s="143"/>
      <c r="AP210" s="143"/>
      <c r="AQ210" s="144"/>
    </row>
    <row r="211" spans="2:43" x14ac:dyDescent="0.15">
      <c r="B211" s="73"/>
      <c r="C211" s="149"/>
      <c r="D211" s="149"/>
      <c r="E211" s="149"/>
      <c r="F211" s="149"/>
      <c r="G211" s="149"/>
      <c r="H211" s="149"/>
      <c r="I211" s="149"/>
      <c r="J211" s="149"/>
      <c r="K211" s="149"/>
      <c r="L211" s="157"/>
      <c r="M211" s="157"/>
      <c r="N211" s="157"/>
      <c r="O211" s="157"/>
      <c r="P211" s="158"/>
      <c r="Q211" s="158"/>
      <c r="R211" s="158"/>
      <c r="S211" s="158"/>
      <c r="T211" s="158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60"/>
    </row>
    <row r="212" spans="2:43" x14ac:dyDescent="0.15">
      <c r="B212" s="75" t="str">
        <f>'WireDip-01'!AF29</f>
        <v xml:space="preserve">27-USER Reg. </v>
      </c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6"/>
      <c r="Q212" s="146"/>
      <c r="R212" s="146"/>
      <c r="S212" s="146"/>
      <c r="T212" s="146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8"/>
    </row>
    <row r="213" spans="2:43" x14ac:dyDescent="0.15">
      <c r="B213" s="73" t="s">
        <v>70</v>
      </c>
      <c r="C213" s="145"/>
      <c r="D213" s="145"/>
      <c r="E213" s="145"/>
      <c r="F213" s="145"/>
      <c r="G213" s="145"/>
      <c r="H213" s="145"/>
      <c r="I213" s="145"/>
      <c r="J213" s="145"/>
      <c r="K213" s="14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7"/>
    </row>
    <row r="214" spans="2:43" x14ac:dyDescent="0.15">
      <c r="B214" s="73" t="s">
        <v>74</v>
      </c>
      <c r="C214" s="145"/>
      <c r="D214" s="145"/>
      <c r="E214" s="145"/>
      <c r="F214" s="145"/>
      <c r="G214" s="145"/>
      <c r="H214" s="145"/>
      <c r="I214" s="145"/>
      <c r="J214" s="145"/>
      <c r="K214" s="145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40"/>
    </row>
    <row r="215" spans="2:43" x14ac:dyDescent="0.15">
      <c r="B215" s="73" t="s">
        <v>71</v>
      </c>
      <c r="C215" s="145"/>
      <c r="D215" s="145"/>
      <c r="E215" s="145"/>
      <c r="F215" s="145"/>
      <c r="G215" s="145"/>
      <c r="H215" s="145"/>
      <c r="I215" s="145"/>
      <c r="J215" s="145"/>
      <c r="K215" s="145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40"/>
    </row>
    <row r="216" spans="2:43" x14ac:dyDescent="0.15">
      <c r="B216" s="73" t="s">
        <v>75</v>
      </c>
      <c r="C216" s="145"/>
      <c r="D216" s="145"/>
      <c r="E216" s="145"/>
      <c r="F216" s="145"/>
      <c r="G216" s="145"/>
      <c r="H216" s="145"/>
      <c r="I216" s="145"/>
      <c r="J216" s="145"/>
      <c r="K216" s="145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4"/>
    </row>
    <row r="217" spans="2:43" x14ac:dyDescent="0.15">
      <c r="B217" s="73" t="s">
        <v>72</v>
      </c>
      <c r="C217" s="145"/>
      <c r="D217" s="145"/>
      <c r="E217" s="145"/>
      <c r="F217" s="145"/>
      <c r="G217" s="145"/>
      <c r="H217" s="145"/>
      <c r="I217" s="145"/>
      <c r="J217" s="145"/>
      <c r="K217" s="145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3"/>
      <c r="AF217" s="142"/>
      <c r="AG217" s="143"/>
      <c r="AH217" s="142"/>
      <c r="AI217" s="143"/>
      <c r="AJ217" s="143"/>
      <c r="AK217" s="143"/>
      <c r="AL217" s="143"/>
      <c r="AM217" s="143"/>
      <c r="AN217" s="143"/>
      <c r="AO217" s="143"/>
      <c r="AP217" s="143"/>
      <c r="AQ217" s="144"/>
    </row>
    <row r="218" spans="2:43" x14ac:dyDescent="0.15">
      <c r="B218" s="73" t="s">
        <v>73</v>
      </c>
      <c r="C218" s="145"/>
      <c r="D218" s="145"/>
      <c r="E218" s="145"/>
      <c r="F218" s="145"/>
      <c r="G218" s="145"/>
      <c r="H218" s="145"/>
      <c r="I218" s="145"/>
      <c r="J218" s="145"/>
      <c r="K218" s="145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3"/>
      <c r="AF218" s="142"/>
      <c r="AG218" s="143"/>
      <c r="AH218" s="142"/>
      <c r="AI218" s="143"/>
      <c r="AJ218" s="143"/>
      <c r="AK218" s="143"/>
      <c r="AL218" s="143"/>
      <c r="AM218" s="143"/>
      <c r="AN218" s="143"/>
      <c r="AO218" s="143"/>
      <c r="AP218" s="143"/>
      <c r="AQ218" s="144"/>
    </row>
    <row r="219" spans="2:43" x14ac:dyDescent="0.15">
      <c r="B219" s="73"/>
      <c r="C219" s="149"/>
      <c r="D219" s="149"/>
      <c r="E219" s="149"/>
      <c r="F219" s="149"/>
      <c r="G219" s="149"/>
      <c r="H219" s="149"/>
      <c r="I219" s="149"/>
      <c r="J219" s="149"/>
      <c r="K219" s="149"/>
      <c r="L219" s="157"/>
      <c r="M219" s="157"/>
      <c r="N219" s="157"/>
      <c r="O219" s="157"/>
      <c r="P219" s="158"/>
      <c r="Q219" s="158"/>
      <c r="R219" s="158"/>
      <c r="S219" s="158"/>
      <c r="T219" s="158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60"/>
    </row>
    <row r="220" spans="2:43" x14ac:dyDescent="0.15">
      <c r="B220" s="75" t="str">
        <f>'WireDip-01'!AF30</f>
        <v xml:space="preserve">28-USER Reg. </v>
      </c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6"/>
      <c r="Q220" s="146"/>
      <c r="R220" s="146"/>
      <c r="S220" s="146"/>
      <c r="T220" s="146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8"/>
    </row>
    <row r="221" spans="2:43" x14ac:dyDescent="0.15">
      <c r="B221" s="73" t="s">
        <v>70</v>
      </c>
      <c r="C221" s="145"/>
      <c r="D221" s="145"/>
      <c r="E221" s="145"/>
      <c r="F221" s="145"/>
      <c r="G221" s="145"/>
      <c r="H221" s="145"/>
      <c r="I221" s="145"/>
      <c r="J221" s="145"/>
      <c r="K221" s="14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7"/>
    </row>
    <row r="222" spans="2:43" x14ac:dyDescent="0.15">
      <c r="B222" s="73" t="s">
        <v>74</v>
      </c>
      <c r="C222" s="145"/>
      <c r="D222" s="145"/>
      <c r="E222" s="145"/>
      <c r="F222" s="145"/>
      <c r="G222" s="145"/>
      <c r="H222" s="145"/>
      <c r="I222" s="145"/>
      <c r="J222" s="145"/>
      <c r="K222" s="145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40"/>
    </row>
    <row r="223" spans="2:43" x14ac:dyDescent="0.15">
      <c r="B223" s="73" t="s">
        <v>71</v>
      </c>
      <c r="C223" s="145"/>
      <c r="D223" s="145"/>
      <c r="E223" s="145"/>
      <c r="F223" s="145"/>
      <c r="G223" s="145"/>
      <c r="H223" s="145"/>
      <c r="I223" s="145"/>
      <c r="J223" s="145"/>
      <c r="K223" s="145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40"/>
    </row>
    <row r="224" spans="2:43" x14ac:dyDescent="0.15">
      <c r="B224" s="73" t="s">
        <v>75</v>
      </c>
      <c r="C224" s="145"/>
      <c r="D224" s="145"/>
      <c r="E224" s="145"/>
      <c r="F224" s="145"/>
      <c r="G224" s="145"/>
      <c r="H224" s="145"/>
      <c r="I224" s="145"/>
      <c r="J224" s="145"/>
      <c r="K224" s="145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4"/>
    </row>
    <row r="225" spans="2:43" x14ac:dyDescent="0.15">
      <c r="B225" s="73" t="s">
        <v>72</v>
      </c>
      <c r="C225" s="145"/>
      <c r="D225" s="145"/>
      <c r="E225" s="145"/>
      <c r="F225" s="145"/>
      <c r="G225" s="145"/>
      <c r="H225" s="145"/>
      <c r="I225" s="145"/>
      <c r="J225" s="145"/>
      <c r="K225" s="145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3"/>
      <c r="AF225" s="142"/>
      <c r="AG225" s="143"/>
      <c r="AH225" s="142"/>
      <c r="AI225" s="143"/>
      <c r="AJ225" s="143"/>
      <c r="AK225" s="143"/>
      <c r="AL225" s="143"/>
      <c r="AM225" s="143"/>
      <c r="AN225" s="143"/>
      <c r="AO225" s="143"/>
      <c r="AP225" s="143"/>
      <c r="AQ225" s="144"/>
    </row>
    <row r="226" spans="2:43" x14ac:dyDescent="0.15">
      <c r="B226" s="73" t="s">
        <v>73</v>
      </c>
      <c r="C226" s="145"/>
      <c r="D226" s="145"/>
      <c r="E226" s="145"/>
      <c r="F226" s="145"/>
      <c r="G226" s="145"/>
      <c r="H226" s="145"/>
      <c r="I226" s="145"/>
      <c r="J226" s="145"/>
      <c r="K226" s="145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3"/>
      <c r="AF226" s="142"/>
      <c r="AG226" s="143"/>
      <c r="AH226" s="142"/>
      <c r="AI226" s="143"/>
      <c r="AJ226" s="143"/>
      <c r="AK226" s="143"/>
      <c r="AL226" s="143"/>
      <c r="AM226" s="143"/>
      <c r="AN226" s="143"/>
      <c r="AO226" s="143"/>
      <c r="AP226" s="143"/>
      <c r="AQ226" s="144"/>
    </row>
    <row r="227" spans="2:43" x14ac:dyDescent="0.15">
      <c r="B227" s="73"/>
      <c r="C227" s="149"/>
      <c r="D227" s="149"/>
      <c r="E227" s="149"/>
      <c r="F227" s="149"/>
      <c r="G227" s="149"/>
      <c r="H227" s="149"/>
      <c r="I227" s="149"/>
      <c r="J227" s="149"/>
      <c r="K227" s="149"/>
      <c r="L227" s="157"/>
      <c r="M227" s="157"/>
      <c r="N227" s="157"/>
      <c r="O227" s="157"/>
      <c r="P227" s="158"/>
      <c r="Q227" s="158"/>
      <c r="R227" s="158"/>
      <c r="S227" s="158"/>
      <c r="T227" s="158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60"/>
    </row>
    <row r="228" spans="2:43" x14ac:dyDescent="0.15">
      <c r="B228" s="75" t="str">
        <f>'WireDip-01'!AF31</f>
        <v xml:space="preserve">29-USER Reg. </v>
      </c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6"/>
      <c r="Q228" s="146"/>
      <c r="R228" s="146"/>
      <c r="S228" s="146"/>
      <c r="T228" s="146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8"/>
    </row>
    <row r="229" spans="2:43" x14ac:dyDescent="0.15">
      <c r="B229" s="73" t="s">
        <v>70</v>
      </c>
      <c r="C229" s="145"/>
      <c r="D229" s="145"/>
      <c r="E229" s="145"/>
      <c r="F229" s="145"/>
      <c r="G229" s="145"/>
      <c r="H229" s="145"/>
      <c r="I229" s="145"/>
      <c r="J229" s="145"/>
      <c r="K229" s="14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7"/>
    </row>
    <row r="230" spans="2:43" x14ac:dyDescent="0.15">
      <c r="B230" s="73" t="s">
        <v>74</v>
      </c>
      <c r="C230" s="145"/>
      <c r="D230" s="145"/>
      <c r="E230" s="145"/>
      <c r="F230" s="145"/>
      <c r="G230" s="145"/>
      <c r="H230" s="145"/>
      <c r="I230" s="145"/>
      <c r="J230" s="145"/>
      <c r="K230" s="145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40"/>
    </row>
    <row r="231" spans="2:43" x14ac:dyDescent="0.15">
      <c r="B231" s="73" t="s">
        <v>71</v>
      </c>
      <c r="C231" s="145"/>
      <c r="D231" s="145"/>
      <c r="E231" s="145"/>
      <c r="F231" s="145"/>
      <c r="G231" s="145"/>
      <c r="H231" s="145"/>
      <c r="I231" s="145"/>
      <c r="J231" s="145"/>
      <c r="K231" s="145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40"/>
    </row>
    <row r="232" spans="2:43" x14ac:dyDescent="0.15">
      <c r="B232" s="73" t="s">
        <v>75</v>
      </c>
      <c r="C232" s="145"/>
      <c r="D232" s="145"/>
      <c r="E232" s="145"/>
      <c r="F232" s="145"/>
      <c r="G232" s="145"/>
      <c r="H232" s="145"/>
      <c r="I232" s="145"/>
      <c r="J232" s="145"/>
      <c r="K232" s="145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4"/>
    </row>
    <row r="233" spans="2:43" x14ac:dyDescent="0.15">
      <c r="B233" s="73" t="s">
        <v>72</v>
      </c>
      <c r="C233" s="145"/>
      <c r="D233" s="145"/>
      <c r="E233" s="145"/>
      <c r="F233" s="145"/>
      <c r="G233" s="145"/>
      <c r="H233" s="145"/>
      <c r="I233" s="145"/>
      <c r="J233" s="145"/>
      <c r="K233" s="145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3"/>
      <c r="AF233" s="142"/>
      <c r="AG233" s="143"/>
      <c r="AH233" s="142"/>
      <c r="AI233" s="143"/>
      <c r="AJ233" s="143"/>
      <c r="AK233" s="143"/>
      <c r="AL233" s="143"/>
      <c r="AM233" s="143"/>
      <c r="AN233" s="143"/>
      <c r="AO233" s="143"/>
      <c r="AP233" s="143"/>
      <c r="AQ233" s="144"/>
    </row>
    <row r="234" spans="2:43" x14ac:dyDescent="0.15">
      <c r="B234" s="73" t="s">
        <v>73</v>
      </c>
      <c r="C234" s="145"/>
      <c r="D234" s="145"/>
      <c r="E234" s="145"/>
      <c r="F234" s="145"/>
      <c r="G234" s="145"/>
      <c r="H234" s="145"/>
      <c r="I234" s="145"/>
      <c r="J234" s="145"/>
      <c r="K234" s="145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3"/>
      <c r="AF234" s="142"/>
      <c r="AG234" s="143"/>
      <c r="AH234" s="142"/>
      <c r="AI234" s="143"/>
      <c r="AJ234" s="143"/>
      <c r="AK234" s="143"/>
      <c r="AL234" s="143"/>
      <c r="AM234" s="143"/>
      <c r="AN234" s="143"/>
      <c r="AO234" s="143"/>
      <c r="AP234" s="143"/>
      <c r="AQ234" s="144"/>
    </row>
    <row r="235" spans="2:43" x14ac:dyDescent="0.15">
      <c r="B235" s="73"/>
      <c r="C235" s="149"/>
      <c r="D235" s="149"/>
      <c r="E235" s="149"/>
      <c r="F235" s="149"/>
      <c r="G235" s="149"/>
      <c r="H235" s="149"/>
      <c r="I235" s="149"/>
      <c r="J235" s="149"/>
      <c r="K235" s="149"/>
      <c r="L235" s="157"/>
      <c r="M235" s="157"/>
      <c r="N235" s="157"/>
      <c r="O235" s="157"/>
      <c r="P235" s="158"/>
      <c r="Q235" s="158"/>
      <c r="R235" s="158"/>
      <c r="S235" s="158"/>
      <c r="T235" s="158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60"/>
    </row>
    <row r="236" spans="2:43" x14ac:dyDescent="0.15">
      <c r="B236" s="75" t="str">
        <f>'WireDip-01'!AF32</f>
        <v xml:space="preserve">30-USER Reg. </v>
      </c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6"/>
      <c r="Q236" s="146"/>
      <c r="R236" s="146"/>
      <c r="S236" s="146"/>
      <c r="T236" s="146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8"/>
    </row>
    <row r="237" spans="2:43" x14ac:dyDescent="0.15">
      <c r="B237" s="73" t="s">
        <v>70</v>
      </c>
      <c r="C237" s="145"/>
      <c r="D237" s="145"/>
      <c r="E237" s="145"/>
      <c r="F237" s="145"/>
      <c r="G237" s="145"/>
      <c r="H237" s="145"/>
      <c r="I237" s="145"/>
      <c r="J237" s="145"/>
      <c r="K237" s="14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7"/>
    </row>
    <row r="238" spans="2:43" x14ac:dyDescent="0.15">
      <c r="B238" s="73" t="s">
        <v>74</v>
      </c>
      <c r="C238" s="145"/>
      <c r="D238" s="145"/>
      <c r="E238" s="145"/>
      <c r="F238" s="145"/>
      <c r="G238" s="145"/>
      <c r="H238" s="145"/>
      <c r="I238" s="145"/>
      <c r="J238" s="145"/>
      <c r="K238" s="145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40"/>
    </row>
    <row r="239" spans="2:43" x14ac:dyDescent="0.15">
      <c r="B239" s="73" t="s">
        <v>71</v>
      </c>
      <c r="C239" s="145"/>
      <c r="D239" s="145"/>
      <c r="E239" s="145"/>
      <c r="F239" s="145"/>
      <c r="G239" s="145"/>
      <c r="H239" s="145"/>
      <c r="I239" s="145"/>
      <c r="J239" s="145"/>
      <c r="K239" s="145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40"/>
    </row>
    <row r="240" spans="2:43" x14ac:dyDescent="0.15">
      <c r="B240" s="73" t="s">
        <v>75</v>
      </c>
      <c r="C240" s="145"/>
      <c r="D240" s="145"/>
      <c r="E240" s="145"/>
      <c r="F240" s="145"/>
      <c r="G240" s="145"/>
      <c r="H240" s="145"/>
      <c r="I240" s="145"/>
      <c r="J240" s="145"/>
      <c r="K240" s="145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4"/>
    </row>
    <row r="241" spans="2:43" x14ac:dyDescent="0.15">
      <c r="B241" s="73" t="s">
        <v>72</v>
      </c>
      <c r="C241" s="145"/>
      <c r="D241" s="145"/>
      <c r="E241" s="145"/>
      <c r="F241" s="145"/>
      <c r="G241" s="145"/>
      <c r="H241" s="145"/>
      <c r="I241" s="145"/>
      <c r="J241" s="145"/>
      <c r="K241" s="145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3"/>
      <c r="AF241" s="142"/>
      <c r="AG241" s="143"/>
      <c r="AH241" s="142"/>
      <c r="AI241" s="143"/>
      <c r="AJ241" s="143"/>
      <c r="AK241" s="143"/>
      <c r="AL241" s="143"/>
      <c r="AM241" s="143"/>
      <c r="AN241" s="143"/>
      <c r="AO241" s="143"/>
      <c r="AP241" s="143"/>
      <c r="AQ241" s="144"/>
    </row>
    <row r="242" spans="2:43" x14ac:dyDescent="0.15">
      <c r="B242" s="73" t="s">
        <v>73</v>
      </c>
      <c r="C242" s="145"/>
      <c r="D242" s="145"/>
      <c r="E242" s="145"/>
      <c r="F242" s="145"/>
      <c r="G242" s="145"/>
      <c r="H242" s="145"/>
      <c r="I242" s="145"/>
      <c r="J242" s="145"/>
      <c r="K242" s="145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3"/>
      <c r="AF242" s="142"/>
      <c r="AG242" s="143"/>
      <c r="AH242" s="142"/>
      <c r="AI242" s="143"/>
      <c r="AJ242" s="143"/>
      <c r="AK242" s="143"/>
      <c r="AL242" s="143"/>
      <c r="AM242" s="143"/>
      <c r="AN242" s="143"/>
      <c r="AO242" s="143"/>
      <c r="AP242" s="143"/>
      <c r="AQ242" s="144"/>
    </row>
    <row r="243" spans="2:43" x14ac:dyDescent="0.15">
      <c r="B243" s="73"/>
      <c r="C243" s="149"/>
      <c r="D243" s="149"/>
      <c r="E243" s="149"/>
      <c r="F243" s="149"/>
      <c r="G243" s="149"/>
      <c r="H243" s="149"/>
      <c r="I243" s="149"/>
      <c r="J243" s="149"/>
      <c r="K243" s="149"/>
      <c r="L243" s="157"/>
      <c r="M243" s="157"/>
      <c r="N243" s="157"/>
      <c r="O243" s="157"/>
      <c r="P243" s="158"/>
      <c r="Q243" s="158"/>
      <c r="R243" s="158"/>
      <c r="S243" s="158"/>
      <c r="T243" s="158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60"/>
    </row>
    <row r="244" spans="2:43" x14ac:dyDescent="0.15">
      <c r="B244" s="75" t="str">
        <f>'WireDip-01'!AF33</f>
        <v xml:space="preserve">31-USER Reg. </v>
      </c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6"/>
      <c r="Q244" s="146"/>
      <c r="R244" s="146"/>
      <c r="S244" s="146"/>
      <c r="T244" s="146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8"/>
    </row>
    <row r="245" spans="2:43" x14ac:dyDescent="0.15">
      <c r="B245" s="73" t="s">
        <v>70</v>
      </c>
      <c r="C245" s="145"/>
      <c r="D245" s="145"/>
      <c r="E245" s="145"/>
      <c r="F245" s="145"/>
      <c r="G245" s="145"/>
      <c r="H245" s="145"/>
      <c r="I245" s="145"/>
      <c r="J245" s="145"/>
      <c r="K245" s="14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7"/>
    </row>
    <row r="246" spans="2:43" x14ac:dyDescent="0.15">
      <c r="B246" s="73" t="s">
        <v>74</v>
      </c>
      <c r="C246" s="145"/>
      <c r="D246" s="145"/>
      <c r="E246" s="145"/>
      <c r="F246" s="145"/>
      <c r="G246" s="145"/>
      <c r="H246" s="145"/>
      <c r="I246" s="145"/>
      <c r="J246" s="145"/>
      <c r="K246" s="145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40"/>
    </row>
    <row r="247" spans="2:43" x14ac:dyDescent="0.15">
      <c r="B247" s="73" t="s">
        <v>71</v>
      </c>
      <c r="C247" s="145"/>
      <c r="D247" s="145"/>
      <c r="E247" s="145"/>
      <c r="F247" s="145"/>
      <c r="G247" s="145"/>
      <c r="H247" s="145"/>
      <c r="I247" s="145"/>
      <c r="J247" s="145"/>
      <c r="K247" s="145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40"/>
    </row>
    <row r="248" spans="2:43" x14ac:dyDescent="0.15">
      <c r="B248" s="73" t="s">
        <v>75</v>
      </c>
      <c r="C248" s="145"/>
      <c r="D248" s="145"/>
      <c r="E248" s="145"/>
      <c r="F248" s="145"/>
      <c r="G248" s="145"/>
      <c r="H248" s="145"/>
      <c r="I248" s="145"/>
      <c r="J248" s="145"/>
      <c r="K248" s="145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4"/>
    </row>
    <row r="249" spans="2:43" x14ac:dyDescent="0.15">
      <c r="B249" s="73" t="s">
        <v>72</v>
      </c>
      <c r="C249" s="145"/>
      <c r="D249" s="145"/>
      <c r="E249" s="145"/>
      <c r="F249" s="145"/>
      <c r="G249" s="145"/>
      <c r="H249" s="145"/>
      <c r="I249" s="145"/>
      <c r="J249" s="145"/>
      <c r="K249" s="145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3"/>
      <c r="AF249" s="142"/>
      <c r="AG249" s="143"/>
      <c r="AH249" s="142"/>
      <c r="AI249" s="143"/>
      <c r="AJ249" s="143"/>
      <c r="AK249" s="143"/>
      <c r="AL249" s="143"/>
      <c r="AM249" s="143"/>
      <c r="AN249" s="143"/>
      <c r="AO249" s="143"/>
      <c r="AP249" s="143"/>
      <c r="AQ249" s="144"/>
    </row>
    <row r="250" spans="2:43" x14ac:dyDescent="0.15">
      <c r="B250" s="73" t="s">
        <v>73</v>
      </c>
      <c r="C250" s="145"/>
      <c r="D250" s="145"/>
      <c r="E250" s="145"/>
      <c r="F250" s="145"/>
      <c r="G250" s="145"/>
      <c r="H250" s="145"/>
      <c r="I250" s="145"/>
      <c r="J250" s="145"/>
      <c r="K250" s="145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3"/>
      <c r="AF250" s="142"/>
      <c r="AG250" s="143"/>
      <c r="AH250" s="142"/>
      <c r="AI250" s="143"/>
      <c r="AJ250" s="143"/>
      <c r="AK250" s="143"/>
      <c r="AL250" s="143"/>
      <c r="AM250" s="143"/>
      <c r="AN250" s="143"/>
      <c r="AO250" s="143"/>
      <c r="AP250" s="143"/>
      <c r="AQ250" s="144"/>
    </row>
    <row r="251" spans="2:43" x14ac:dyDescent="0.15">
      <c r="B251" s="73"/>
      <c r="C251" s="149"/>
      <c r="D251" s="149"/>
      <c r="E251" s="149"/>
      <c r="F251" s="149"/>
      <c r="G251" s="149"/>
      <c r="H251" s="149"/>
      <c r="I251" s="149"/>
      <c r="J251" s="149"/>
      <c r="K251" s="149"/>
      <c r="L251" s="157"/>
      <c r="M251" s="157"/>
      <c r="N251" s="157"/>
      <c r="O251" s="157"/>
      <c r="P251" s="158"/>
      <c r="Q251" s="158"/>
      <c r="R251" s="158"/>
      <c r="S251" s="158"/>
      <c r="T251" s="158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60"/>
    </row>
    <row r="252" spans="2:43" x14ac:dyDescent="0.15">
      <c r="B252" s="75" t="str">
        <f>'WireDip-01'!AF34</f>
        <v xml:space="preserve">32-USER Reg. </v>
      </c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6"/>
      <c r="Q252" s="146"/>
      <c r="R252" s="146"/>
      <c r="S252" s="146"/>
      <c r="T252" s="146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8"/>
    </row>
    <row r="253" spans="2:43" x14ac:dyDescent="0.15">
      <c r="B253" s="73" t="s">
        <v>70</v>
      </c>
      <c r="C253" s="145"/>
      <c r="D253" s="145"/>
      <c r="E253" s="145"/>
      <c r="F253" s="145"/>
      <c r="G253" s="145"/>
      <c r="H253" s="145"/>
      <c r="I253" s="145"/>
      <c r="J253" s="145"/>
      <c r="K253" s="14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7"/>
    </row>
    <row r="254" spans="2:43" x14ac:dyDescent="0.15">
      <c r="B254" s="73" t="s">
        <v>74</v>
      </c>
      <c r="C254" s="145"/>
      <c r="D254" s="145"/>
      <c r="E254" s="145"/>
      <c r="F254" s="145"/>
      <c r="G254" s="145"/>
      <c r="H254" s="145"/>
      <c r="I254" s="145"/>
      <c r="J254" s="145"/>
      <c r="K254" s="145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40"/>
    </row>
    <row r="255" spans="2:43" x14ac:dyDescent="0.15">
      <c r="B255" s="73" t="s">
        <v>71</v>
      </c>
      <c r="C255" s="145"/>
      <c r="D255" s="145"/>
      <c r="E255" s="145"/>
      <c r="F255" s="145"/>
      <c r="G255" s="145"/>
      <c r="H255" s="145"/>
      <c r="I255" s="145"/>
      <c r="J255" s="145"/>
      <c r="K255" s="145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40"/>
    </row>
    <row r="256" spans="2:43" x14ac:dyDescent="0.15">
      <c r="B256" s="73" t="s">
        <v>75</v>
      </c>
      <c r="C256" s="145"/>
      <c r="D256" s="145"/>
      <c r="E256" s="145"/>
      <c r="F256" s="145"/>
      <c r="G256" s="145"/>
      <c r="H256" s="145"/>
      <c r="I256" s="145"/>
      <c r="J256" s="145"/>
      <c r="K256" s="145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4"/>
    </row>
    <row r="257" spans="2:43" x14ac:dyDescent="0.15">
      <c r="B257" s="73" t="s">
        <v>72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3"/>
      <c r="AF257" s="142"/>
      <c r="AG257" s="143"/>
      <c r="AH257" s="142"/>
      <c r="AI257" s="143"/>
      <c r="AJ257" s="143"/>
      <c r="AK257" s="143"/>
      <c r="AL257" s="143"/>
      <c r="AM257" s="143"/>
      <c r="AN257" s="143"/>
      <c r="AO257" s="143"/>
      <c r="AP257" s="143"/>
      <c r="AQ257" s="144"/>
    </row>
    <row r="258" spans="2:43" x14ac:dyDescent="0.15">
      <c r="B258" s="73" t="s">
        <v>73</v>
      </c>
      <c r="C258" s="145"/>
      <c r="D258" s="145"/>
      <c r="E258" s="145"/>
      <c r="F258" s="145"/>
      <c r="G258" s="145"/>
      <c r="H258" s="145"/>
      <c r="I258" s="145"/>
      <c r="J258" s="145"/>
      <c r="K258" s="145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F258" s="142"/>
      <c r="AG258" s="143"/>
      <c r="AH258" s="142"/>
      <c r="AI258" s="143"/>
      <c r="AJ258" s="143"/>
      <c r="AK258" s="143"/>
      <c r="AL258" s="143"/>
      <c r="AM258" s="143"/>
      <c r="AN258" s="143"/>
      <c r="AO258" s="143"/>
      <c r="AP258" s="143"/>
      <c r="AQ258" s="144"/>
    </row>
    <row r="259" spans="2:43" x14ac:dyDescent="0.15">
      <c r="B259" s="73"/>
      <c r="C259" s="149"/>
      <c r="D259" s="149"/>
      <c r="E259" s="149"/>
      <c r="F259" s="149"/>
      <c r="G259" s="149"/>
      <c r="H259" s="149"/>
      <c r="I259" s="149"/>
      <c r="J259" s="149"/>
      <c r="K259" s="149"/>
      <c r="L259" s="157"/>
      <c r="M259" s="157"/>
      <c r="N259" s="157"/>
      <c r="O259" s="157"/>
      <c r="P259" s="158"/>
      <c r="Q259" s="158"/>
      <c r="R259" s="158"/>
      <c r="S259" s="158"/>
      <c r="T259" s="158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60"/>
    </row>
    <row r="260" spans="2:43" x14ac:dyDescent="0.15">
      <c r="B260" s="75" t="str">
        <f>'WireDip-01'!AF35</f>
        <v xml:space="preserve">33-USER Reg. </v>
      </c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6"/>
      <c r="Q260" s="146"/>
      <c r="R260" s="146"/>
      <c r="S260" s="146"/>
      <c r="T260" s="146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8"/>
    </row>
    <row r="261" spans="2:43" x14ac:dyDescent="0.15">
      <c r="B261" s="73" t="s">
        <v>70</v>
      </c>
      <c r="C261" s="145"/>
      <c r="D261" s="145"/>
      <c r="E261" s="145"/>
      <c r="F261" s="145"/>
      <c r="G261" s="145"/>
      <c r="H261" s="145"/>
      <c r="I261" s="145"/>
      <c r="J261" s="145"/>
      <c r="K261" s="14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7"/>
    </row>
    <row r="262" spans="2:43" x14ac:dyDescent="0.15">
      <c r="B262" s="73" t="s">
        <v>74</v>
      </c>
      <c r="C262" s="145"/>
      <c r="D262" s="145"/>
      <c r="E262" s="145"/>
      <c r="F262" s="145"/>
      <c r="G262" s="145"/>
      <c r="H262" s="145"/>
      <c r="I262" s="145"/>
      <c r="J262" s="145"/>
      <c r="K262" s="145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40"/>
    </row>
    <row r="263" spans="2:43" x14ac:dyDescent="0.15">
      <c r="B263" s="73" t="s">
        <v>71</v>
      </c>
      <c r="C263" s="145"/>
      <c r="D263" s="145"/>
      <c r="E263" s="145"/>
      <c r="F263" s="145"/>
      <c r="G263" s="145"/>
      <c r="H263" s="145"/>
      <c r="I263" s="145"/>
      <c r="J263" s="145"/>
      <c r="K263" s="145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40"/>
    </row>
    <row r="264" spans="2:43" x14ac:dyDescent="0.15">
      <c r="B264" s="73" t="s">
        <v>75</v>
      </c>
      <c r="C264" s="145"/>
      <c r="D264" s="145"/>
      <c r="E264" s="145"/>
      <c r="F264" s="145"/>
      <c r="G264" s="145"/>
      <c r="H264" s="145"/>
      <c r="I264" s="145"/>
      <c r="J264" s="145"/>
      <c r="K264" s="145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4"/>
    </row>
    <row r="265" spans="2:43" x14ac:dyDescent="0.15">
      <c r="B265" s="73" t="s">
        <v>72</v>
      </c>
      <c r="C265" s="145"/>
      <c r="D265" s="145"/>
      <c r="E265" s="145"/>
      <c r="F265" s="145"/>
      <c r="G265" s="145"/>
      <c r="H265" s="145"/>
      <c r="I265" s="145"/>
      <c r="J265" s="145"/>
      <c r="K265" s="145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3"/>
      <c r="AF265" s="142"/>
      <c r="AG265" s="143"/>
      <c r="AH265" s="142"/>
      <c r="AI265" s="143"/>
      <c r="AJ265" s="143"/>
      <c r="AK265" s="143"/>
      <c r="AL265" s="143"/>
      <c r="AM265" s="143"/>
      <c r="AN265" s="143"/>
      <c r="AO265" s="143"/>
      <c r="AP265" s="143"/>
      <c r="AQ265" s="144"/>
    </row>
    <row r="266" spans="2:43" x14ac:dyDescent="0.15">
      <c r="B266" s="73" t="s">
        <v>73</v>
      </c>
      <c r="C266" s="145"/>
      <c r="D266" s="145"/>
      <c r="E266" s="145"/>
      <c r="F266" s="145"/>
      <c r="G266" s="145"/>
      <c r="H266" s="145"/>
      <c r="I266" s="145"/>
      <c r="J266" s="145"/>
      <c r="K266" s="145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3"/>
      <c r="AF266" s="142"/>
      <c r="AG266" s="143"/>
      <c r="AH266" s="142"/>
      <c r="AI266" s="143"/>
      <c r="AJ266" s="143"/>
      <c r="AK266" s="143"/>
      <c r="AL266" s="143"/>
      <c r="AM266" s="143"/>
      <c r="AN266" s="143"/>
      <c r="AO266" s="143"/>
      <c r="AP266" s="143"/>
      <c r="AQ266" s="144"/>
    </row>
    <row r="267" spans="2:43" x14ac:dyDescent="0.15">
      <c r="B267" s="73"/>
      <c r="C267" s="149"/>
      <c r="D267" s="149"/>
      <c r="E267" s="149"/>
      <c r="F267" s="149"/>
      <c r="G267" s="149"/>
      <c r="H267" s="149"/>
      <c r="I267" s="149"/>
      <c r="J267" s="149"/>
      <c r="K267" s="149"/>
      <c r="L267" s="157"/>
      <c r="M267" s="157"/>
      <c r="N267" s="157"/>
      <c r="O267" s="157"/>
      <c r="P267" s="158"/>
      <c r="Q267" s="158"/>
      <c r="R267" s="158"/>
      <c r="S267" s="158"/>
      <c r="T267" s="158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60"/>
    </row>
    <row r="268" spans="2:43" x14ac:dyDescent="0.15">
      <c r="B268" s="75" t="str">
        <f>'WireDip-01'!AF36</f>
        <v xml:space="preserve">34-USER Reg. </v>
      </c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6"/>
      <c r="Q268" s="146"/>
      <c r="R268" s="146"/>
      <c r="S268" s="146"/>
      <c r="T268" s="146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8"/>
    </row>
    <row r="269" spans="2:43" x14ac:dyDescent="0.15">
      <c r="B269" s="73" t="s">
        <v>70</v>
      </c>
      <c r="C269" s="145"/>
      <c r="D269" s="145"/>
      <c r="E269" s="145"/>
      <c r="F269" s="145"/>
      <c r="G269" s="145"/>
      <c r="H269" s="145"/>
      <c r="I269" s="145"/>
      <c r="J269" s="145"/>
      <c r="K269" s="14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6"/>
      <c r="AF269" s="136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7"/>
    </row>
    <row r="270" spans="2:43" x14ac:dyDescent="0.15">
      <c r="B270" s="73" t="s">
        <v>74</v>
      </c>
      <c r="C270" s="145"/>
      <c r="D270" s="145"/>
      <c r="E270" s="145"/>
      <c r="F270" s="145"/>
      <c r="G270" s="145"/>
      <c r="H270" s="145"/>
      <c r="I270" s="145"/>
      <c r="J270" s="145"/>
      <c r="K270" s="145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40"/>
    </row>
    <row r="271" spans="2:43" x14ac:dyDescent="0.15">
      <c r="B271" s="73" t="s">
        <v>71</v>
      </c>
      <c r="C271" s="145"/>
      <c r="D271" s="145"/>
      <c r="E271" s="145"/>
      <c r="F271" s="145"/>
      <c r="G271" s="145"/>
      <c r="H271" s="145"/>
      <c r="I271" s="145"/>
      <c r="J271" s="145"/>
      <c r="K271" s="145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40"/>
    </row>
    <row r="272" spans="2:43" x14ac:dyDescent="0.15">
      <c r="B272" s="73" t="s">
        <v>75</v>
      </c>
      <c r="C272" s="145"/>
      <c r="D272" s="145"/>
      <c r="E272" s="145"/>
      <c r="F272" s="145"/>
      <c r="G272" s="145"/>
      <c r="H272" s="145"/>
      <c r="I272" s="145"/>
      <c r="J272" s="145"/>
      <c r="K272" s="145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4"/>
    </row>
    <row r="273" spans="2:43" x14ac:dyDescent="0.15">
      <c r="B273" s="73" t="s">
        <v>72</v>
      </c>
      <c r="C273" s="145"/>
      <c r="D273" s="145"/>
      <c r="E273" s="145"/>
      <c r="F273" s="145"/>
      <c r="G273" s="145"/>
      <c r="H273" s="145"/>
      <c r="I273" s="145"/>
      <c r="J273" s="145"/>
      <c r="K273" s="145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3"/>
      <c r="AF273" s="142"/>
      <c r="AG273" s="143"/>
      <c r="AH273" s="142"/>
      <c r="AI273" s="143"/>
      <c r="AJ273" s="143"/>
      <c r="AK273" s="143"/>
      <c r="AL273" s="143"/>
      <c r="AM273" s="143"/>
      <c r="AN273" s="143"/>
      <c r="AO273" s="143"/>
      <c r="AP273" s="143"/>
      <c r="AQ273" s="144"/>
    </row>
    <row r="274" spans="2:43" x14ac:dyDescent="0.15">
      <c r="B274" s="73" t="s">
        <v>73</v>
      </c>
      <c r="C274" s="145"/>
      <c r="D274" s="145"/>
      <c r="E274" s="145"/>
      <c r="F274" s="145"/>
      <c r="G274" s="145"/>
      <c r="H274" s="145"/>
      <c r="I274" s="145"/>
      <c r="J274" s="145"/>
      <c r="K274" s="145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3"/>
      <c r="AF274" s="142"/>
      <c r="AG274" s="143"/>
      <c r="AH274" s="142"/>
      <c r="AI274" s="143"/>
      <c r="AJ274" s="143"/>
      <c r="AK274" s="143"/>
      <c r="AL274" s="143"/>
      <c r="AM274" s="143"/>
      <c r="AN274" s="143"/>
      <c r="AO274" s="143"/>
      <c r="AP274" s="143"/>
      <c r="AQ274" s="144"/>
    </row>
    <row r="275" spans="2:43" x14ac:dyDescent="0.15">
      <c r="B275" s="73"/>
      <c r="C275" s="149"/>
      <c r="D275" s="149"/>
      <c r="E275" s="149"/>
      <c r="F275" s="149"/>
      <c r="G275" s="149"/>
      <c r="H275" s="149"/>
      <c r="I275" s="149"/>
      <c r="J275" s="149"/>
      <c r="K275" s="149"/>
      <c r="L275" s="157"/>
      <c r="M275" s="157"/>
      <c r="N275" s="157"/>
      <c r="O275" s="157"/>
      <c r="P275" s="158"/>
      <c r="Q275" s="158"/>
      <c r="R275" s="158"/>
      <c r="S275" s="158"/>
      <c r="T275" s="158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60"/>
    </row>
    <row r="276" spans="2:43" x14ac:dyDescent="0.15">
      <c r="B276" s="75" t="str">
        <f>'WireDip-01'!AF37</f>
        <v xml:space="preserve">35-USER Reg. </v>
      </c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6"/>
      <c r="Q276" s="146"/>
      <c r="R276" s="146"/>
      <c r="S276" s="146"/>
      <c r="T276" s="146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8"/>
    </row>
    <row r="277" spans="2:43" x14ac:dyDescent="0.15">
      <c r="B277" s="73" t="s">
        <v>70</v>
      </c>
      <c r="C277" s="145"/>
      <c r="D277" s="145"/>
      <c r="E277" s="145"/>
      <c r="F277" s="145"/>
      <c r="G277" s="145"/>
      <c r="H277" s="145"/>
      <c r="I277" s="145"/>
      <c r="J277" s="145"/>
      <c r="K277" s="14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7"/>
    </row>
    <row r="278" spans="2:43" x14ac:dyDescent="0.15">
      <c r="B278" s="73" t="s">
        <v>74</v>
      </c>
      <c r="C278" s="145"/>
      <c r="D278" s="145"/>
      <c r="E278" s="145"/>
      <c r="F278" s="145"/>
      <c r="G278" s="145"/>
      <c r="H278" s="145"/>
      <c r="I278" s="145"/>
      <c r="J278" s="145"/>
      <c r="K278" s="145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40"/>
    </row>
    <row r="279" spans="2:43" x14ac:dyDescent="0.15">
      <c r="B279" s="73" t="s">
        <v>71</v>
      </c>
      <c r="C279" s="145"/>
      <c r="D279" s="145"/>
      <c r="E279" s="145"/>
      <c r="F279" s="145"/>
      <c r="G279" s="145"/>
      <c r="H279" s="145"/>
      <c r="I279" s="145"/>
      <c r="J279" s="145"/>
      <c r="K279" s="145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40"/>
    </row>
    <row r="280" spans="2:43" x14ac:dyDescent="0.15">
      <c r="B280" s="73" t="s">
        <v>75</v>
      </c>
      <c r="C280" s="145"/>
      <c r="D280" s="145"/>
      <c r="E280" s="145"/>
      <c r="F280" s="145"/>
      <c r="G280" s="145"/>
      <c r="H280" s="145"/>
      <c r="I280" s="145"/>
      <c r="J280" s="145"/>
      <c r="K280" s="145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4"/>
    </row>
    <row r="281" spans="2:43" x14ac:dyDescent="0.15">
      <c r="B281" s="73" t="s">
        <v>72</v>
      </c>
      <c r="C281" s="145"/>
      <c r="D281" s="145"/>
      <c r="E281" s="145"/>
      <c r="F281" s="145"/>
      <c r="G281" s="145"/>
      <c r="H281" s="145"/>
      <c r="I281" s="145"/>
      <c r="J281" s="145"/>
      <c r="K281" s="145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3"/>
      <c r="AF281" s="142"/>
      <c r="AG281" s="143"/>
      <c r="AH281" s="142"/>
      <c r="AI281" s="143"/>
      <c r="AJ281" s="143"/>
      <c r="AK281" s="143"/>
      <c r="AL281" s="143"/>
      <c r="AM281" s="143"/>
      <c r="AN281" s="143"/>
      <c r="AO281" s="143"/>
      <c r="AP281" s="143"/>
      <c r="AQ281" s="144"/>
    </row>
    <row r="282" spans="2:43" x14ac:dyDescent="0.15">
      <c r="B282" s="73" t="s">
        <v>73</v>
      </c>
      <c r="C282" s="145"/>
      <c r="D282" s="145"/>
      <c r="E282" s="145"/>
      <c r="F282" s="145"/>
      <c r="G282" s="145"/>
      <c r="H282" s="145"/>
      <c r="I282" s="145"/>
      <c r="J282" s="145"/>
      <c r="K282" s="145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3"/>
      <c r="AF282" s="142"/>
      <c r="AG282" s="143"/>
      <c r="AH282" s="142"/>
      <c r="AI282" s="143"/>
      <c r="AJ282" s="143"/>
      <c r="AK282" s="143"/>
      <c r="AL282" s="143"/>
      <c r="AM282" s="143"/>
      <c r="AN282" s="143"/>
      <c r="AO282" s="143"/>
      <c r="AP282" s="143"/>
      <c r="AQ282" s="144"/>
    </row>
    <row r="283" spans="2:43" x14ac:dyDescent="0.15">
      <c r="B283" s="73"/>
      <c r="C283" s="149"/>
      <c r="D283" s="149"/>
      <c r="E283" s="149"/>
      <c r="F283" s="149"/>
      <c r="G283" s="149"/>
      <c r="H283" s="149"/>
      <c r="I283" s="149"/>
      <c r="J283" s="149"/>
      <c r="K283" s="149"/>
      <c r="L283" s="157"/>
      <c r="M283" s="157"/>
      <c r="N283" s="157"/>
      <c r="O283" s="157"/>
      <c r="P283" s="158"/>
      <c r="Q283" s="158"/>
      <c r="R283" s="158"/>
      <c r="S283" s="158"/>
      <c r="T283" s="158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60"/>
    </row>
    <row r="284" spans="2:43" x14ac:dyDescent="0.15">
      <c r="B284" s="75" t="str">
        <f>'WireDip-01'!AF38</f>
        <v xml:space="preserve">36-USER Reg. </v>
      </c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6"/>
      <c r="Q284" s="146"/>
      <c r="R284" s="146"/>
      <c r="S284" s="146"/>
      <c r="T284" s="146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8"/>
    </row>
    <row r="285" spans="2:43" x14ac:dyDescent="0.15">
      <c r="B285" s="73" t="s">
        <v>70</v>
      </c>
      <c r="C285" s="145"/>
      <c r="D285" s="145"/>
      <c r="E285" s="145"/>
      <c r="F285" s="145"/>
      <c r="G285" s="145"/>
      <c r="H285" s="145"/>
      <c r="I285" s="145"/>
      <c r="J285" s="145"/>
      <c r="K285" s="14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6"/>
      <c r="AF285" s="136"/>
      <c r="AG285" s="136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7"/>
    </row>
    <row r="286" spans="2:43" x14ac:dyDescent="0.15">
      <c r="B286" s="73" t="s">
        <v>74</v>
      </c>
      <c r="C286" s="145"/>
      <c r="D286" s="145"/>
      <c r="E286" s="145"/>
      <c r="F286" s="145"/>
      <c r="G286" s="145"/>
      <c r="H286" s="145"/>
      <c r="I286" s="145"/>
      <c r="J286" s="145"/>
      <c r="K286" s="145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40"/>
    </row>
    <row r="287" spans="2:43" x14ac:dyDescent="0.15">
      <c r="B287" s="73" t="s">
        <v>71</v>
      </c>
      <c r="C287" s="145"/>
      <c r="D287" s="145"/>
      <c r="E287" s="145"/>
      <c r="F287" s="145"/>
      <c r="G287" s="145"/>
      <c r="H287" s="145"/>
      <c r="I287" s="145"/>
      <c r="J287" s="145"/>
      <c r="K287" s="145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40"/>
    </row>
    <row r="288" spans="2:43" x14ac:dyDescent="0.15">
      <c r="B288" s="73" t="s">
        <v>75</v>
      </c>
      <c r="C288" s="145"/>
      <c r="D288" s="145"/>
      <c r="E288" s="145"/>
      <c r="F288" s="145"/>
      <c r="G288" s="145"/>
      <c r="H288" s="145"/>
      <c r="I288" s="145"/>
      <c r="J288" s="145"/>
      <c r="K288" s="145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4"/>
    </row>
    <row r="289" spans="2:43" x14ac:dyDescent="0.15">
      <c r="B289" s="73" t="s">
        <v>72</v>
      </c>
      <c r="C289" s="145"/>
      <c r="D289" s="145"/>
      <c r="E289" s="145"/>
      <c r="F289" s="145"/>
      <c r="G289" s="145"/>
      <c r="H289" s="145"/>
      <c r="I289" s="145"/>
      <c r="J289" s="145"/>
      <c r="K289" s="145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3"/>
      <c r="AF289" s="142"/>
      <c r="AG289" s="143"/>
      <c r="AH289" s="142"/>
      <c r="AI289" s="143"/>
      <c r="AJ289" s="143"/>
      <c r="AK289" s="143"/>
      <c r="AL289" s="143"/>
      <c r="AM289" s="143"/>
      <c r="AN289" s="143"/>
      <c r="AO289" s="143"/>
      <c r="AP289" s="143"/>
      <c r="AQ289" s="144"/>
    </row>
    <row r="290" spans="2:43" x14ac:dyDescent="0.15">
      <c r="B290" s="73" t="s">
        <v>73</v>
      </c>
      <c r="C290" s="145"/>
      <c r="D290" s="145"/>
      <c r="E290" s="145"/>
      <c r="F290" s="145"/>
      <c r="G290" s="145"/>
      <c r="H290" s="145"/>
      <c r="I290" s="145"/>
      <c r="J290" s="145"/>
      <c r="K290" s="145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3"/>
      <c r="AF290" s="142"/>
      <c r="AG290" s="143"/>
      <c r="AH290" s="142"/>
      <c r="AI290" s="143"/>
      <c r="AJ290" s="143"/>
      <c r="AK290" s="143"/>
      <c r="AL290" s="143"/>
      <c r="AM290" s="143"/>
      <c r="AN290" s="143"/>
      <c r="AO290" s="143"/>
      <c r="AP290" s="143"/>
      <c r="AQ290" s="144"/>
    </row>
    <row r="291" spans="2:43" x14ac:dyDescent="0.15">
      <c r="B291" s="73"/>
      <c r="C291" s="149"/>
      <c r="D291" s="149"/>
      <c r="E291" s="149"/>
      <c r="F291" s="149"/>
      <c r="G291" s="149"/>
      <c r="H291" s="149"/>
      <c r="I291" s="149"/>
      <c r="J291" s="149"/>
      <c r="K291" s="149"/>
      <c r="L291" s="157"/>
      <c r="M291" s="157"/>
      <c r="N291" s="157"/>
      <c r="O291" s="157"/>
      <c r="P291" s="158"/>
      <c r="Q291" s="158"/>
      <c r="R291" s="158"/>
      <c r="S291" s="158"/>
      <c r="T291" s="158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60"/>
    </row>
    <row r="292" spans="2:43" x14ac:dyDescent="0.15">
      <c r="B292" s="75" t="str">
        <f>'WireDip-01'!AF39</f>
        <v xml:space="preserve">37-USER Reg. </v>
      </c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6"/>
      <c r="Q292" s="146"/>
      <c r="R292" s="146"/>
      <c r="S292" s="146"/>
      <c r="T292" s="146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8"/>
    </row>
    <row r="293" spans="2:43" x14ac:dyDescent="0.15">
      <c r="B293" s="73" t="s">
        <v>70</v>
      </c>
      <c r="C293" s="145"/>
      <c r="D293" s="145"/>
      <c r="E293" s="145"/>
      <c r="F293" s="145"/>
      <c r="G293" s="145"/>
      <c r="H293" s="145"/>
      <c r="I293" s="145"/>
      <c r="J293" s="145"/>
      <c r="K293" s="14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6"/>
      <c r="AF293" s="136"/>
      <c r="AG293" s="136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7"/>
    </row>
    <row r="294" spans="2:43" x14ac:dyDescent="0.15">
      <c r="B294" s="73" t="s">
        <v>74</v>
      </c>
      <c r="C294" s="145"/>
      <c r="D294" s="145"/>
      <c r="E294" s="145"/>
      <c r="F294" s="145"/>
      <c r="G294" s="145"/>
      <c r="H294" s="145"/>
      <c r="I294" s="145"/>
      <c r="J294" s="145"/>
      <c r="K294" s="145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40"/>
    </row>
    <row r="295" spans="2:43" x14ac:dyDescent="0.15">
      <c r="B295" s="73" t="s">
        <v>71</v>
      </c>
      <c r="C295" s="145"/>
      <c r="D295" s="145"/>
      <c r="E295" s="145"/>
      <c r="F295" s="145"/>
      <c r="G295" s="145"/>
      <c r="H295" s="145"/>
      <c r="I295" s="145"/>
      <c r="J295" s="145"/>
      <c r="K295" s="145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40"/>
    </row>
    <row r="296" spans="2:43" x14ac:dyDescent="0.15">
      <c r="B296" s="73" t="s">
        <v>75</v>
      </c>
      <c r="C296" s="145"/>
      <c r="D296" s="145"/>
      <c r="E296" s="145"/>
      <c r="F296" s="145"/>
      <c r="G296" s="145"/>
      <c r="H296" s="145"/>
      <c r="I296" s="145"/>
      <c r="J296" s="145"/>
      <c r="K296" s="145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4"/>
    </row>
    <row r="297" spans="2:43" x14ac:dyDescent="0.15">
      <c r="B297" s="73" t="s">
        <v>72</v>
      </c>
      <c r="C297" s="145"/>
      <c r="D297" s="145"/>
      <c r="E297" s="145"/>
      <c r="F297" s="145"/>
      <c r="G297" s="145"/>
      <c r="H297" s="145"/>
      <c r="I297" s="145"/>
      <c r="J297" s="145"/>
      <c r="K297" s="145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3"/>
      <c r="AF297" s="142"/>
      <c r="AG297" s="143"/>
      <c r="AH297" s="142"/>
      <c r="AI297" s="143"/>
      <c r="AJ297" s="143"/>
      <c r="AK297" s="143"/>
      <c r="AL297" s="143"/>
      <c r="AM297" s="143"/>
      <c r="AN297" s="143"/>
      <c r="AO297" s="143"/>
      <c r="AP297" s="143"/>
      <c r="AQ297" s="144"/>
    </row>
    <row r="298" spans="2:43" x14ac:dyDescent="0.15">
      <c r="B298" s="73" t="s">
        <v>73</v>
      </c>
      <c r="C298" s="145"/>
      <c r="D298" s="145"/>
      <c r="E298" s="145"/>
      <c r="F298" s="145"/>
      <c r="G298" s="145"/>
      <c r="H298" s="145"/>
      <c r="I298" s="145"/>
      <c r="J298" s="145"/>
      <c r="K298" s="145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3"/>
      <c r="AF298" s="142"/>
      <c r="AG298" s="143"/>
      <c r="AH298" s="142"/>
      <c r="AI298" s="143"/>
      <c r="AJ298" s="143"/>
      <c r="AK298" s="143"/>
      <c r="AL298" s="143"/>
      <c r="AM298" s="143"/>
      <c r="AN298" s="143"/>
      <c r="AO298" s="143"/>
      <c r="AP298" s="143"/>
      <c r="AQ298" s="144"/>
    </row>
    <row r="299" spans="2:43" x14ac:dyDescent="0.15">
      <c r="B299" s="73"/>
      <c r="C299" s="149"/>
      <c r="D299" s="149"/>
      <c r="E299" s="149"/>
      <c r="F299" s="149"/>
      <c r="G299" s="149"/>
      <c r="H299" s="149"/>
      <c r="I299" s="149"/>
      <c r="J299" s="149"/>
      <c r="K299" s="149"/>
      <c r="L299" s="157"/>
      <c r="M299" s="157"/>
      <c r="N299" s="157"/>
      <c r="O299" s="157"/>
      <c r="P299" s="158"/>
      <c r="Q299" s="158"/>
      <c r="R299" s="158"/>
      <c r="S299" s="158"/>
      <c r="T299" s="158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60"/>
    </row>
    <row r="300" spans="2:43" x14ac:dyDescent="0.15">
      <c r="B300" s="75" t="str">
        <f>'WireDip-01'!AF40</f>
        <v xml:space="preserve">38-USER Reg. </v>
      </c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6"/>
      <c r="Q300" s="146"/>
      <c r="R300" s="146"/>
      <c r="S300" s="146"/>
      <c r="T300" s="146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8"/>
    </row>
    <row r="301" spans="2:43" x14ac:dyDescent="0.15">
      <c r="B301" s="73" t="s">
        <v>70</v>
      </c>
      <c r="C301" s="145"/>
      <c r="D301" s="145"/>
      <c r="E301" s="145"/>
      <c r="F301" s="145"/>
      <c r="G301" s="145"/>
      <c r="H301" s="145"/>
      <c r="I301" s="145"/>
      <c r="J301" s="145"/>
      <c r="K301" s="14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6"/>
      <c r="AF301" s="136"/>
      <c r="AG301" s="136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7"/>
    </row>
    <row r="302" spans="2:43" x14ac:dyDescent="0.15">
      <c r="B302" s="73" t="s">
        <v>74</v>
      </c>
      <c r="C302" s="145"/>
      <c r="D302" s="145"/>
      <c r="E302" s="145"/>
      <c r="F302" s="145"/>
      <c r="G302" s="145"/>
      <c r="H302" s="145"/>
      <c r="I302" s="145"/>
      <c r="J302" s="145"/>
      <c r="K302" s="145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40"/>
    </row>
    <row r="303" spans="2:43" x14ac:dyDescent="0.15">
      <c r="B303" s="73" t="s">
        <v>71</v>
      </c>
      <c r="C303" s="145"/>
      <c r="D303" s="145"/>
      <c r="E303" s="145"/>
      <c r="F303" s="145"/>
      <c r="G303" s="145"/>
      <c r="H303" s="145"/>
      <c r="I303" s="145"/>
      <c r="J303" s="145"/>
      <c r="K303" s="145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40"/>
    </row>
    <row r="304" spans="2:43" x14ac:dyDescent="0.15">
      <c r="B304" s="73" t="s">
        <v>75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4"/>
    </row>
    <row r="305" spans="2:43" x14ac:dyDescent="0.15">
      <c r="B305" s="73" t="s">
        <v>72</v>
      </c>
      <c r="C305" s="145"/>
      <c r="D305" s="145"/>
      <c r="E305" s="145"/>
      <c r="F305" s="145"/>
      <c r="G305" s="145"/>
      <c r="H305" s="145"/>
      <c r="I305" s="145"/>
      <c r="J305" s="145"/>
      <c r="K305" s="145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3"/>
      <c r="AF305" s="142"/>
      <c r="AG305" s="143"/>
      <c r="AH305" s="142"/>
      <c r="AI305" s="143"/>
      <c r="AJ305" s="143"/>
      <c r="AK305" s="143"/>
      <c r="AL305" s="143"/>
      <c r="AM305" s="143"/>
      <c r="AN305" s="143"/>
      <c r="AO305" s="143"/>
      <c r="AP305" s="143"/>
      <c r="AQ305" s="144"/>
    </row>
    <row r="306" spans="2:43" x14ac:dyDescent="0.15">
      <c r="B306" s="73" t="s">
        <v>73</v>
      </c>
      <c r="C306" s="145"/>
      <c r="D306" s="145"/>
      <c r="E306" s="145"/>
      <c r="F306" s="145"/>
      <c r="G306" s="145"/>
      <c r="H306" s="145"/>
      <c r="I306" s="145"/>
      <c r="J306" s="145"/>
      <c r="K306" s="145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3"/>
      <c r="AF306" s="142"/>
      <c r="AG306" s="143"/>
      <c r="AH306" s="142"/>
      <c r="AI306" s="143"/>
      <c r="AJ306" s="143"/>
      <c r="AK306" s="143"/>
      <c r="AL306" s="143"/>
      <c r="AM306" s="143"/>
      <c r="AN306" s="143"/>
      <c r="AO306" s="143"/>
      <c r="AP306" s="143"/>
      <c r="AQ306" s="144"/>
    </row>
    <row r="307" spans="2:43" x14ac:dyDescent="0.15">
      <c r="B307" s="73"/>
      <c r="C307" s="149"/>
      <c r="D307" s="149"/>
      <c r="E307" s="149"/>
      <c r="F307" s="149"/>
      <c r="G307" s="149"/>
      <c r="H307" s="149"/>
      <c r="I307" s="149"/>
      <c r="J307" s="149"/>
      <c r="K307" s="149"/>
      <c r="L307" s="157"/>
      <c r="M307" s="157"/>
      <c r="N307" s="157"/>
      <c r="O307" s="157"/>
      <c r="P307" s="158"/>
      <c r="Q307" s="158"/>
      <c r="R307" s="158"/>
      <c r="S307" s="158"/>
      <c r="T307" s="158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60"/>
    </row>
    <row r="308" spans="2:43" x14ac:dyDescent="0.15">
      <c r="B308" s="75" t="str">
        <f>'WireDip-01'!AF41</f>
        <v xml:space="preserve">39-USER Reg. </v>
      </c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6"/>
      <c r="Q308" s="146"/>
      <c r="R308" s="146"/>
      <c r="S308" s="146"/>
      <c r="T308" s="146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8"/>
    </row>
    <row r="309" spans="2:43" x14ac:dyDescent="0.15">
      <c r="B309" s="73" t="s">
        <v>70</v>
      </c>
      <c r="C309" s="145"/>
      <c r="D309" s="145"/>
      <c r="E309" s="145"/>
      <c r="F309" s="145"/>
      <c r="G309" s="145"/>
      <c r="H309" s="145"/>
      <c r="I309" s="145"/>
      <c r="J309" s="145"/>
      <c r="K309" s="14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6"/>
      <c r="AF309" s="136"/>
      <c r="AG309" s="136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7"/>
    </row>
    <row r="310" spans="2:43" x14ac:dyDescent="0.15">
      <c r="B310" s="73" t="s">
        <v>74</v>
      </c>
      <c r="C310" s="145"/>
      <c r="D310" s="145"/>
      <c r="E310" s="145"/>
      <c r="F310" s="145"/>
      <c r="G310" s="145"/>
      <c r="H310" s="145"/>
      <c r="I310" s="145"/>
      <c r="J310" s="145"/>
      <c r="K310" s="145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40"/>
    </row>
    <row r="311" spans="2:43" x14ac:dyDescent="0.15">
      <c r="B311" s="73" t="s">
        <v>71</v>
      </c>
      <c r="C311" s="145"/>
      <c r="D311" s="145"/>
      <c r="E311" s="145"/>
      <c r="F311" s="145"/>
      <c r="G311" s="145"/>
      <c r="H311" s="145"/>
      <c r="I311" s="145"/>
      <c r="J311" s="145"/>
      <c r="K311" s="145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40"/>
    </row>
    <row r="312" spans="2:43" x14ac:dyDescent="0.15">
      <c r="B312" s="73" t="s">
        <v>75</v>
      </c>
      <c r="C312" s="145"/>
      <c r="D312" s="145"/>
      <c r="E312" s="145"/>
      <c r="F312" s="145"/>
      <c r="G312" s="145"/>
      <c r="H312" s="145"/>
      <c r="I312" s="145"/>
      <c r="J312" s="145"/>
      <c r="K312" s="145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4"/>
    </row>
    <row r="313" spans="2:43" x14ac:dyDescent="0.15">
      <c r="B313" s="73" t="s">
        <v>72</v>
      </c>
      <c r="C313" s="145"/>
      <c r="D313" s="145"/>
      <c r="E313" s="145"/>
      <c r="F313" s="145"/>
      <c r="G313" s="145"/>
      <c r="H313" s="145"/>
      <c r="I313" s="145"/>
      <c r="J313" s="145"/>
      <c r="K313" s="145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3"/>
      <c r="AF313" s="142"/>
      <c r="AG313" s="143"/>
      <c r="AH313" s="142"/>
      <c r="AI313" s="143"/>
      <c r="AJ313" s="143"/>
      <c r="AK313" s="143"/>
      <c r="AL313" s="143"/>
      <c r="AM313" s="143"/>
      <c r="AN313" s="143"/>
      <c r="AO313" s="143"/>
      <c r="AP313" s="143"/>
      <c r="AQ313" s="144"/>
    </row>
    <row r="314" spans="2:43" x14ac:dyDescent="0.15">
      <c r="B314" s="73" t="s">
        <v>73</v>
      </c>
      <c r="C314" s="145"/>
      <c r="D314" s="145"/>
      <c r="E314" s="145"/>
      <c r="F314" s="145"/>
      <c r="G314" s="145"/>
      <c r="H314" s="145"/>
      <c r="I314" s="145"/>
      <c r="J314" s="145"/>
      <c r="K314" s="145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3"/>
      <c r="AF314" s="142"/>
      <c r="AG314" s="143"/>
      <c r="AH314" s="142"/>
      <c r="AI314" s="143"/>
      <c r="AJ314" s="143"/>
      <c r="AK314" s="143"/>
      <c r="AL314" s="143"/>
      <c r="AM314" s="143"/>
      <c r="AN314" s="143"/>
      <c r="AO314" s="143"/>
      <c r="AP314" s="143"/>
      <c r="AQ314" s="144"/>
    </row>
    <row r="315" spans="2:43" x14ac:dyDescent="0.15">
      <c r="B315" s="73"/>
      <c r="C315" s="149"/>
      <c r="D315" s="149"/>
      <c r="E315" s="149"/>
      <c r="F315" s="149"/>
      <c r="G315" s="149"/>
      <c r="H315" s="149"/>
      <c r="I315" s="149"/>
      <c r="J315" s="149"/>
      <c r="K315" s="149"/>
      <c r="L315" s="157"/>
      <c r="M315" s="157"/>
      <c r="N315" s="157"/>
      <c r="O315" s="157"/>
      <c r="P315" s="158"/>
      <c r="Q315" s="158"/>
      <c r="R315" s="158"/>
      <c r="S315" s="158"/>
      <c r="T315" s="158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  <c r="AI315" s="159"/>
      <c r="AJ315" s="159"/>
      <c r="AK315" s="159"/>
      <c r="AL315" s="159"/>
      <c r="AM315" s="159"/>
      <c r="AN315" s="159"/>
      <c r="AO315" s="159"/>
      <c r="AP315" s="159"/>
      <c r="AQ315" s="160"/>
    </row>
    <row r="316" spans="2:43" x14ac:dyDescent="0.15">
      <c r="B316" s="73"/>
      <c r="C316" s="149"/>
      <c r="D316" s="149"/>
      <c r="E316" s="149"/>
      <c r="F316" s="149"/>
      <c r="G316" s="149"/>
      <c r="H316" s="149"/>
      <c r="I316" s="149"/>
      <c r="J316" s="149"/>
      <c r="K316" s="149"/>
      <c r="L316" s="157"/>
      <c r="M316" s="157"/>
      <c r="N316" s="157"/>
      <c r="O316" s="157"/>
      <c r="P316" s="158"/>
      <c r="Q316" s="158"/>
      <c r="R316" s="158"/>
      <c r="S316" s="158"/>
      <c r="T316" s="158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60"/>
    </row>
    <row r="317" spans="2:43" x14ac:dyDescent="0.15">
      <c r="B317" s="73"/>
      <c r="C317" s="149"/>
      <c r="D317" s="149"/>
      <c r="E317" s="149"/>
      <c r="F317" s="149"/>
      <c r="G317" s="149"/>
      <c r="H317" s="149"/>
      <c r="I317" s="149"/>
      <c r="J317" s="149"/>
      <c r="K317" s="149"/>
      <c r="L317" s="157"/>
      <c r="M317" s="157"/>
      <c r="N317" s="157"/>
      <c r="O317" s="157"/>
      <c r="P317" s="158"/>
      <c r="Q317" s="158"/>
      <c r="R317" s="158"/>
      <c r="S317" s="158"/>
      <c r="T317" s="158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  <c r="AI317" s="159"/>
      <c r="AJ317" s="159"/>
      <c r="AK317" s="159"/>
      <c r="AL317" s="159"/>
      <c r="AM317" s="159"/>
      <c r="AN317" s="159"/>
      <c r="AO317" s="159"/>
      <c r="AP317" s="159"/>
      <c r="AQ317" s="160"/>
    </row>
    <row r="318" spans="2:43" x14ac:dyDescent="0.15">
      <c r="B318" s="73"/>
      <c r="C318" s="149"/>
      <c r="D318" s="149"/>
      <c r="E318" s="149"/>
      <c r="F318" s="149"/>
      <c r="G318" s="149"/>
      <c r="H318" s="149"/>
      <c r="I318" s="149"/>
      <c r="J318" s="149"/>
      <c r="K318" s="149"/>
      <c r="L318" s="157"/>
      <c r="M318" s="157"/>
      <c r="N318" s="157"/>
      <c r="O318" s="157"/>
      <c r="P318" s="158"/>
      <c r="Q318" s="158"/>
      <c r="R318" s="158"/>
      <c r="S318" s="158"/>
      <c r="T318" s="158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  <c r="AI318" s="159"/>
      <c r="AJ318" s="159"/>
      <c r="AK318" s="159"/>
      <c r="AL318" s="159"/>
      <c r="AM318" s="159"/>
      <c r="AN318" s="159"/>
      <c r="AO318" s="159"/>
      <c r="AP318" s="159"/>
      <c r="AQ318" s="160"/>
    </row>
    <row r="319" spans="2:43" ht="14.25" thickBot="1" x14ac:dyDescent="0.2">
      <c r="B319" s="76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2"/>
      <c r="Q319" s="162"/>
      <c r="R319" s="162"/>
      <c r="S319" s="162"/>
      <c r="T319" s="162"/>
      <c r="U319" s="163"/>
      <c r="V319" s="163"/>
      <c r="W319" s="163"/>
      <c r="X319" s="163"/>
      <c r="Y319" s="163"/>
      <c r="Z319" s="163"/>
      <c r="AA319" s="163"/>
      <c r="AB319" s="163"/>
      <c r="AC319" s="163"/>
      <c r="AD319" s="163"/>
      <c r="AE319" s="163"/>
      <c r="AF319" s="163"/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4"/>
    </row>
  </sheetData>
  <sheetProtection password="B220" sheet="1" objects="1" scenarios="1" formatCells="0"/>
  <phoneticPr fontId="2"/>
  <pageMargins left="0.39370078740157483" right="0.39370078740157483" top="0.78740157480314965" bottom="0.39370078740157483" header="0" footer="0"/>
  <pageSetup paperSize="8" scale="57" fitToHeight="0" orientation="landscape" r:id="rId1"/>
  <headerFooter alignWithMargins="0"/>
  <rowBreaks count="2" manualBreakCount="2">
    <brk id="107" max="50" man="1"/>
    <brk id="211" max="50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9</vt:i4>
      </vt:variant>
    </vt:vector>
  </HeadingPairs>
  <TitlesOfParts>
    <vt:vector size="16" baseType="lpstr">
      <vt:lpstr>WireDip-01</vt:lpstr>
      <vt:lpstr>WireDip-02</vt:lpstr>
      <vt:lpstr>WireDip-03</vt:lpstr>
      <vt:lpstr>WireDip-04</vt:lpstr>
      <vt:lpstr>WireDip-05</vt:lpstr>
      <vt:lpstr>A4-Total</vt:lpstr>
      <vt:lpstr>DATA</vt:lpstr>
      <vt:lpstr>Ｍ.Ｗｉｒｅ</vt:lpstr>
      <vt:lpstr>'A4-Total'!Print_Area</vt:lpstr>
      <vt:lpstr>DATA!Print_Area</vt:lpstr>
      <vt:lpstr>'WireDip-01'!Print_Area</vt:lpstr>
      <vt:lpstr>'WireDip-02'!Print_Area</vt:lpstr>
      <vt:lpstr>'WireDip-03'!Print_Area</vt:lpstr>
      <vt:lpstr>'WireDip-04'!Print_Area</vt:lpstr>
      <vt:lpstr>'WireDip-05'!Print_Area</vt:lpstr>
      <vt:lpstr>Ｗｉｒｅ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ESE Service</dc:creator>
  <cp:lastModifiedBy>FJ-USER</cp:lastModifiedBy>
  <cp:lastPrinted>2017-05-01T08:13:21Z</cp:lastPrinted>
  <dcterms:created xsi:type="dcterms:W3CDTF">2005-06-11T04:22:14Z</dcterms:created>
  <dcterms:modified xsi:type="dcterms:W3CDTF">2017-11-18T18:13:58Z</dcterms:modified>
</cp:coreProperties>
</file>