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220" lockStructure="1"/>
  <bookViews>
    <workbookView xWindow="105" yWindow="960" windowWidth="20610" windowHeight="11640"/>
  </bookViews>
  <sheets>
    <sheet name="User-VD45e" sheetId="1" r:id="rId1"/>
    <sheet name="UserVD4data-e" sheetId="2" r:id="rId2"/>
  </sheets>
  <externalReferences>
    <externalReference r:id="rId3"/>
  </externalReferences>
  <definedNames>
    <definedName name="ＡＣＧ">'UserVD4data-e'!$G$38:$J$52</definedName>
    <definedName name="ＣＵＳＥＲ" localSheetId="0">'UserVD4data-e'!$Z$27:$AB$44</definedName>
    <definedName name="ＣＵＳＥＲ">'UserVD4data-e'!$Z$27:$AB$44</definedName>
    <definedName name="ＣＶ２３Ｃ" localSheetId="0">'UserVD4data-e'!$V$27:$X$44</definedName>
    <definedName name="ＣＶ２３Ｃ">'UserVD4data-e'!$V$27:$X$44</definedName>
    <definedName name="ＣＶＴ" localSheetId="0">'UserVD4data-e'!$Z$6:$AB$21</definedName>
    <definedName name="ＣＶＴ">'UserVD4data-e'!$Z$6:$AB$21</definedName>
    <definedName name="ＩＶ" localSheetId="0">'UserVD4data-e'!$V$6:$X$21</definedName>
    <definedName name="ＩＶ">'UserVD4data-e'!$V$6:$X$21</definedName>
    <definedName name="_xlnm.Print_Area" localSheetId="0">'User-VD45e'!$D$8:$AL$322</definedName>
    <definedName name="_xlnm.Print_Area" localSheetId="1">'UserVD4data-e'!$A$1:$AC$56</definedName>
    <definedName name="_xlnm.Print_Titles" localSheetId="0">'User-VD45e'!$8:$13</definedName>
    <definedName name="ＵＳＥＲ">'[1]VD2-Data '!$N$6:$Q$23</definedName>
    <definedName name="充電電流３">'[1]VD2-Data '!$D$6:$G$23</definedName>
    <definedName name="充電電流Ｔ">'[1]VD2-Data '!$I$6:$L$23</definedName>
    <definedName name="変１" localSheetId="0">'UserVD4data-e'!$B$4:$T$16</definedName>
    <definedName name="変１">'UserVD4data-e'!$B$4:$T$16</definedName>
    <definedName name="変３" localSheetId="0">'UserVD4data-e'!$B$20:$T$34</definedName>
    <definedName name="変３">'UserVD4data-e'!$B$20:$T$34</definedName>
    <definedName name="変ＵＳＥＲ" localSheetId="0">'UserVD4data-e'!$B$38:$E$52</definedName>
    <definedName name="変ＵＳＥＲ">'UserVD4data-e'!$B$38:$E$52</definedName>
    <definedName name="変圧器">'[1]VD2-Data '!$D$27:$G$41</definedName>
  </definedNames>
  <calcPr calcId="145621"/>
</workbook>
</file>

<file path=xl/calcChain.xml><?xml version="1.0" encoding="utf-8"?>
<calcChain xmlns="http://schemas.openxmlformats.org/spreadsheetml/2006/main">
  <c r="S314" i="1" l="1"/>
  <c r="S315" i="1"/>
  <c r="S316" i="1"/>
  <c r="S317" i="1"/>
  <c r="BA316" i="1"/>
  <c r="AD317" i="1"/>
  <c r="AB317" i="1"/>
  <c r="Z317" i="1"/>
  <c r="X317" i="1"/>
  <c r="L317" i="1"/>
  <c r="S298" i="1"/>
  <c r="S299" i="1"/>
  <c r="S300" i="1"/>
  <c r="S301" i="1"/>
  <c r="S302" i="1"/>
  <c r="S303" i="1"/>
  <c r="S304" i="1"/>
  <c r="S305" i="1"/>
  <c r="S306" i="1"/>
  <c r="S307" i="1"/>
  <c r="S308" i="1"/>
  <c r="S309" i="1"/>
  <c r="S310" i="1"/>
  <c r="BA312" i="1" s="1"/>
  <c r="U310" i="1" s="1"/>
  <c r="S311" i="1"/>
  <c r="S312" i="1"/>
  <c r="S313" i="1"/>
  <c r="AP315" i="1"/>
  <c r="M315" i="1"/>
  <c r="K314" i="1"/>
  <c r="I314" i="1"/>
  <c r="G314" i="1"/>
  <c r="AD313" i="1"/>
  <c r="AB313" i="1"/>
  <c r="Z313" i="1"/>
  <c r="X313" i="1"/>
  <c r="L313" i="1"/>
  <c r="AP311" i="1"/>
  <c r="M311" i="1"/>
  <c r="K310" i="1"/>
  <c r="I310" i="1"/>
  <c r="G310" i="1"/>
  <c r="AD309" i="1"/>
  <c r="AB309" i="1"/>
  <c r="Z309" i="1"/>
  <c r="X309" i="1"/>
  <c r="L309" i="1"/>
  <c r="AP307" i="1"/>
  <c r="M307" i="1"/>
  <c r="K306" i="1"/>
  <c r="I306" i="1"/>
  <c r="G306" i="1"/>
  <c r="AD305" i="1"/>
  <c r="AB305" i="1"/>
  <c r="Z305" i="1"/>
  <c r="X305" i="1"/>
  <c r="L305" i="1"/>
  <c r="AP303" i="1"/>
  <c r="M303" i="1"/>
  <c r="K302" i="1"/>
  <c r="I302" i="1"/>
  <c r="G302" i="1"/>
  <c r="AD301" i="1"/>
  <c r="AB301" i="1"/>
  <c r="Z301" i="1"/>
  <c r="X301" i="1"/>
  <c r="L301" i="1"/>
  <c r="AP299" i="1"/>
  <c r="M299" i="1"/>
  <c r="K298" i="1"/>
  <c r="I298" i="1"/>
  <c r="G298" i="1"/>
  <c r="S294" i="1"/>
  <c r="S295" i="1"/>
  <c r="S296" i="1"/>
  <c r="S297" i="1"/>
  <c r="AD297" i="1"/>
  <c r="AB297" i="1"/>
  <c r="Z297" i="1"/>
  <c r="X297" i="1"/>
  <c r="L297" i="1"/>
  <c r="S258" i="1"/>
  <c r="S259" i="1"/>
  <c r="S260" i="1"/>
  <c r="S261" i="1"/>
  <c r="BA259" i="1" s="1"/>
  <c r="S262" i="1"/>
  <c r="S263" i="1"/>
  <c r="S264" i="1"/>
  <c r="S265" i="1"/>
  <c r="S266" i="1"/>
  <c r="S267" i="1"/>
  <c r="S268" i="1"/>
  <c r="S269" i="1"/>
  <c r="BA268" i="1" s="1"/>
  <c r="U268" i="1" s="1"/>
  <c r="S270" i="1"/>
  <c r="S271" i="1"/>
  <c r="S272" i="1"/>
  <c r="S273" i="1"/>
  <c r="S274" i="1"/>
  <c r="S275" i="1"/>
  <c r="S276" i="1"/>
  <c r="S277" i="1"/>
  <c r="BA277" i="1" s="1"/>
  <c r="S278" i="1"/>
  <c r="S279" i="1"/>
  <c r="S280" i="1"/>
  <c r="S281" i="1"/>
  <c r="S282" i="1"/>
  <c r="S283" i="1"/>
  <c r="S284" i="1"/>
  <c r="S285" i="1"/>
  <c r="S286" i="1"/>
  <c r="S287" i="1"/>
  <c r="S288" i="1"/>
  <c r="S289" i="1"/>
  <c r="BA288" i="1"/>
  <c r="AV288" i="1" s="1"/>
  <c r="S290" i="1"/>
  <c r="S291" i="1"/>
  <c r="BA290" i="1" s="1"/>
  <c r="AN292" i="1" s="1"/>
  <c r="S292" i="1"/>
  <c r="S293" i="1"/>
  <c r="AP295" i="1"/>
  <c r="M295" i="1"/>
  <c r="K294" i="1"/>
  <c r="I294" i="1"/>
  <c r="G294" i="1"/>
  <c r="AD293" i="1"/>
  <c r="AB293" i="1"/>
  <c r="Z293" i="1"/>
  <c r="X293" i="1"/>
  <c r="L293" i="1"/>
  <c r="AP291" i="1"/>
  <c r="M291" i="1"/>
  <c r="K290" i="1"/>
  <c r="I290" i="1"/>
  <c r="G290" i="1"/>
  <c r="AD289" i="1"/>
  <c r="AB289" i="1"/>
  <c r="Z289" i="1"/>
  <c r="X289" i="1"/>
  <c r="L289" i="1"/>
  <c r="AP287" i="1"/>
  <c r="M287" i="1"/>
  <c r="K286" i="1"/>
  <c r="I286" i="1"/>
  <c r="G286" i="1"/>
  <c r="AD285" i="1"/>
  <c r="AB285" i="1"/>
  <c r="Z285" i="1"/>
  <c r="X285" i="1"/>
  <c r="L285" i="1"/>
  <c r="AP283" i="1"/>
  <c r="M283" i="1"/>
  <c r="K282" i="1"/>
  <c r="I282" i="1"/>
  <c r="G282" i="1"/>
  <c r="AD281" i="1"/>
  <c r="AB281" i="1"/>
  <c r="Z281" i="1"/>
  <c r="X281" i="1"/>
  <c r="L281" i="1"/>
  <c r="AP279" i="1"/>
  <c r="M279" i="1"/>
  <c r="K278" i="1"/>
  <c r="I278" i="1"/>
  <c r="G278" i="1"/>
  <c r="AD277" i="1"/>
  <c r="AB277" i="1"/>
  <c r="Z277" i="1"/>
  <c r="X277" i="1"/>
  <c r="L277" i="1"/>
  <c r="AP275" i="1"/>
  <c r="M275" i="1"/>
  <c r="K274" i="1"/>
  <c r="I274" i="1"/>
  <c r="G274" i="1"/>
  <c r="AD273" i="1"/>
  <c r="AB273" i="1"/>
  <c r="Z273" i="1"/>
  <c r="X273" i="1"/>
  <c r="L273" i="1"/>
  <c r="AP271" i="1"/>
  <c r="M271" i="1"/>
  <c r="K270" i="1"/>
  <c r="I270" i="1"/>
  <c r="G270" i="1"/>
  <c r="AD269" i="1"/>
  <c r="AB269" i="1"/>
  <c r="Z269" i="1"/>
  <c r="X269" i="1"/>
  <c r="L269" i="1"/>
  <c r="AP267" i="1"/>
  <c r="M267" i="1"/>
  <c r="K266" i="1"/>
  <c r="I266" i="1"/>
  <c r="G266" i="1"/>
  <c r="AD265" i="1"/>
  <c r="AB265" i="1"/>
  <c r="Z265" i="1"/>
  <c r="X265" i="1"/>
  <c r="L265" i="1"/>
  <c r="AP263" i="1"/>
  <c r="M263" i="1"/>
  <c r="K262" i="1"/>
  <c r="I262" i="1"/>
  <c r="G262" i="1"/>
  <c r="AD261" i="1"/>
  <c r="AB261" i="1"/>
  <c r="Z261" i="1"/>
  <c r="X261" i="1"/>
  <c r="L261" i="1"/>
  <c r="AP259" i="1"/>
  <c r="M259" i="1"/>
  <c r="K258" i="1"/>
  <c r="I258" i="1"/>
  <c r="G258" i="1"/>
  <c r="S254" i="1"/>
  <c r="S255" i="1"/>
  <c r="S256" i="1"/>
  <c r="BA255" i="1" s="1"/>
  <c r="S257" i="1"/>
  <c r="AD257" i="1"/>
  <c r="AB257" i="1"/>
  <c r="Z257" i="1"/>
  <c r="X257" i="1"/>
  <c r="L257" i="1"/>
  <c r="S218" i="1"/>
  <c r="S219" i="1"/>
  <c r="S220" i="1"/>
  <c r="S221" i="1"/>
  <c r="S222" i="1"/>
  <c r="S223" i="1"/>
  <c r="S224" i="1"/>
  <c r="S225" i="1"/>
  <c r="S226" i="1"/>
  <c r="S227" i="1"/>
  <c r="S228" i="1"/>
  <c r="S229" i="1"/>
  <c r="S230" i="1"/>
  <c r="S231" i="1"/>
  <c r="S232" i="1"/>
  <c r="S233" i="1"/>
  <c r="S234" i="1"/>
  <c r="S235" i="1"/>
  <c r="BA234" i="1" s="1"/>
  <c r="S236" i="1"/>
  <c r="S237" i="1"/>
  <c r="S238" i="1"/>
  <c r="S239" i="1"/>
  <c r="S240" i="1"/>
  <c r="S241" i="1"/>
  <c r="S242" i="1"/>
  <c r="S243" i="1"/>
  <c r="BA243" i="1" s="1"/>
  <c r="S244" i="1"/>
  <c r="S245" i="1"/>
  <c r="S246" i="1"/>
  <c r="S247" i="1"/>
  <c r="S248" i="1"/>
  <c r="S249" i="1"/>
  <c r="S250" i="1"/>
  <c r="BA251" i="1" s="1"/>
  <c r="S251" i="1"/>
  <c r="S252" i="1"/>
  <c r="S253" i="1"/>
  <c r="AP255" i="1"/>
  <c r="M255" i="1"/>
  <c r="K254" i="1"/>
  <c r="I254" i="1"/>
  <c r="G254" i="1"/>
  <c r="AD253" i="1"/>
  <c r="AB253" i="1"/>
  <c r="Z253" i="1"/>
  <c r="X253" i="1"/>
  <c r="L253" i="1"/>
  <c r="AP251" i="1"/>
  <c r="M251" i="1"/>
  <c r="K250" i="1"/>
  <c r="I250" i="1"/>
  <c r="G250" i="1"/>
  <c r="AD249" i="1"/>
  <c r="AB249" i="1"/>
  <c r="Z249" i="1"/>
  <c r="X249" i="1"/>
  <c r="L249" i="1"/>
  <c r="AP247" i="1"/>
  <c r="M247" i="1"/>
  <c r="K246" i="1"/>
  <c r="I246" i="1"/>
  <c r="G246" i="1"/>
  <c r="AD245" i="1"/>
  <c r="AB245" i="1"/>
  <c r="Z245" i="1"/>
  <c r="X245" i="1"/>
  <c r="L245" i="1"/>
  <c r="AP243" i="1"/>
  <c r="M243" i="1"/>
  <c r="K242" i="1"/>
  <c r="I242" i="1"/>
  <c r="G242" i="1"/>
  <c r="AD241" i="1"/>
  <c r="AB241" i="1"/>
  <c r="Z241" i="1"/>
  <c r="X241" i="1"/>
  <c r="L241" i="1"/>
  <c r="AP239" i="1"/>
  <c r="M239" i="1"/>
  <c r="K238" i="1"/>
  <c r="I238" i="1"/>
  <c r="G238" i="1"/>
  <c r="AD237" i="1"/>
  <c r="AB237" i="1"/>
  <c r="Z237" i="1"/>
  <c r="X237" i="1"/>
  <c r="L237" i="1"/>
  <c r="AP235" i="1"/>
  <c r="M235" i="1"/>
  <c r="K234" i="1"/>
  <c r="I234" i="1"/>
  <c r="G234" i="1"/>
  <c r="AD233" i="1"/>
  <c r="AB233" i="1"/>
  <c r="Z233" i="1"/>
  <c r="X233" i="1"/>
  <c r="L233" i="1"/>
  <c r="AP231" i="1"/>
  <c r="M231" i="1"/>
  <c r="K230" i="1"/>
  <c r="I230" i="1"/>
  <c r="G230" i="1"/>
  <c r="AD229" i="1"/>
  <c r="AB229" i="1"/>
  <c r="Z229" i="1"/>
  <c r="X229" i="1"/>
  <c r="L229" i="1"/>
  <c r="AP227" i="1"/>
  <c r="M227" i="1"/>
  <c r="K226" i="1"/>
  <c r="I226" i="1"/>
  <c r="G226" i="1"/>
  <c r="AD225" i="1"/>
  <c r="AB225" i="1"/>
  <c r="Z225" i="1"/>
  <c r="X225" i="1"/>
  <c r="L225" i="1"/>
  <c r="AP223" i="1"/>
  <c r="M223" i="1"/>
  <c r="K222" i="1"/>
  <c r="I222" i="1"/>
  <c r="G222" i="1"/>
  <c r="AD221" i="1"/>
  <c r="AB221" i="1"/>
  <c r="Z221" i="1"/>
  <c r="X221" i="1"/>
  <c r="L221" i="1"/>
  <c r="AP219" i="1"/>
  <c r="M219" i="1"/>
  <c r="K218" i="1"/>
  <c r="I218" i="1"/>
  <c r="G218" i="1"/>
  <c r="S214" i="1"/>
  <c r="S215" i="1"/>
  <c r="S216" i="1"/>
  <c r="S217" i="1"/>
  <c r="AD217" i="1"/>
  <c r="AB217" i="1"/>
  <c r="Z217" i="1"/>
  <c r="X217" i="1"/>
  <c r="L217" i="1"/>
  <c r="S178" i="1"/>
  <c r="S179" i="1"/>
  <c r="S180" i="1"/>
  <c r="S181" i="1"/>
  <c r="S182" i="1"/>
  <c r="S183" i="1"/>
  <c r="S184" i="1"/>
  <c r="S185" i="1"/>
  <c r="S186" i="1"/>
  <c r="S187" i="1"/>
  <c r="S188" i="1"/>
  <c r="S189" i="1"/>
  <c r="S190" i="1"/>
  <c r="S191" i="1"/>
  <c r="S192" i="1"/>
  <c r="S193" i="1"/>
  <c r="BA193" i="1" s="1"/>
  <c r="S194" i="1"/>
  <c r="S195" i="1"/>
  <c r="S196" i="1"/>
  <c r="S197" i="1"/>
  <c r="S198" i="1"/>
  <c r="S199" i="1"/>
  <c r="S200" i="1"/>
  <c r="S201" i="1"/>
  <c r="BA200" i="1" s="1"/>
  <c r="S202" i="1"/>
  <c r="S203" i="1"/>
  <c r="S204" i="1"/>
  <c r="S205" i="1"/>
  <c r="S206" i="1"/>
  <c r="S207" i="1"/>
  <c r="S208" i="1"/>
  <c r="S209" i="1"/>
  <c r="S210" i="1"/>
  <c r="S211" i="1"/>
  <c r="S212" i="1"/>
  <c r="BA212" i="1" s="1"/>
  <c r="S213" i="1"/>
  <c r="AP215" i="1"/>
  <c r="M215" i="1"/>
  <c r="K214" i="1"/>
  <c r="I214" i="1"/>
  <c r="G214" i="1"/>
  <c r="AD213" i="1"/>
  <c r="AB213" i="1"/>
  <c r="Z213" i="1"/>
  <c r="X213" i="1"/>
  <c r="L213" i="1"/>
  <c r="AP211" i="1"/>
  <c r="M211" i="1"/>
  <c r="K210" i="1"/>
  <c r="I210" i="1"/>
  <c r="G210" i="1"/>
  <c r="AD209" i="1"/>
  <c r="AB209" i="1"/>
  <c r="Z209" i="1"/>
  <c r="X209" i="1"/>
  <c r="L209" i="1"/>
  <c r="AP207" i="1"/>
  <c r="M207" i="1"/>
  <c r="K206" i="1"/>
  <c r="I206" i="1"/>
  <c r="G206" i="1"/>
  <c r="AD205" i="1"/>
  <c r="AB205" i="1"/>
  <c r="Z205" i="1"/>
  <c r="X205" i="1"/>
  <c r="L205" i="1"/>
  <c r="AP203" i="1"/>
  <c r="M203" i="1"/>
  <c r="K202" i="1"/>
  <c r="I202" i="1"/>
  <c r="G202" i="1"/>
  <c r="AD201" i="1"/>
  <c r="AB201" i="1"/>
  <c r="Z201" i="1"/>
  <c r="X201" i="1"/>
  <c r="L201" i="1"/>
  <c r="AP199" i="1"/>
  <c r="M199" i="1"/>
  <c r="K198" i="1"/>
  <c r="I198" i="1"/>
  <c r="G198" i="1"/>
  <c r="AD197" i="1"/>
  <c r="AB197" i="1"/>
  <c r="Z197" i="1"/>
  <c r="X197" i="1"/>
  <c r="L197" i="1"/>
  <c r="AP195" i="1"/>
  <c r="M195" i="1"/>
  <c r="K194" i="1"/>
  <c r="I194" i="1"/>
  <c r="G194" i="1"/>
  <c r="AD193" i="1"/>
  <c r="AB193" i="1"/>
  <c r="Z193" i="1"/>
  <c r="X193" i="1"/>
  <c r="L193" i="1"/>
  <c r="AP191" i="1"/>
  <c r="M191" i="1"/>
  <c r="K190" i="1"/>
  <c r="I190" i="1"/>
  <c r="G190" i="1"/>
  <c r="AD189" i="1"/>
  <c r="AB189" i="1"/>
  <c r="Z189" i="1"/>
  <c r="X189" i="1"/>
  <c r="L189" i="1"/>
  <c r="AP187" i="1"/>
  <c r="M187" i="1"/>
  <c r="K186" i="1"/>
  <c r="I186" i="1"/>
  <c r="G186" i="1"/>
  <c r="AD185" i="1"/>
  <c r="AB185" i="1"/>
  <c r="Z185" i="1"/>
  <c r="X185" i="1"/>
  <c r="L185" i="1"/>
  <c r="AP183" i="1"/>
  <c r="M183" i="1"/>
  <c r="K182" i="1"/>
  <c r="I182" i="1"/>
  <c r="G182" i="1"/>
  <c r="AD181" i="1"/>
  <c r="AB181" i="1"/>
  <c r="Z181" i="1"/>
  <c r="X181" i="1"/>
  <c r="L181" i="1"/>
  <c r="AP179" i="1"/>
  <c r="M179" i="1"/>
  <c r="K178" i="1"/>
  <c r="I178" i="1"/>
  <c r="G178" i="1"/>
  <c r="S174" i="1"/>
  <c r="S175" i="1"/>
  <c r="S176" i="1"/>
  <c r="S177" i="1"/>
  <c r="AD177" i="1"/>
  <c r="AB177" i="1"/>
  <c r="Z177" i="1"/>
  <c r="X177" i="1"/>
  <c r="L177" i="1"/>
  <c r="S138" i="1"/>
  <c r="S139" i="1"/>
  <c r="S140" i="1"/>
  <c r="BA139" i="1" s="1"/>
  <c r="S141" i="1"/>
  <c r="S142" i="1"/>
  <c r="BA145" i="1" s="1"/>
  <c r="S143" i="1"/>
  <c r="S144" i="1"/>
  <c r="S145" i="1"/>
  <c r="S146" i="1"/>
  <c r="S147" i="1"/>
  <c r="BA147" i="1" s="1"/>
  <c r="S148" i="1"/>
  <c r="S149" i="1"/>
  <c r="S150" i="1"/>
  <c r="S151" i="1"/>
  <c r="S152" i="1"/>
  <c r="S153" i="1"/>
  <c r="S154" i="1"/>
  <c r="S155" i="1"/>
  <c r="BA157" i="1" s="1"/>
  <c r="S156" i="1"/>
  <c r="S157" i="1"/>
  <c r="BA156" i="1"/>
  <c r="S158" i="1"/>
  <c r="BA158" i="1" s="1"/>
  <c r="S159" i="1"/>
  <c r="S160" i="1"/>
  <c r="S161" i="1"/>
  <c r="S162" i="1"/>
  <c r="S163" i="1"/>
  <c r="S164" i="1"/>
  <c r="S165" i="1"/>
  <c r="S166" i="1"/>
  <c r="S167" i="1"/>
  <c r="S168" i="1"/>
  <c r="S169" i="1"/>
  <c r="S170" i="1"/>
  <c r="S171" i="1"/>
  <c r="S172" i="1"/>
  <c r="S173" i="1"/>
  <c r="BA172" i="1" s="1"/>
  <c r="AP175" i="1"/>
  <c r="M175" i="1"/>
  <c r="K174" i="1"/>
  <c r="I174" i="1"/>
  <c r="G174" i="1"/>
  <c r="AD173" i="1"/>
  <c r="AB173" i="1"/>
  <c r="Z173" i="1"/>
  <c r="X173" i="1"/>
  <c r="L173" i="1"/>
  <c r="AP171" i="1"/>
  <c r="M171" i="1"/>
  <c r="K170" i="1"/>
  <c r="I170" i="1"/>
  <c r="G170" i="1"/>
  <c r="AD169" i="1"/>
  <c r="AB169" i="1"/>
  <c r="Z169" i="1"/>
  <c r="X169" i="1"/>
  <c r="L169" i="1"/>
  <c r="AP167" i="1"/>
  <c r="M167" i="1"/>
  <c r="K166" i="1"/>
  <c r="I166" i="1"/>
  <c r="G166" i="1"/>
  <c r="AD165" i="1"/>
  <c r="AB165" i="1"/>
  <c r="Z165" i="1"/>
  <c r="X165" i="1"/>
  <c r="L165" i="1"/>
  <c r="AP163" i="1"/>
  <c r="M163" i="1"/>
  <c r="K162" i="1"/>
  <c r="I162" i="1"/>
  <c r="G162" i="1"/>
  <c r="AD161" i="1"/>
  <c r="AB161" i="1"/>
  <c r="Z161" i="1"/>
  <c r="X161" i="1"/>
  <c r="L161" i="1"/>
  <c r="AP159" i="1"/>
  <c r="M159" i="1"/>
  <c r="K158" i="1"/>
  <c r="I158" i="1"/>
  <c r="G158" i="1"/>
  <c r="AD157" i="1"/>
  <c r="AB157" i="1"/>
  <c r="Z157" i="1"/>
  <c r="X157" i="1"/>
  <c r="L157" i="1"/>
  <c r="AP155" i="1"/>
  <c r="M155" i="1"/>
  <c r="K154" i="1"/>
  <c r="I154" i="1"/>
  <c r="G154" i="1"/>
  <c r="AD153" i="1"/>
  <c r="AB153" i="1"/>
  <c r="Z153" i="1"/>
  <c r="X153" i="1"/>
  <c r="L153" i="1"/>
  <c r="AP151" i="1"/>
  <c r="M151" i="1"/>
  <c r="K150" i="1"/>
  <c r="I150" i="1"/>
  <c r="G150" i="1"/>
  <c r="AD149" i="1"/>
  <c r="AB149" i="1"/>
  <c r="Z149" i="1"/>
  <c r="X149" i="1"/>
  <c r="L149" i="1"/>
  <c r="AP147" i="1"/>
  <c r="M147" i="1"/>
  <c r="K146" i="1"/>
  <c r="I146" i="1"/>
  <c r="G146" i="1"/>
  <c r="AD145" i="1"/>
  <c r="AB145" i="1"/>
  <c r="Z145" i="1"/>
  <c r="X145" i="1"/>
  <c r="L145" i="1"/>
  <c r="AP143" i="1"/>
  <c r="M143" i="1"/>
  <c r="K142" i="1"/>
  <c r="I142" i="1"/>
  <c r="G142" i="1"/>
  <c r="AD141" i="1"/>
  <c r="AB141" i="1"/>
  <c r="Z141" i="1"/>
  <c r="X141" i="1"/>
  <c r="L141" i="1"/>
  <c r="AP139" i="1"/>
  <c r="M139" i="1"/>
  <c r="K138" i="1"/>
  <c r="I138" i="1"/>
  <c r="G138" i="1"/>
  <c r="S134" i="1"/>
  <c r="BA136" i="1" s="1"/>
  <c r="S135" i="1"/>
  <c r="S136" i="1"/>
  <c r="S137" i="1"/>
  <c r="AD137" i="1"/>
  <c r="AB137" i="1"/>
  <c r="Z137" i="1"/>
  <c r="X137" i="1"/>
  <c r="L137" i="1"/>
  <c r="S98" i="1"/>
  <c r="S99" i="1"/>
  <c r="S100" i="1"/>
  <c r="S101" i="1"/>
  <c r="BA100" i="1"/>
  <c r="S102" i="1"/>
  <c r="BA104" i="1" s="1"/>
  <c r="AX102" i="1" s="1"/>
  <c r="AF105" i="1" s="1"/>
  <c r="S103" i="1"/>
  <c r="S104" i="1"/>
  <c r="S105" i="1"/>
  <c r="S106" i="1"/>
  <c r="S107" i="1"/>
  <c r="S108" i="1"/>
  <c r="S109" i="1"/>
  <c r="S110" i="1"/>
  <c r="BA113" i="1" s="1"/>
  <c r="S111" i="1"/>
  <c r="S112" i="1"/>
  <c r="S113" i="1"/>
  <c r="S114" i="1"/>
  <c r="S115" i="1"/>
  <c r="S116" i="1"/>
  <c r="S117" i="1"/>
  <c r="S118" i="1"/>
  <c r="S119" i="1"/>
  <c r="S120" i="1"/>
  <c r="S121" i="1"/>
  <c r="S122" i="1"/>
  <c r="S123" i="1"/>
  <c r="S124" i="1"/>
  <c r="S125" i="1"/>
  <c r="S126" i="1"/>
  <c r="BA126" i="1" s="1"/>
  <c r="S127" i="1"/>
  <c r="S128" i="1"/>
  <c r="S129" i="1"/>
  <c r="S130" i="1"/>
  <c r="S131" i="1"/>
  <c r="S132" i="1"/>
  <c r="S133" i="1"/>
  <c r="AP135" i="1"/>
  <c r="M135" i="1"/>
  <c r="K134" i="1"/>
  <c r="I134" i="1"/>
  <c r="G134" i="1"/>
  <c r="AD133" i="1"/>
  <c r="AB133" i="1"/>
  <c r="Z133" i="1"/>
  <c r="X133" i="1"/>
  <c r="L133" i="1"/>
  <c r="AP131" i="1"/>
  <c r="M131" i="1"/>
  <c r="K130" i="1"/>
  <c r="I130" i="1"/>
  <c r="G130" i="1"/>
  <c r="AD129" i="1"/>
  <c r="AB129" i="1"/>
  <c r="Z129" i="1"/>
  <c r="X129" i="1"/>
  <c r="L129" i="1"/>
  <c r="AP127" i="1"/>
  <c r="M127" i="1"/>
  <c r="K126" i="1"/>
  <c r="I126" i="1"/>
  <c r="G126" i="1"/>
  <c r="AD125" i="1"/>
  <c r="AB125" i="1"/>
  <c r="Z125" i="1"/>
  <c r="X125" i="1"/>
  <c r="L125" i="1"/>
  <c r="AP123" i="1"/>
  <c r="M123" i="1"/>
  <c r="K122" i="1"/>
  <c r="I122" i="1"/>
  <c r="G122" i="1"/>
  <c r="AD121" i="1"/>
  <c r="AB121" i="1"/>
  <c r="Z121" i="1"/>
  <c r="X121" i="1"/>
  <c r="L121" i="1"/>
  <c r="AP119" i="1"/>
  <c r="M119" i="1"/>
  <c r="K118" i="1"/>
  <c r="I118" i="1"/>
  <c r="G118" i="1"/>
  <c r="AD117" i="1"/>
  <c r="AB117" i="1"/>
  <c r="Z117" i="1"/>
  <c r="X117" i="1"/>
  <c r="L117" i="1"/>
  <c r="AP115" i="1"/>
  <c r="M115" i="1"/>
  <c r="K114" i="1"/>
  <c r="I114" i="1"/>
  <c r="G114" i="1"/>
  <c r="AD113" i="1"/>
  <c r="AB113" i="1"/>
  <c r="Z113" i="1"/>
  <c r="X113" i="1"/>
  <c r="L113" i="1"/>
  <c r="AP111" i="1"/>
  <c r="M111" i="1"/>
  <c r="K110" i="1"/>
  <c r="I110" i="1"/>
  <c r="G110" i="1"/>
  <c r="AD109" i="1"/>
  <c r="AB109" i="1"/>
  <c r="Z109" i="1"/>
  <c r="X109" i="1"/>
  <c r="L109" i="1"/>
  <c r="AP107" i="1"/>
  <c r="M107" i="1"/>
  <c r="K106" i="1"/>
  <c r="I106" i="1"/>
  <c r="G106" i="1"/>
  <c r="AD105" i="1"/>
  <c r="AB105" i="1"/>
  <c r="Z105" i="1"/>
  <c r="X105" i="1"/>
  <c r="L105" i="1"/>
  <c r="AP103" i="1"/>
  <c r="M103" i="1"/>
  <c r="K102" i="1"/>
  <c r="I102" i="1"/>
  <c r="G102" i="1"/>
  <c r="AD101" i="1"/>
  <c r="AB101" i="1"/>
  <c r="Z101" i="1"/>
  <c r="X101" i="1"/>
  <c r="L101" i="1"/>
  <c r="AP99" i="1"/>
  <c r="M99" i="1"/>
  <c r="K98" i="1"/>
  <c r="I98" i="1"/>
  <c r="G98" i="1"/>
  <c r="S94" i="1"/>
  <c r="S95" i="1"/>
  <c r="BA95" i="1" s="1"/>
  <c r="S96" i="1"/>
  <c r="S97" i="1"/>
  <c r="AD97" i="1"/>
  <c r="AB97" i="1"/>
  <c r="Z97" i="1"/>
  <c r="X97" i="1"/>
  <c r="L97" i="1"/>
  <c r="S58" i="1"/>
  <c r="S59" i="1"/>
  <c r="S60" i="1"/>
  <c r="S61" i="1"/>
  <c r="BA60" i="1" s="1"/>
  <c r="U61" i="1" s="1"/>
  <c r="S62" i="1"/>
  <c r="S63" i="1"/>
  <c r="BA65" i="1" s="1"/>
  <c r="S64" i="1"/>
  <c r="S65" i="1"/>
  <c r="S66" i="1"/>
  <c r="S67" i="1"/>
  <c r="S68" i="1"/>
  <c r="S69" i="1"/>
  <c r="S70" i="1"/>
  <c r="S71" i="1"/>
  <c r="BA71" i="1" s="1"/>
  <c r="S72" i="1"/>
  <c r="S73" i="1"/>
  <c r="S74" i="1"/>
  <c r="S75" i="1"/>
  <c r="S76" i="1"/>
  <c r="S77" i="1"/>
  <c r="S78" i="1"/>
  <c r="S79" i="1"/>
  <c r="BA81" i="1" s="1"/>
  <c r="S80" i="1"/>
  <c r="S81" i="1"/>
  <c r="S82" i="1"/>
  <c r="S83" i="1"/>
  <c r="S84" i="1"/>
  <c r="S85" i="1"/>
  <c r="S86" i="1"/>
  <c r="BA88" i="1" s="1"/>
  <c r="S87" i="1"/>
  <c r="S88" i="1"/>
  <c r="S89" i="1"/>
  <c r="S90" i="1"/>
  <c r="S91" i="1"/>
  <c r="S92" i="1"/>
  <c r="S93" i="1"/>
  <c r="BA90" i="1" s="1"/>
  <c r="AP95" i="1"/>
  <c r="M95" i="1"/>
  <c r="K94" i="1"/>
  <c r="I94" i="1"/>
  <c r="G94" i="1"/>
  <c r="AD93" i="1"/>
  <c r="AB93" i="1"/>
  <c r="Z93" i="1"/>
  <c r="X93" i="1"/>
  <c r="L93" i="1"/>
  <c r="AP91" i="1"/>
  <c r="M91" i="1"/>
  <c r="K90" i="1"/>
  <c r="I90" i="1"/>
  <c r="G90" i="1"/>
  <c r="AD89" i="1"/>
  <c r="AB89" i="1"/>
  <c r="Z89" i="1"/>
  <c r="X89" i="1"/>
  <c r="L89" i="1"/>
  <c r="AP87" i="1"/>
  <c r="M87" i="1"/>
  <c r="K86" i="1"/>
  <c r="I86" i="1"/>
  <c r="G86" i="1"/>
  <c r="AD85" i="1"/>
  <c r="AB85" i="1"/>
  <c r="Z85" i="1"/>
  <c r="X85" i="1"/>
  <c r="L85" i="1"/>
  <c r="AP83" i="1"/>
  <c r="M83" i="1"/>
  <c r="K82" i="1"/>
  <c r="I82" i="1"/>
  <c r="G82" i="1"/>
  <c r="AD81" i="1"/>
  <c r="AB81" i="1"/>
  <c r="Z81" i="1"/>
  <c r="X81" i="1"/>
  <c r="L81" i="1"/>
  <c r="AP79" i="1"/>
  <c r="M79" i="1"/>
  <c r="K78" i="1"/>
  <c r="I78" i="1"/>
  <c r="G78" i="1"/>
  <c r="AD77" i="1"/>
  <c r="AB77" i="1"/>
  <c r="Z77" i="1"/>
  <c r="X77" i="1"/>
  <c r="L77" i="1"/>
  <c r="AP75" i="1"/>
  <c r="M75" i="1"/>
  <c r="K74" i="1"/>
  <c r="I74" i="1"/>
  <c r="G74" i="1"/>
  <c r="AD73" i="1"/>
  <c r="AB73" i="1"/>
  <c r="Z73" i="1"/>
  <c r="X73" i="1"/>
  <c r="L73" i="1"/>
  <c r="AP71" i="1"/>
  <c r="M71" i="1"/>
  <c r="K70" i="1"/>
  <c r="I70" i="1"/>
  <c r="G70" i="1"/>
  <c r="AD69" i="1"/>
  <c r="AB69" i="1"/>
  <c r="Z69" i="1"/>
  <c r="X69" i="1"/>
  <c r="L69" i="1"/>
  <c r="AP67" i="1"/>
  <c r="M67" i="1"/>
  <c r="K66" i="1"/>
  <c r="I66" i="1"/>
  <c r="G66" i="1"/>
  <c r="AD65" i="1"/>
  <c r="AB65" i="1"/>
  <c r="Z65" i="1"/>
  <c r="X65" i="1"/>
  <c r="L65" i="1"/>
  <c r="AP63" i="1"/>
  <c r="M63" i="1"/>
  <c r="K62" i="1"/>
  <c r="I62" i="1"/>
  <c r="G62" i="1"/>
  <c r="AD61" i="1"/>
  <c r="AB61" i="1"/>
  <c r="Z61" i="1"/>
  <c r="X61" i="1"/>
  <c r="L61" i="1"/>
  <c r="AP59" i="1"/>
  <c r="M59" i="1"/>
  <c r="K58" i="1"/>
  <c r="I58" i="1"/>
  <c r="G58" i="1"/>
  <c r="S54" i="1"/>
  <c r="S55" i="1"/>
  <c r="S56" i="1"/>
  <c r="S57" i="1"/>
  <c r="AD57" i="1"/>
  <c r="AB57" i="1"/>
  <c r="Z57" i="1"/>
  <c r="X57" i="1"/>
  <c r="L57" i="1"/>
  <c r="S18" i="1"/>
  <c r="S19" i="1"/>
  <c r="S20" i="1"/>
  <c r="S21" i="1"/>
  <c r="BA19" i="1" s="1"/>
  <c r="S22" i="1"/>
  <c r="S23" i="1"/>
  <c r="S24" i="1"/>
  <c r="S25" i="1"/>
  <c r="S26" i="1"/>
  <c r="S27" i="1"/>
  <c r="S28" i="1"/>
  <c r="S29" i="1"/>
  <c r="BA29" i="1" s="1"/>
  <c r="S30" i="1"/>
  <c r="BA32" i="1" s="1"/>
  <c r="AV32" i="1" s="1"/>
  <c r="S31" i="1"/>
  <c r="S32" i="1"/>
  <c r="S33" i="1"/>
  <c r="S34" i="1"/>
  <c r="S35" i="1"/>
  <c r="S36" i="1"/>
  <c r="S37" i="1"/>
  <c r="S38" i="1"/>
  <c r="BA39" i="1" s="1"/>
  <c r="S39" i="1"/>
  <c r="S40" i="1"/>
  <c r="S41" i="1"/>
  <c r="S42" i="1"/>
  <c r="S43" i="1"/>
  <c r="S44" i="1"/>
  <c r="S45" i="1"/>
  <c r="S46" i="1"/>
  <c r="BA48" i="1" s="1"/>
  <c r="AV48" i="1" s="1"/>
  <c r="S47" i="1"/>
  <c r="S48" i="1"/>
  <c r="S49" i="1"/>
  <c r="S50" i="1"/>
  <c r="S51" i="1"/>
  <c r="S52" i="1"/>
  <c r="S53" i="1"/>
  <c r="BA52" i="1"/>
  <c r="U50" i="1" s="1"/>
  <c r="AP55" i="1"/>
  <c r="M55" i="1"/>
  <c r="K54" i="1"/>
  <c r="I54" i="1"/>
  <c r="G54" i="1"/>
  <c r="AD53" i="1"/>
  <c r="AB53" i="1"/>
  <c r="Z53" i="1"/>
  <c r="X53" i="1"/>
  <c r="L53" i="1"/>
  <c r="AP51" i="1"/>
  <c r="M51" i="1"/>
  <c r="K50" i="1"/>
  <c r="I50" i="1"/>
  <c r="G50" i="1"/>
  <c r="AD49" i="1"/>
  <c r="AB49" i="1"/>
  <c r="Z49" i="1"/>
  <c r="X49" i="1"/>
  <c r="L49" i="1"/>
  <c r="AP47" i="1"/>
  <c r="M47" i="1"/>
  <c r="K46" i="1"/>
  <c r="I46" i="1"/>
  <c r="G46" i="1"/>
  <c r="AD45" i="1"/>
  <c r="AB45" i="1"/>
  <c r="Z45" i="1"/>
  <c r="X45" i="1"/>
  <c r="L45" i="1"/>
  <c r="AP43" i="1"/>
  <c r="M43" i="1"/>
  <c r="K42" i="1"/>
  <c r="I42" i="1"/>
  <c r="G42" i="1"/>
  <c r="AD41" i="1"/>
  <c r="AB41" i="1"/>
  <c r="Z41" i="1"/>
  <c r="X41" i="1"/>
  <c r="L41" i="1"/>
  <c r="AP39" i="1"/>
  <c r="M39" i="1"/>
  <c r="K38" i="1"/>
  <c r="I38" i="1"/>
  <c r="G38" i="1"/>
  <c r="AD37" i="1"/>
  <c r="AB37" i="1"/>
  <c r="Z37" i="1"/>
  <c r="X37" i="1"/>
  <c r="L37" i="1"/>
  <c r="AP35" i="1"/>
  <c r="M35" i="1"/>
  <c r="K34" i="1"/>
  <c r="I34" i="1"/>
  <c r="G34" i="1"/>
  <c r="AD33" i="1"/>
  <c r="AB33" i="1"/>
  <c r="Z33" i="1"/>
  <c r="X33" i="1"/>
  <c r="L33" i="1"/>
  <c r="AP31" i="1"/>
  <c r="M31" i="1"/>
  <c r="K30" i="1"/>
  <c r="I30" i="1"/>
  <c r="G30" i="1"/>
  <c r="AD29" i="1"/>
  <c r="AB29" i="1"/>
  <c r="Z29" i="1"/>
  <c r="X29" i="1"/>
  <c r="L29" i="1"/>
  <c r="AP27" i="1"/>
  <c r="M27" i="1"/>
  <c r="K26" i="1"/>
  <c r="I26" i="1"/>
  <c r="G26" i="1"/>
  <c r="AD25" i="1"/>
  <c r="AB25" i="1"/>
  <c r="Z25" i="1"/>
  <c r="X25" i="1"/>
  <c r="L25" i="1"/>
  <c r="AP23" i="1"/>
  <c r="M23" i="1"/>
  <c r="K22" i="1"/>
  <c r="I22" i="1"/>
  <c r="G22" i="1"/>
  <c r="AD21" i="1"/>
  <c r="AB21" i="1"/>
  <c r="Z21" i="1"/>
  <c r="X21" i="1"/>
  <c r="L21" i="1"/>
  <c r="AP19" i="1"/>
  <c r="M19" i="1"/>
  <c r="K18" i="1"/>
  <c r="I18" i="1"/>
  <c r="G18" i="1"/>
  <c r="BC314" i="1"/>
  <c r="BC310" i="1"/>
  <c r="BC306" i="1"/>
  <c r="C306" i="1" s="1"/>
  <c r="BC302" i="1"/>
  <c r="BC298" i="1"/>
  <c r="BC294" i="1"/>
  <c r="BC290" i="1"/>
  <c r="BC286" i="1"/>
  <c r="C286" i="1" s="1"/>
  <c r="BC282" i="1"/>
  <c r="BC278" i="1"/>
  <c r="BC274" i="1"/>
  <c r="BC270" i="1"/>
  <c r="BC266" i="1"/>
  <c r="BC262" i="1"/>
  <c r="BC258" i="1"/>
  <c r="BC254" i="1"/>
  <c r="C254" i="1" s="1"/>
  <c r="BC250" i="1"/>
  <c r="BC246" i="1"/>
  <c r="BC242" i="1"/>
  <c r="C242" i="1" s="1"/>
  <c r="BC238" i="1"/>
  <c r="BC234" i="1"/>
  <c r="BC230" i="1"/>
  <c r="C230" i="1" s="1"/>
  <c r="BC226" i="1"/>
  <c r="BC222" i="1"/>
  <c r="C222" i="1" s="1"/>
  <c r="BC218" i="1"/>
  <c r="C218" i="1" s="1"/>
  <c r="BC214" i="1"/>
  <c r="BC210" i="1"/>
  <c r="C210" i="1" s="1"/>
  <c r="BC206" i="1"/>
  <c r="C206" i="1" s="1"/>
  <c r="BC202" i="1"/>
  <c r="BC198" i="1"/>
  <c r="C198" i="1" s="1"/>
  <c r="BC194" i="1"/>
  <c r="BC190" i="1"/>
  <c r="C190" i="1" s="1"/>
  <c r="BC186" i="1"/>
  <c r="BC182" i="1"/>
  <c r="BC178" i="1"/>
  <c r="C178" i="1" s="1"/>
  <c r="BC174" i="1"/>
  <c r="BC170" i="1"/>
  <c r="BC166" i="1"/>
  <c r="C166" i="1" s="1"/>
  <c r="BC162" i="1"/>
  <c r="BC158" i="1"/>
  <c r="C158" i="1" s="1"/>
  <c r="BC154" i="1"/>
  <c r="BC150" i="1"/>
  <c r="BC146" i="1"/>
  <c r="BC142" i="1"/>
  <c r="BC138" i="1"/>
  <c r="BC134" i="1"/>
  <c r="C134" i="1" s="1"/>
  <c r="BC130" i="1"/>
  <c r="BC126" i="1"/>
  <c r="C126" i="1" s="1"/>
  <c r="BC122" i="1"/>
  <c r="BC118" i="1"/>
  <c r="BC114" i="1"/>
  <c r="C114" i="1" s="1"/>
  <c r="BC110" i="1"/>
  <c r="C110" i="1" s="1"/>
  <c r="BC106" i="1"/>
  <c r="BC102" i="1"/>
  <c r="C102" i="1" s="1"/>
  <c r="BC98" i="1"/>
  <c r="BC94" i="1"/>
  <c r="C94" i="1" s="1"/>
  <c r="BC90" i="1"/>
  <c r="BC86" i="1"/>
  <c r="BC82" i="1"/>
  <c r="C82" i="1" s="1"/>
  <c r="BC78" i="1"/>
  <c r="BC74" i="1"/>
  <c r="BC70" i="1"/>
  <c r="C70" i="1" s="1"/>
  <c r="BC66" i="1"/>
  <c r="BC62" i="1"/>
  <c r="BC58" i="1"/>
  <c r="BC54" i="1"/>
  <c r="BC50" i="1"/>
  <c r="BC46" i="1"/>
  <c r="BC42" i="1"/>
  <c r="BC38" i="1"/>
  <c r="BC34" i="1"/>
  <c r="BC30" i="1"/>
  <c r="BC26" i="1"/>
  <c r="BC22" i="1"/>
  <c r="BC18" i="1"/>
  <c r="BD18" i="1"/>
  <c r="BD22" i="1" s="1"/>
  <c r="BB293" i="1"/>
  <c r="AY293" i="1"/>
  <c r="AY291" i="1" s="1"/>
  <c r="AO293" i="1" s="1"/>
  <c r="AW293" i="1" s="1"/>
  <c r="AV212" i="1"/>
  <c r="AU291" i="1"/>
  <c r="AU293" i="1" s="1"/>
  <c r="AR293" i="1"/>
  <c r="BB292" i="1"/>
  <c r="AY292" i="1"/>
  <c r="AY290" i="1" s="1"/>
  <c r="AO292" i="1" s="1"/>
  <c r="AW292" i="1" s="1"/>
  <c r="AY276" i="1"/>
  <c r="AY274" i="1" s="1"/>
  <c r="AO276" i="1" s="1"/>
  <c r="AW276" i="1" s="1"/>
  <c r="AO18" i="1"/>
  <c r="AV18" i="1"/>
  <c r="AY20" i="1"/>
  <c r="AY18" i="1" s="1"/>
  <c r="AO20" i="1" s="1"/>
  <c r="AW20" i="1" s="1"/>
  <c r="AO19" i="1"/>
  <c r="AV19" i="1"/>
  <c r="AY21" i="1"/>
  <c r="AY19" i="1" s="1"/>
  <c r="AO21" i="1" s="1"/>
  <c r="AW21" i="1" s="1"/>
  <c r="AY24" i="1"/>
  <c r="AY25" i="1"/>
  <c r="AY23" i="1" s="1"/>
  <c r="AO25" i="1" s="1"/>
  <c r="AW25" i="1" s="1"/>
  <c r="AU18" i="1"/>
  <c r="AU20" i="1"/>
  <c r="AR18" i="1"/>
  <c r="AU19" i="1"/>
  <c r="AU21" i="1" s="1"/>
  <c r="AR19" i="1"/>
  <c r="AY22" i="1"/>
  <c r="AO24" i="1" s="1"/>
  <c r="AW24" i="1" s="1"/>
  <c r="AY28" i="1"/>
  <c r="AY26" i="1"/>
  <c r="AO28" i="1" s="1"/>
  <c r="AW28" i="1" s="1"/>
  <c r="AY32" i="1"/>
  <c r="AY30" i="1" s="1"/>
  <c r="AO32" i="1"/>
  <c r="AW32" i="1" s="1"/>
  <c r="AY36" i="1"/>
  <c r="AY34" i="1" s="1"/>
  <c r="AO36" i="1" s="1"/>
  <c r="AW36" i="1" s="1"/>
  <c r="AY40" i="1"/>
  <c r="AY38" i="1" s="1"/>
  <c r="AO40" i="1" s="1"/>
  <c r="AW40" i="1" s="1"/>
  <c r="AY44" i="1"/>
  <c r="AY42" i="1" s="1"/>
  <c r="AO44" i="1" s="1"/>
  <c r="AW44" i="1" s="1"/>
  <c r="AY48" i="1"/>
  <c r="AY46" i="1" s="1"/>
  <c r="AO48" i="1" s="1"/>
  <c r="AW48" i="1" s="1"/>
  <c r="AY52" i="1"/>
  <c r="AY50" i="1" s="1"/>
  <c r="AO52" i="1" s="1"/>
  <c r="AW52" i="1" s="1"/>
  <c r="AY56" i="1"/>
  <c r="AY54" i="1" s="1"/>
  <c r="AO56" i="1" s="1"/>
  <c r="AW56" i="1" s="1"/>
  <c r="AY60" i="1"/>
  <c r="AY58" i="1"/>
  <c r="AO60" i="1" s="1"/>
  <c r="AW60" i="1" s="1"/>
  <c r="AY64" i="1"/>
  <c r="AY62" i="1" s="1"/>
  <c r="AO64" i="1" s="1"/>
  <c r="AW64" i="1" s="1"/>
  <c r="AY68" i="1"/>
  <c r="AY66" i="1" s="1"/>
  <c r="AO68" i="1" s="1"/>
  <c r="AW68" i="1" s="1"/>
  <c r="AY72" i="1"/>
  <c r="AY70" i="1" s="1"/>
  <c r="AO72" i="1" s="1"/>
  <c r="AW72" i="1" s="1"/>
  <c r="AY76" i="1"/>
  <c r="AY74" i="1" s="1"/>
  <c r="AO76" i="1" s="1"/>
  <c r="AW76" i="1"/>
  <c r="AY80" i="1"/>
  <c r="AY78" i="1"/>
  <c r="AO80" i="1" s="1"/>
  <c r="AW80" i="1" s="1"/>
  <c r="AY84" i="1"/>
  <c r="AY82" i="1" s="1"/>
  <c r="AO84" i="1" s="1"/>
  <c r="AW84" i="1" s="1"/>
  <c r="AY88" i="1"/>
  <c r="AY86" i="1" s="1"/>
  <c r="AO88" i="1" s="1"/>
  <c r="AW88" i="1" s="1"/>
  <c r="AY92" i="1"/>
  <c r="AY90" i="1" s="1"/>
  <c r="AO92" i="1" s="1"/>
  <c r="AW92" i="1" s="1"/>
  <c r="AY96" i="1"/>
  <c r="AY94" i="1"/>
  <c r="AO96" i="1" s="1"/>
  <c r="AW96" i="1" s="1"/>
  <c r="AY100" i="1"/>
  <c r="AY98" i="1" s="1"/>
  <c r="AO100" i="1"/>
  <c r="AW100" i="1" s="1"/>
  <c r="AY104" i="1"/>
  <c r="AY102" i="1" s="1"/>
  <c r="AO104" i="1" s="1"/>
  <c r="AW104" i="1" s="1"/>
  <c r="AY108" i="1"/>
  <c r="AY106" i="1" s="1"/>
  <c r="AO108" i="1" s="1"/>
  <c r="AW108" i="1" s="1"/>
  <c r="AY112" i="1"/>
  <c r="AY110" i="1" s="1"/>
  <c r="AO112" i="1" s="1"/>
  <c r="AW112" i="1" s="1"/>
  <c r="AY116" i="1"/>
  <c r="AY114" i="1" s="1"/>
  <c r="AO116" i="1" s="1"/>
  <c r="AW116" i="1" s="1"/>
  <c r="AY120" i="1"/>
  <c r="AY118" i="1"/>
  <c r="AO120" i="1"/>
  <c r="AW120" i="1" s="1"/>
  <c r="AY124" i="1"/>
  <c r="AY122" i="1" s="1"/>
  <c r="AO124" i="1" s="1"/>
  <c r="AW124" i="1" s="1"/>
  <c r="AY128" i="1"/>
  <c r="AY126" i="1" s="1"/>
  <c r="AO128" i="1" s="1"/>
  <c r="AW128" i="1" s="1"/>
  <c r="AY132" i="1"/>
  <c r="AY130" i="1" s="1"/>
  <c r="AO132" i="1" s="1"/>
  <c r="AW132" i="1" s="1"/>
  <c r="AY136" i="1"/>
  <c r="AY134" i="1" s="1"/>
  <c r="AO136" i="1" s="1"/>
  <c r="AW136" i="1" s="1"/>
  <c r="AY140" i="1"/>
  <c r="AY138" i="1" s="1"/>
  <c r="AO140" i="1" s="1"/>
  <c r="AW140" i="1" s="1"/>
  <c r="AY144" i="1"/>
  <c r="AY142" i="1" s="1"/>
  <c r="AO144" i="1" s="1"/>
  <c r="AW144" i="1" s="1"/>
  <c r="AY148" i="1"/>
  <c r="AY146" i="1"/>
  <c r="AO148" i="1" s="1"/>
  <c r="AW148" i="1" s="1"/>
  <c r="AY152" i="1"/>
  <c r="AY150" i="1" s="1"/>
  <c r="AO152" i="1" s="1"/>
  <c r="AW152" i="1" s="1"/>
  <c r="AY156" i="1"/>
  <c r="AY154" i="1"/>
  <c r="AO156" i="1" s="1"/>
  <c r="AW156" i="1" s="1"/>
  <c r="AY160" i="1"/>
  <c r="AY158" i="1"/>
  <c r="AO160" i="1" s="1"/>
  <c r="AW160" i="1" s="1"/>
  <c r="AY164" i="1"/>
  <c r="AY162" i="1" s="1"/>
  <c r="AO164" i="1" s="1"/>
  <c r="AW164" i="1"/>
  <c r="AY168" i="1"/>
  <c r="AY166" i="1" s="1"/>
  <c r="AO168" i="1" s="1"/>
  <c r="AW168" i="1" s="1"/>
  <c r="AY172" i="1"/>
  <c r="AY170" i="1" s="1"/>
  <c r="AO172" i="1" s="1"/>
  <c r="AW172" i="1" s="1"/>
  <c r="AY176" i="1"/>
  <c r="AY174" i="1" s="1"/>
  <c r="AO176" i="1" s="1"/>
  <c r="AW176" i="1" s="1"/>
  <c r="AY180" i="1"/>
  <c r="AY178" i="1" s="1"/>
  <c r="AO180" i="1" s="1"/>
  <c r="AW180" i="1" s="1"/>
  <c r="AY184" i="1"/>
  <c r="AY182" i="1" s="1"/>
  <c r="AO184" i="1" s="1"/>
  <c r="AW184" i="1" s="1"/>
  <c r="AY188" i="1"/>
  <c r="AY186" i="1"/>
  <c r="AO188" i="1" s="1"/>
  <c r="AW188" i="1" s="1"/>
  <c r="AY192" i="1"/>
  <c r="AY190" i="1" s="1"/>
  <c r="AO192" i="1" s="1"/>
  <c r="AW192" i="1" s="1"/>
  <c r="AY196" i="1"/>
  <c r="AY194" i="1" s="1"/>
  <c r="AO196" i="1" s="1"/>
  <c r="AW196" i="1" s="1"/>
  <c r="AY200" i="1"/>
  <c r="AY198" i="1" s="1"/>
  <c r="AO200" i="1" s="1"/>
  <c r="AW200" i="1" s="1"/>
  <c r="AY204" i="1"/>
  <c r="AY202" i="1" s="1"/>
  <c r="AO204" i="1" s="1"/>
  <c r="AW204" i="1" s="1"/>
  <c r="AY208" i="1"/>
  <c r="AY206" i="1" s="1"/>
  <c r="AO208" i="1" s="1"/>
  <c r="AW208" i="1" s="1"/>
  <c r="AY212" i="1"/>
  <c r="AY210" i="1" s="1"/>
  <c r="AO212" i="1" s="1"/>
  <c r="AW212" i="1" s="1"/>
  <c r="AY216" i="1"/>
  <c r="AY214" i="1" s="1"/>
  <c r="AO216" i="1"/>
  <c r="AW216" i="1" s="1"/>
  <c r="AY220" i="1"/>
  <c r="AY218" i="1"/>
  <c r="AO220" i="1" s="1"/>
  <c r="AW220" i="1" s="1"/>
  <c r="AY224" i="1"/>
  <c r="AY222" i="1"/>
  <c r="AO224" i="1" s="1"/>
  <c r="AW224" i="1" s="1"/>
  <c r="AY228" i="1"/>
  <c r="AY226" i="1" s="1"/>
  <c r="AO228" i="1" s="1"/>
  <c r="AW228" i="1" s="1"/>
  <c r="AY232" i="1"/>
  <c r="AY230" i="1" s="1"/>
  <c r="AO232" i="1"/>
  <c r="AW232" i="1"/>
  <c r="AY236" i="1"/>
  <c r="AY234" i="1"/>
  <c r="AO236" i="1" s="1"/>
  <c r="AW236" i="1" s="1"/>
  <c r="AY240" i="1"/>
  <c r="AY238" i="1" s="1"/>
  <c r="AO240" i="1" s="1"/>
  <c r="AW240" i="1" s="1"/>
  <c r="AY244" i="1"/>
  <c r="AY242" i="1" s="1"/>
  <c r="AO244" i="1" s="1"/>
  <c r="AW244" i="1" s="1"/>
  <c r="AY248" i="1"/>
  <c r="AY246" i="1" s="1"/>
  <c r="AO248" i="1"/>
  <c r="AW248" i="1" s="1"/>
  <c r="AY252" i="1"/>
  <c r="AY250" i="1" s="1"/>
  <c r="AO252" i="1" s="1"/>
  <c r="AW252" i="1" s="1"/>
  <c r="AY256" i="1"/>
  <c r="AY254" i="1" s="1"/>
  <c r="AO256" i="1" s="1"/>
  <c r="AW256" i="1" s="1"/>
  <c r="AY260" i="1"/>
  <c r="AY258" i="1" s="1"/>
  <c r="AO260" i="1" s="1"/>
  <c r="AW260" i="1" s="1"/>
  <c r="AY264" i="1"/>
  <c r="AY262" i="1" s="1"/>
  <c r="AO264" i="1" s="1"/>
  <c r="AW264" i="1" s="1"/>
  <c r="AY268" i="1"/>
  <c r="AY266" i="1" s="1"/>
  <c r="AO268" i="1" s="1"/>
  <c r="AW268" i="1" s="1"/>
  <c r="AY272" i="1"/>
  <c r="AY270" i="1" s="1"/>
  <c r="AO272" i="1" s="1"/>
  <c r="AW272" i="1" s="1"/>
  <c r="AY280" i="1"/>
  <c r="AY278" i="1" s="1"/>
  <c r="AO280" i="1" s="1"/>
  <c r="AW280" i="1" s="1"/>
  <c r="AY284" i="1"/>
  <c r="AY282" i="1" s="1"/>
  <c r="AO284" i="1" s="1"/>
  <c r="AW284" i="1" s="1"/>
  <c r="AY288" i="1"/>
  <c r="AY286" i="1" s="1"/>
  <c r="AO288" i="1" s="1"/>
  <c r="AW288" i="1" s="1"/>
  <c r="AU290" i="1"/>
  <c r="AU292" i="1" s="1"/>
  <c r="AR292" i="1"/>
  <c r="BB291" i="1"/>
  <c r="AV291" i="1"/>
  <c r="AR291" i="1"/>
  <c r="BB290" i="1"/>
  <c r="AO291" i="1"/>
  <c r="AV290" i="1"/>
  <c r="AR290" i="1"/>
  <c r="AP290" i="1"/>
  <c r="AO290" i="1"/>
  <c r="C290" i="1"/>
  <c r="BB289" i="1"/>
  <c r="BA289" i="1"/>
  <c r="AY289" i="1"/>
  <c r="AY287" i="1" s="1"/>
  <c r="AO289" i="1" s="1"/>
  <c r="AW289" i="1" s="1"/>
  <c r="AU287" i="1"/>
  <c r="AU289" i="1" s="1"/>
  <c r="AR289" i="1"/>
  <c r="BA286" i="1"/>
  <c r="BB288" i="1"/>
  <c r="AU286" i="1"/>
  <c r="AU288" i="1" s="1"/>
  <c r="AR288" i="1"/>
  <c r="BB287" i="1"/>
  <c r="BA287" i="1"/>
  <c r="AQ287" i="1" s="1"/>
  <c r="AV287" i="1"/>
  <c r="AR287" i="1"/>
  <c r="BB286" i="1"/>
  <c r="AO287" i="1"/>
  <c r="AV286" i="1"/>
  <c r="AR286" i="1"/>
  <c r="AQ286" i="1"/>
  <c r="AP286" i="1"/>
  <c r="AO286" i="1"/>
  <c r="BB285" i="1"/>
  <c r="AY285" i="1"/>
  <c r="AY283" i="1" s="1"/>
  <c r="AO285" i="1" s="1"/>
  <c r="AW285" i="1" s="1"/>
  <c r="AU283" i="1"/>
  <c r="AU285" i="1" s="1"/>
  <c r="AR285" i="1"/>
  <c r="BA282" i="1"/>
  <c r="AN283" i="1" s="1"/>
  <c r="BB284" i="1"/>
  <c r="AU282" i="1"/>
  <c r="AU284" i="1" s="1"/>
  <c r="AR284" i="1"/>
  <c r="BB283" i="1"/>
  <c r="AV283" i="1"/>
  <c r="AR283" i="1"/>
  <c r="BB282" i="1"/>
  <c r="AO283" i="1"/>
  <c r="AV282" i="1"/>
  <c r="AR282" i="1"/>
  <c r="AP282" i="1"/>
  <c r="AO282" i="1"/>
  <c r="BB281" i="1"/>
  <c r="BA281" i="1"/>
  <c r="AY281" i="1"/>
  <c r="AY279" i="1"/>
  <c r="AO281" i="1" s="1"/>
  <c r="AW281" i="1" s="1"/>
  <c r="AU279" i="1"/>
  <c r="AU281" i="1" s="1"/>
  <c r="AR281" i="1"/>
  <c r="BB280" i="1"/>
  <c r="AU278" i="1"/>
  <c r="AU280" i="1" s="1"/>
  <c r="AR280" i="1"/>
  <c r="BB279" i="1"/>
  <c r="BA279" i="1"/>
  <c r="AV279" i="1"/>
  <c r="AR279" i="1"/>
  <c r="BB278" i="1"/>
  <c r="AO279" i="1"/>
  <c r="AV278" i="1"/>
  <c r="AR278" i="1"/>
  <c r="AP278" i="1"/>
  <c r="AO278" i="1"/>
  <c r="C278" i="1"/>
  <c r="BB277" i="1"/>
  <c r="AY277" i="1"/>
  <c r="AY275" i="1"/>
  <c r="AO277" i="1" s="1"/>
  <c r="AW277" i="1" s="1"/>
  <c r="AU275" i="1"/>
  <c r="AU277" i="1" s="1"/>
  <c r="AR277" i="1"/>
  <c r="BB276" i="1"/>
  <c r="AU274" i="1"/>
  <c r="AU276" i="1" s="1"/>
  <c r="AR276" i="1"/>
  <c r="BB275" i="1"/>
  <c r="AV275" i="1"/>
  <c r="AR275" i="1"/>
  <c r="BB274" i="1"/>
  <c r="AO275" i="1"/>
  <c r="AV274" i="1"/>
  <c r="AR274" i="1"/>
  <c r="AP274" i="1"/>
  <c r="AO274" i="1"/>
  <c r="C274" i="1"/>
  <c r="BB273" i="1"/>
  <c r="BA273" i="1"/>
  <c r="AY273" i="1"/>
  <c r="AY271" i="1" s="1"/>
  <c r="AO273" i="1" s="1"/>
  <c r="AW273" i="1" s="1"/>
  <c r="AU271" i="1"/>
  <c r="AU273" i="1" s="1"/>
  <c r="AR273" i="1"/>
  <c r="BA270" i="1"/>
  <c r="AQ270" i="1" s="1"/>
  <c r="BB272" i="1"/>
  <c r="AU270" i="1"/>
  <c r="AU272" i="1" s="1"/>
  <c r="AR272" i="1"/>
  <c r="BB271" i="1"/>
  <c r="BA271" i="1"/>
  <c r="AV271" i="1"/>
  <c r="AR271" i="1"/>
  <c r="BB270" i="1"/>
  <c r="AQ271" i="1"/>
  <c r="AO271" i="1"/>
  <c r="AV270" i="1"/>
  <c r="AR270" i="1"/>
  <c r="AP270" i="1"/>
  <c r="AO270" i="1"/>
  <c r="BB269" i="1"/>
  <c r="BA269" i="1"/>
  <c r="AY269" i="1"/>
  <c r="AY267" i="1"/>
  <c r="AO269" i="1" s="1"/>
  <c r="AW269" i="1"/>
  <c r="AU267" i="1"/>
  <c r="AU269" i="1" s="1"/>
  <c r="AR269" i="1"/>
  <c r="BB268" i="1"/>
  <c r="AU266" i="1"/>
  <c r="AU268" i="1" s="1"/>
  <c r="AR268" i="1"/>
  <c r="BB267" i="1"/>
  <c r="AV267" i="1"/>
  <c r="AR267" i="1"/>
  <c r="BB266" i="1"/>
  <c r="AO267" i="1"/>
  <c r="AV266" i="1"/>
  <c r="AR266" i="1"/>
  <c r="AP266" i="1"/>
  <c r="AO266" i="1"/>
  <c r="C266" i="1"/>
  <c r="BB265" i="1"/>
  <c r="AY265" i="1"/>
  <c r="AY263" i="1" s="1"/>
  <c r="AO265" i="1" s="1"/>
  <c r="AW265" i="1" s="1"/>
  <c r="AU263" i="1"/>
  <c r="AU265" i="1" s="1"/>
  <c r="AR265" i="1"/>
  <c r="BB264" i="1"/>
  <c r="AU262" i="1"/>
  <c r="AU264" i="1"/>
  <c r="AR264" i="1"/>
  <c r="BB263" i="1"/>
  <c r="BA263" i="1"/>
  <c r="AV263" i="1"/>
  <c r="AR263" i="1"/>
  <c r="BB262" i="1"/>
  <c r="AO263" i="1"/>
  <c r="AV262" i="1"/>
  <c r="AR262" i="1"/>
  <c r="AP262" i="1"/>
  <c r="AO262" i="1"/>
  <c r="C262" i="1"/>
  <c r="BB261" i="1"/>
  <c r="AY261" i="1"/>
  <c r="AY259" i="1" s="1"/>
  <c r="AO261" i="1"/>
  <c r="AW261" i="1" s="1"/>
  <c r="AU259" i="1"/>
  <c r="AU261" i="1" s="1"/>
  <c r="AR261" i="1"/>
  <c r="BB260" i="1"/>
  <c r="AU258" i="1"/>
  <c r="AU260" i="1" s="1"/>
  <c r="AR260" i="1"/>
  <c r="BB259" i="1"/>
  <c r="AV259" i="1"/>
  <c r="AR259" i="1"/>
  <c r="BB258" i="1"/>
  <c r="AO259" i="1"/>
  <c r="AV258" i="1"/>
  <c r="AR258" i="1"/>
  <c r="AP258" i="1"/>
  <c r="AO258" i="1"/>
  <c r="C258" i="1"/>
  <c r="BB257" i="1"/>
  <c r="AY257" i="1"/>
  <c r="AY255" i="1" s="1"/>
  <c r="AO257" i="1" s="1"/>
  <c r="AW257" i="1" s="1"/>
  <c r="AU255" i="1"/>
  <c r="AU257" i="1" s="1"/>
  <c r="AR257" i="1"/>
  <c r="BB256" i="1"/>
  <c r="AU254" i="1"/>
  <c r="AU256" i="1"/>
  <c r="AR256" i="1"/>
  <c r="BB255" i="1"/>
  <c r="AV255" i="1"/>
  <c r="AR255" i="1"/>
  <c r="BB254" i="1"/>
  <c r="AO255" i="1"/>
  <c r="AV254" i="1"/>
  <c r="AR254" i="1"/>
  <c r="AP254" i="1"/>
  <c r="AO254" i="1"/>
  <c r="BB253" i="1"/>
  <c r="AY253" i="1"/>
  <c r="AY251" i="1" s="1"/>
  <c r="AO253" i="1" s="1"/>
  <c r="AW253" i="1" s="1"/>
  <c r="AU251" i="1"/>
  <c r="AU253" i="1" s="1"/>
  <c r="AR253" i="1"/>
  <c r="BB252" i="1"/>
  <c r="AU250" i="1"/>
  <c r="AU252" i="1" s="1"/>
  <c r="AR252" i="1"/>
  <c r="BB251" i="1"/>
  <c r="AV251" i="1"/>
  <c r="AR251" i="1"/>
  <c r="BB250" i="1"/>
  <c r="AO251" i="1"/>
  <c r="AV250" i="1"/>
  <c r="AR250" i="1"/>
  <c r="AP250" i="1"/>
  <c r="AO250" i="1"/>
  <c r="BB249" i="1"/>
  <c r="BA249" i="1"/>
  <c r="AY249" i="1"/>
  <c r="AY247" i="1" s="1"/>
  <c r="AO249" i="1" s="1"/>
  <c r="AW249" i="1" s="1"/>
  <c r="AU247" i="1"/>
  <c r="AU249" i="1" s="1"/>
  <c r="AR249" i="1"/>
  <c r="BA246" i="1"/>
  <c r="AN247" i="1" s="1"/>
  <c r="BB248" i="1"/>
  <c r="AU246" i="1"/>
  <c r="AU248" i="1" s="1"/>
  <c r="AR248" i="1"/>
  <c r="BB247" i="1"/>
  <c r="BA247" i="1"/>
  <c r="AV247" i="1"/>
  <c r="AR247" i="1"/>
  <c r="BB246" i="1"/>
  <c r="AO247" i="1"/>
  <c r="AV246" i="1"/>
  <c r="AR246" i="1"/>
  <c r="AP246" i="1"/>
  <c r="AO246" i="1"/>
  <c r="C246" i="1"/>
  <c r="BB245" i="1"/>
  <c r="BA245" i="1"/>
  <c r="AY245" i="1"/>
  <c r="AY243" i="1" s="1"/>
  <c r="AO245" i="1" s="1"/>
  <c r="AW245" i="1" s="1"/>
  <c r="AU243" i="1"/>
  <c r="AU245" i="1" s="1"/>
  <c r="AR245" i="1"/>
  <c r="BA242" i="1"/>
  <c r="BB244" i="1"/>
  <c r="AU242" i="1"/>
  <c r="AU244" i="1" s="1"/>
  <c r="AR244" i="1"/>
  <c r="BB243" i="1"/>
  <c r="AV243" i="1"/>
  <c r="AR243" i="1"/>
  <c r="BB242" i="1"/>
  <c r="AO243" i="1"/>
  <c r="AV242" i="1"/>
  <c r="AR242" i="1"/>
  <c r="AP242" i="1"/>
  <c r="AO242" i="1"/>
  <c r="BB241" i="1"/>
  <c r="AY241" i="1"/>
  <c r="AY239" i="1" s="1"/>
  <c r="AO241" i="1" s="1"/>
  <c r="AW241" i="1" s="1"/>
  <c r="AU239" i="1"/>
  <c r="AU241" i="1" s="1"/>
  <c r="AR241" i="1"/>
  <c r="BB240" i="1"/>
  <c r="AU238" i="1"/>
  <c r="AU240" i="1" s="1"/>
  <c r="AR240" i="1"/>
  <c r="BB239" i="1"/>
  <c r="BA239" i="1"/>
  <c r="AV239" i="1"/>
  <c r="AR239" i="1"/>
  <c r="BB238" i="1"/>
  <c r="AO239" i="1"/>
  <c r="AV238" i="1"/>
  <c r="AR238" i="1"/>
  <c r="AP238" i="1"/>
  <c r="AO238" i="1"/>
  <c r="C238" i="1"/>
  <c r="BB237" i="1"/>
  <c r="AY237" i="1"/>
  <c r="AY235" i="1" s="1"/>
  <c r="AO237" i="1" s="1"/>
  <c r="AW237" i="1" s="1"/>
  <c r="AU235" i="1"/>
  <c r="AU237" i="1" s="1"/>
  <c r="AR237" i="1"/>
  <c r="BB236" i="1"/>
  <c r="AU234" i="1"/>
  <c r="AU236" i="1" s="1"/>
  <c r="AR236" i="1"/>
  <c r="BB235" i="1"/>
  <c r="AV235" i="1"/>
  <c r="AR235" i="1"/>
  <c r="BB234" i="1"/>
  <c r="AO235" i="1"/>
  <c r="AV234" i="1"/>
  <c r="AR234" i="1"/>
  <c r="AP234" i="1"/>
  <c r="AO234" i="1"/>
  <c r="C234" i="1"/>
  <c r="BB233" i="1"/>
  <c r="AY233" i="1"/>
  <c r="AY231" i="1" s="1"/>
  <c r="AO233" i="1" s="1"/>
  <c r="AW233" i="1" s="1"/>
  <c r="AU231" i="1"/>
  <c r="AU233" i="1" s="1"/>
  <c r="AR233" i="1"/>
  <c r="BB232" i="1"/>
  <c r="BA22" i="1"/>
  <c r="AN24" i="1"/>
  <c r="AO22" i="1"/>
  <c r="AV22" i="1"/>
  <c r="AO23" i="1"/>
  <c r="AV23" i="1"/>
  <c r="AY29" i="1"/>
  <c r="AY27" i="1" s="1"/>
  <c r="AO29" i="1" s="1"/>
  <c r="AW29" i="1" s="1"/>
  <c r="AU22" i="1"/>
  <c r="AU24" i="1" s="1"/>
  <c r="AU23" i="1"/>
  <c r="AU25" i="1" s="1"/>
  <c r="AU230" i="1"/>
  <c r="AU232" i="1" s="1"/>
  <c r="AR232" i="1"/>
  <c r="BB231" i="1"/>
  <c r="BA231" i="1"/>
  <c r="AV231" i="1"/>
  <c r="AR231" i="1"/>
  <c r="BB230" i="1"/>
  <c r="AO231" i="1"/>
  <c r="AV230" i="1"/>
  <c r="AR230" i="1"/>
  <c r="AP230" i="1"/>
  <c r="AO230" i="1"/>
  <c r="BB229" i="1"/>
  <c r="AY229" i="1"/>
  <c r="AY227" i="1" s="1"/>
  <c r="AO229" i="1" s="1"/>
  <c r="AW229" i="1" s="1"/>
  <c r="AU227" i="1"/>
  <c r="AU229" i="1" s="1"/>
  <c r="AR229" i="1"/>
  <c r="BB228" i="1"/>
  <c r="AU226" i="1"/>
  <c r="AU228" i="1" s="1"/>
  <c r="AR228" i="1"/>
  <c r="BB227" i="1"/>
  <c r="BA227" i="1"/>
  <c r="AV227" i="1"/>
  <c r="AR227" i="1"/>
  <c r="BB226" i="1"/>
  <c r="AO227" i="1"/>
  <c r="AV226" i="1"/>
  <c r="AR226" i="1"/>
  <c r="AP226" i="1"/>
  <c r="AO226" i="1"/>
  <c r="C226" i="1"/>
  <c r="BB225" i="1"/>
  <c r="BA225" i="1"/>
  <c r="AY225" i="1"/>
  <c r="AY223" i="1" s="1"/>
  <c r="AO225" i="1" s="1"/>
  <c r="AW225" i="1" s="1"/>
  <c r="AU223" i="1"/>
  <c r="AU225" i="1" s="1"/>
  <c r="AR225" i="1"/>
  <c r="BB224" i="1"/>
  <c r="AU222" i="1"/>
  <c r="AU224" i="1"/>
  <c r="AR224" i="1"/>
  <c r="BB223" i="1"/>
  <c r="BA223" i="1"/>
  <c r="AV223" i="1"/>
  <c r="AR223" i="1"/>
  <c r="BB222" i="1"/>
  <c r="AO223" i="1"/>
  <c r="AV222" i="1"/>
  <c r="AR222" i="1"/>
  <c r="AP222" i="1"/>
  <c r="AO222" i="1"/>
  <c r="BB221" i="1"/>
  <c r="AY221" i="1"/>
  <c r="AY219" i="1" s="1"/>
  <c r="AO221" i="1" s="1"/>
  <c r="AW221" i="1" s="1"/>
  <c r="AU219" i="1"/>
  <c r="AU221" i="1" s="1"/>
  <c r="AR221" i="1"/>
  <c r="BB220" i="1"/>
  <c r="AU218" i="1"/>
  <c r="AU220" i="1" s="1"/>
  <c r="AR220" i="1"/>
  <c r="BB219" i="1"/>
  <c r="BA219" i="1"/>
  <c r="AV219" i="1"/>
  <c r="AR219" i="1"/>
  <c r="BB218" i="1"/>
  <c r="AO219" i="1"/>
  <c r="AV218" i="1"/>
  <c r="AR218" i="1"/>
  <c r="AP218" i="1"/>
  <c r="AO218" i="1"/>
  <c r="BB217" i="1"/>
  <c r="AY217" i="1"/>
  <c r="AY215" i="1" s="1"/>
  <c r="AO217" i="1" s="1"/>
  <c r="AW217" i="1" s="1"/>
  <c r="AU215" i="1"/>
  <c r="AU217" i="1" s="1"/>
  <c r="AR217" i="1"/>
  <c r="BB216" i="1"/>
  <c r="AU214" i="1"/>
  <c r="AU216" i="1" s="1"/>
  <c r="AR216" i="1"/>
  <c r="BB215" i="1"/>
  <c r="AV215" i="1"/>
  <c r="AR215" i="1"/>
  <c r="BB214" i="1"/>
  <c r="AO215" i="1"/>
  <c r="AV214" i="1"/>
  <c r="AR214" i="1"/>
  <c r="AP214" i="1"/>
  <c r="AO214" i="1"/>
  <c r="C214" i="1"/>
  <c r="BB213" i="1"/>
  <c r="AY213" i="1"/>
  <c r="AY211" i="1" s="1"/>
  <c r="AO213" i="1" s="1"/>
  <c r="AW213" i="1" s="1"/>
  <c r="AU211" i="1"/>
  <c r="AU213" i="1" s="1"/>
  <c r="AR213" i="1"/>
  <c r="BA210" i="1"/>
  <c r="AN213" i="1" s="1"/>
  <c r="BB212" i="1"/>
  <c r="AU210" i="1"/>
  <c r="AU212" i="1" s="1"/>
  <c r="AR212" i="1"/>
  <c r="BB211" i="1"/>
  <c r="BA211" i="1"/>
  <c r="AV211" i="1"/>
  <c r="AR211" i="1"/>
  <c r="BB210" i="1"/>
  <c r="AO211" i="1"/>
  <c r="AV210" i="1"/>
  <c r="AR210" i="1"/>
  <c r="AP210" i="1"/>
  <c r="AO210" i="1"/>
  <c r="BB209" i="1"/>
  <c r="AY209" i="1"/>
  <c r="AY207" i="1" s="1"/>
  <c r="AO209" i="1" s="1"/>
  <c r="AW209" i="1" s="1"/>
  <c r="AU207" i="1"/>
  <c r="AU209" i="1" s="1"/>
  <c r="AR209" i="1"/>
  <c r="BB208" i="1"/>
  <c r="AU206" i="1"/>
  <c r="AU208" i="1" s="1"/>
  <c r="AR208" i="1"/>
  <c r="BB207" i="1"/>
  <c r="AV207" i="1"/>
  <c r="AR207" i="1"/>
  <c r="BB206" i="1"/>
  <c r="AO207" i="1"/>
  <c r="AV206" i="1"/>
  <c r="AR206" i="1"/>
  <c r="AP206" i="1"/>
  <c r="AO206" i="1"/>
  <c r="BB205" i="1"/>
  <c r="BA205" i="1"/>
  <c r="AY205" i="1"/>
  <c r="AY203" i="1" s="1"/>
  <c r="AO205" i="1" s="1"/>
  <c r="AW205" i="1" s="1"/>
  <c r="AU203" i="1"/>
  <c r="AU205" i="1" s="1"/>
  <c r="AR205" i="1"/>
  <c r="BA202" i="1"/>
  <c r="AN205" i="1" s="1"/>
  <c r="BB204" i="1"/>
  <c r="AU202" i="1"/>
  <c r="AU204" i="1" s="1"/>
  <c r="AR204" i="1"/>
  <c r="BB203" i="1"/>
  <c r="AV203" i="1"/>
  <c r="AR203" i="1"/>
  <c r="BB202" i="1"/>
  <c r="AO203" i="1"/>
  <c r="AV202" i="1"/>
  <c r="AR202" i="1"/>
  <c r="AQ202" i="1"/>
  <c r="AP202" i="1"/>
  <c r="AO202" i="1"/>
  <c r="C202" i="1"/>
  <c r="BB201" i="1"/>
  <c r="AY201" i="1"/>
  <c r="AY199" i="1"/>
  <c r="AO201" i="1"/>
  <c r="AW201" i="1" s="1"/>
  <c r="AU199" i="1"/>
  <c r="AU201" i="1" s="1"/>
  <c r="AR201" i="1"/>
  <c r="BB200" i="1"/>
  <c r="AU198" i="1"/>
  <c r="AU200" i="1" s="1"/>
  <c r="AR200" i="1"/>
  <c r="BB199" i="1"/>
  <c r="BA199" i="1"/>
  <c r="AV199" i="1"/>
  <c r="AR199" i="1"/>
  <c r="BB198" i="1"/>
  <c r="AO199" i="1"/>
  <c r="AV198" i="1"/>
  <c r="AR198" i="1"/>
  <c r="AP198" i="1"/>
  <c r="AO198" i="1"/>
  <c r="BB197" i="1"/>
  <c r="AY197" i="1"/>
  <c r="AY195" i="1" s="1"/>
  <c r="AO197" i="1" s="1"/>
  <c r="AW197" i="1"/>
  <c r="AU195" i="1"/>
  <c r="AU197" i="1" s="1"/>
  <c r="AR197" i="1"/>
  <c r="BB196" i="1"/>
  <c r="AU194" i="1"/>
  <c r="AU196" i="1" s="1"/>
  <c r="AR196" i="1"/>
  <c r="BB195" i="1"/>
  <c r="BA195" i="1"/>
  <c r="AV195" i="1"/>
  <c r="AR195" i="1"/>
  <c r="BB194" i="1"/>
  <c r="AO195" i="1"/>
  <c r="AV194" i="1"/>
  <c r="AR194" i="1"/>
  <c r="AP194" i="1"/>
  <c r="AO194" i="1"/>
  <c r="C194" i="1"/>
  <c r="BB193" i="1"/>
  <c r="AY193" i="1"/>
  <c r="AY191" i="1" s="1"/>
  <c r="AO193" i="1" s="1"/>
  <c r="AW193" i="1" s="1"/>
  <c r="AU191" i="1"/>
  <c r="AU193" i="1" s="1"/>
  <c r="AR193" i="1"/>
  <c r="BB192" i="1"/>
  <c r="AU190" i="1"/>
  <c r="AU192" i="1" s="1"/>
  <c r="AR192" i="1"/>
  <c r="BB191" i="1"/>
  <c r="AV191" i="1"/>
  <c r="AR191" i="1"/>
  <c r="BB190" i="1"/>
  <c r="AO191" i="1"/>
  <c r="AV190" i="1"/>
  <c r="AR190" i="1"/>
  <c r="AP190" i="1"/>
  <c r="AO190" i="1"/>
  <c r="BB189" i="1"/>
  <c r="BA189" i="1"/>
  <c r="AY189" i="1"/>
  <c r="AY187" i="1"/>
  <c r="AO189" i="1" s="1"/>
  <c r="AW189" i="1" s="1"/>
  <c r="AU187" i="1"/>
  <c r="AU189" i="1" s="1"/>
  <c r="AR189" i="1"/>
  <c r="BA186" i="1"/>
  <c r="AN188" i="1" s="1"/>
  <c r="BB188" i="1"/>
  <c r="AU186" i="1"/>
  <c r="AU188" i="1" s="1"/>
  <c r="AR188" i="1"/>
  <c r="BB187" i="1"/>
  <c r="BA187" i="1"/>
  <c r="AV187" i="1"/>
  <c r="AR187" i="1"/>
  <c r="BB186" i="1"/>
  <c r="AO187" i="1"/>
  <c r="AN187" i="1"/>
  <c r="AV186" i="1"/>
  <c r="AR186" i="1"/>
  <c r="AP186" i="1"/>
  <c r="AO186" i="1"/>
  <c r="BB185" i="1"/>
  <c r="BA185" i="1"/>
  <c r="AY185" i="1"/>
  <c r="AY183" i="1" s="1"/>
  <c r="AO185" i="1" s="1"/>
  <c r="AW185" i="1" s="1"/>
  <c r="AU183" i="1"/>
  <c r="AU185" i="1" s="1"/>
  <c r="AR185" i="1"/>
  <c r="BB184" i="1"/>
  <c r="AU182" i="1"/>
  <c r="AU184" i="1"/>
  <c r="AR184" i="1"/>
  <c r="BB183" i="1"/>
  <c r="AV183" i="1"/>
  <c r="AR183" i="1"/>
  <c r="BB182" i="1"/>
  <c r="AO183" i="1"/>
  <c r="AV182" i="1"/>
  <c r="AR182" i="1"/>
  <c r="AP182" i="1"/>
  <c r="AO182" i="1"/>
  <c r="C182" i="1"/>
  <c r="BB181" i="1"/>
  <c r="BA181" i="1"/>
  <c r="AY181" i="1"/>
  <c r="AY179" i="1" s="1"/>
  <c r="AO181" i="1" s="1"/>
  <c r="AW181" i="1" s="1"/>
  <c r="AU179" i="1"/>
  <c r="AU181" i="1" s="1"/>
  <c r="AR181" i="1"/>
  <c r="BB180" i="1"/>
  <c r="AU178" i="1"/>
  <c r="AU180" i="1" s="1"/>
  <c r="AR180" i="1"/>
  <c r="BB179" i="1"/>
  <c r="BA179" i="1"/>
  <c r="AV179" i="1"/>
  <c r="AR179" i="1"/>
  <c r="BB178" i="1"/>
  <c r="AO179" i="1"/>
  <c r="AV178" i="1"/>
  <c r="AR178" i="1"/>
  <c r="AP178" i="1"/>
  <c r="AO178" i="1"/>
  <c r="BB177" i="1"/>
  <c r="AY177" i="1"/>
  <c r="AY175" i="1" s="1"/>
  <c r="AO177" i="1" s="1"/>
  <c r="AW177" i="1" s="1"/>
  <c r="AU175" i="1"/>
  <c r="AU177" i="1" s="1"/>
  <c r="AR177" i="1"/>
  <c r="BB176" i="1"/>
  <c r="AU174" i="1"/>
  <c r="AU176" i="1" s="1"/>
  <c r="AR176" i="1"/>
  <c r="BB175" i="1"/>
  <c r="AV175" i="1"/>
  <c r="AR175" i="1"/>
  <c r="BB174" i="1"/>
  <c r="AO175" i="1"/>
  <c r="AV174" i="1"/>
  <c r="AR174" i="1"/>
  <c r="AP174" i="1"/>
  <c r="AO174" i="1"/>
  <c r="C174" i="1"/>
  <c r="BB173" i="1"/>
  <c r="BA173" i="1"/>
  <c r="AY173" i="1"/>
  <c r="AY171" i="1"/>
  <c r="AO173" i="1" s="1"/>
  <c r="AW173" i="1" s="1"/>
  <c r="AU171" i="1"/>
  <c r="AU173" i="1" s="1"/>
  <c r="AR173" i="1"/>
  <c r="BB172" i="1"/>
  <c r="AU170" i="1"/>
  <c r="AU172" i="1" s="1"/>
  <c r="AR172" i="1"/>
  <c r="BB171" i="1"/>
  <c r="BA171" i="1"/>
  <c r="AV171" i="1"/>
  <c r="AR171" i="1"/>
  <c r="BB170" i="1"/>
  <c r="AO171" i="1"/>
  <c r="AV170" i="1"/>
  <c r="AR170" i="1"/>
  <c r="AP170" i="1"/>
  <c r="AO170" i="1"/>
  <c r="C170" i="1"/>
  <c r="BB169" i="1"/>
  <c r="AY169" i="1"/>
  <c r="AY167" i="1" s="1"/>
  <c r="AO169" i="1" s="1"/>
  <c r="AW169" i="1" s="1"/>
  <c r="AU167" i="1"/>
  <c r="AU169" i="1" s="1"/>
  <c r="AR169" i="1"/>
  <c r="BB168" i="1"/>
  <c r="AU166" i="1"/>
  <c r="AU168" i="1" s="1"/>
  <c r="AR168" i="1"/>
  <c r="BB167" i="1"/>
  <c r="AV167" i="1"/>
  <c r="AR167" i="1"/>
  <c r="BB166" i="1"/>
  <c r="AO167" i="1"/>
  <c r="AV166" i="1"/>
  <c r="AR166" i="1"/>
  <c r="AP166" i="1"/>
  <c r="AO166" i="1"/>
  <c r="BB165" i="1"/>
  <c r="AY165" i="1"/>
  <c r="AY163" i="1" s="1"/>
  <c r="AO165" i="1" s="1"/>
  <c r="AW165" i="1" s="1"/>
  <c r="AU163" i="1"/>
  <c r="AU165" i="1"/>
  <c r="AR165" i="1"/>
  <c r="BB164" i="1"/>
  <c r="AU162" i="1"/>
  <c r="AU164" i="1" s="1"/>
  <c r="AR164" i="1"/>
  <c r="BB163" i="1"/>
  <c r="BA163" i="1"/>
  <c r="AV163" i="1"/>
  <c r="AR163" i="1"/>
  <c r="BB162" i="1"/>
  <c r="AO163" i="1"/>
  <c r="AV162" i="1"/>
  <c r="AR162" i="1"/>
  <c r="AP162" i="1"/>
  <c r="AO162" i="1"/>
  <c r="C162" i="1"/>
  <c r="BB161" i="1"/>
  <c r="AY161" i="1"/>
  <c r="AY159" i="1" s="1"/>
  <c r="AO161" i="1" s="1"/>
  <c r="AW161" i="1" s="1"/>
  <c r="AU159" i="1"/>
  <c r="AU161" i="1" s="1"/>
  <c r="AR161" i="1"/>
  <c r="BB160" i="1"/>
  <c r="AU158" i="1"/>
  <c r="AU160" i="1"/>
  <c r="AR160" i="1"/>
  <c r="BB159" i="1"/>
  <c r="AV159" i="1"/>
  <c r="AR159" i="1"/>
  <c r="BB158" i="1"/>
  <c r="AO159" i="1"/>
  <c r="AV158" i="1"/>
  <c r="AR158" i="1"/>
  <c r="AP158" i="1"/>
  <c r="AO158" i="1"/>
  <c r="BB157" i="1"/>
  <c r="AY157" i="1"/>
  <c r="AY155" i="1" s="1"/>
  <c r="AO157" i="1" s="1"/>
  <c r="AW157" i="1" s="1"/>
  <c r="AU155" i="1"/>
  <c r="AU157" i="1" s="1"/>
  <c r="AR157" i="1"/>
  <c r="BA154" i="1"/>
  <c r="AN156" i="1" s="1"/>
  <c r="AN157" i="1"/>
  <c r="BB156" i="1"/>
  <c r="AU154" i="1"/>
  <c r="AU156" i="1" s="1"/>
  <c r="AR156" i="1"/>
  <c r="BB155" i="1"/>
  <c r="BA155" i="1"/>
  <c r="AV155" i="1"/>
  <c r="AR155" i="1"/>
  <c r="BB154" i="1"/>
  <c r="AO155" i="1"/>
  <c r="AV154" i="1"/>
  <c r="AR154" i="1"/>
  <c r="AP154" i="1"/>
  <c r="AO154" i="1"/>
  <c r="AN154" i="1"/>
  <c r="BB153" i="1"/>
  <c r="AY153" i="1"/>
  <c r="AY151" i="1" s="1"/>
  <c r="AO153" i="1" s="1"/>
  <c r="AW153" i="1" s="1"/>
  <c r="AU151" i="1"/>
  <c r="AU153" i="1" s="1"/>
  <c r="AR153" i="1"/>
  <c r="BB152" i="1"/>
  <c r="AU150" i="1"/>
  <c r="AU152" i="1" s="1"/>
  <c r="AR152" i="1"/>
  <c r="BB151" i="1"/>
  <c r="AV151" i="1"/>
  <c r="AR151" i="1"/>
  <c r="BB150" i="1"/>
  <c r="AO151" i="1"/>
  <c r="AV150" i="1"/>
  <c r="AR150" i="1"/>
  <c r="AP150" i="1"/>
  <c r="AO150" i="1"/>
  <c r="C150" i="1"/>
  <c r="BB149" i="1"/>
  <c r="BA149" i="1"/>
  <c r="AY149" i="1"/>
  <c r="AY147" i="1" s="1"/>
  <c r="AO149" i="1" s="1"/>
  <c r="AW149" i="1" s="1"/>
  <c r="AU147" i="1"/>
  <c r="AU149" i="1" s="1"/>
  <c r="AR149" i="1"/>
  <c r="BA146" i="1"/>
  <c r="AN149" i="1" s="1"/>
  <c r="BB148" i="1"/>
  <c r="AU146" i="1"/>
  <c r="AU148" i="1" s="1"/>
  <c r="AR148" i="1"/>
  <c r="BB147" i="1"/>
  <c r="AV147" i="1"/>
  <c r="AR147" i="1"/>
  <c r="BB146" i="1"/>
  <c r="AO147" i="1"/>
  <c r="AV146" i="1"/>
  <c r="AR146" i="1"/>
  <c r="AP146" i="1"/>
  <c r="AO146" i="1"/>
  <c r="C146" i="1"/>
  <c r="BB145" i="1"/>
  <c r="AY145" i="1"/>
  <c r="AY143" i="1" s="1"/>
  <c r="AO145" i="1" s="1"/>
  <c r="AW145" i="1" s="1"/>
  <c r="AU143" i="1"/>
  <c r="AU145" i="1" s="1"/>
  <c r="AR145" i="1"/>
  <c r="BB144" i="1"/>
  <c r="AU142" i="1"/>
  <c r="AU144" i="1" s="1"/>
  <c r="AR144" i="1"/>
  <c r="BB143" i="1"/>
  <c r="AV143" i="1"/>
  <c r="AR143" i="1"/>
  <c r="BB142" i="1"/>
  <c r="AO143" i="1"/>
  <c r="AV142" i="1"/>
  <c r="AR142" i="1"/>
  <c r="AP142" i="1"/>
  <c r="AO142" i="1"/>
  <c r="C142" i="1"/>
  <c r="BB141" i="1"/>
  <c r="BA141" i="1"/>
  <c r="AY141" i="1"/>
  <c r="AY139" i="1" s="1"/>
  <c r="AO141" i="1" s="1"/>
  <c r="AW141" i="1" s="1"/>
  <c r="AU139" i="1"/>
  <c r="AU141" i="1" s="1"/>
  <c r="AR141" i="1"/>
  <c r="BB140" i="1"/>
  <c r="AU138" i="1"/>
  <c r="AU140" i="1" s="1"/>
  <c r="AR140" i="1"/>
  <c r="BB139" i="1"/>
  <c r="AV139" i="1"/>
  <c r="AR139" i="1"/>
  <c r="BB138" i="1"/>
  <c r="AO139" i="1"/>
  <c r="AV138" i="1"/>
  <c r="AR138" i="1"/>
  <c r="AP138" i="1"/>
  <c r="AO138" i="1"/>
  <c r="C138" i="1"/>
  <c r="BB137" i="1"/>
  <c r="BA137" i="1"/>
  <c r="AY137" i="1"/>
  <c r="AY135" i="1" s="1"/>
  <c r="AO137" i="1"/>
  <c r="AW137" i="1" s="1"/>
  <c r="AU135" i="1"/>
  <c r="AU137" i="1" s="1"/>
  <c r="AR137" i="1"/>
  <c r="BA134" i="1"/>
  <c r="BB136" i="1"/>
  <c r="AU134" i="1"/>
  <c r="AU136" i="1" s="1"/>
  <c r="AR136" i="1"/>
  <c r="BB135" i="1"/>
  <c r="BA135" i="1"/>
  <c r="AV135" i="1"/>
  <c r="AR135" i="1"/>
  <c r="BB134" i="1"/>
  <c r="AO135" i="1"/>
  <c r="AV134" i="1"/>
  <c r="AR134" i="1"/>
  <c r="AP134" i="1"/>
  <c r="AO134" i="1"/>
  <c r="BB133" i="1"/>
  <c r="BA133" i="1"/>
  <c r="AY133" i="1"/>
  <c r="AY131" i="1" s="1"/>
  <c r="AO133" i="1" s="1"/>
  <c r="AW133" i="1" s="1"/>
  <c r="AU131" i="1"/>
  <c r="AU133" i="1" s="1"/>
  <c r="AR133" i="1"/>
  <c r="BA130" i="1"/>
  <c r="AN132" i="1" s="1"/>
  <c r="BB132" i="1"/>
  <c r="AU130" i="1"/>
  <c r="AU132" i="1" s="1"/>
  <c r="AR132" i="1"/>
  <c r="BB131" i="1"/>
  <c r="BA131" i="1"/>
  <c r="AV131" i="1"/>
  <c r="AR131" i="1"/>
  <c r="BB130" i="1"/>
  <c r="AO131" i="1"/>
  <c r="AV130" i="1"/>
  <c r="AR130" i="1"/>
  <c r="AP130" i="1"/>
  <c r="AO130" i="1"/>
  <c r="C130" i="1"/>
  <c r="BB129" i="1"/>
  <c r="AY129" i="1"/>
  <c r="AY127" i="1" s="1"/>
  <c r="AO129" i="1"/>
  <c r="AW129" i="1"/>
  <c r="AU127" i="1"/>
  <c r="AU129" i="1" s="1"/>
  <c r="AR129" i="1"/>
  <c r="BB128" i="1"/>
  <c r="AU126" i="1"/>
  <c r="AU128" i="1"/>
  <c r="AR128" i="1"/>
  <c r="AN128" i="1"/>
  <c r="BB127" i="1"/>
  <c r="AV127" i="1"/>
  <c r="AR127" i="1"/>
  <c r="BB126" i="1"/>
  <c r="AO127" i="1"/>
  <c r="AV126" i="1"/>
  <c r="AR126" i="1"/>
  <c r="AP126" i="1"/>
  <c r="AO126" i="1"/>
  <c r="BB125" i="1"/>
  <c r="BA125" i="1"/>
  <c r="AY125" i="1"/>
  <c r="AY123" i="1" s="1"/>
  <c r="AO125" i="1" s="1"/>
  <c r="AW125" i="1" s="1"/>
  <c r="AU123" i="1"/>
  <c r="AU125" i="1"/>
  <c r="AR125" i="1"/>
  <c r="BB124" i="1"/>
  <c r="AU122" i="1"/>
  <c r="AU124" i="1" s="1"/>
  <c r="AR124" i="1"/>
  <c r="BB123" i="1"/>
  <c r="AV123" i="1"/>
  <c r="AR123" i="1"/>
  <c r="BB122" i="1"/>
  <c r="AO123" i="1"/>
  <c r="AV122" i="1"/>
  <c r="AR122" i="1"/>
  <c r="AP122" i="1"/>
  <c r="AO122" i="1"/>
  <c r="BB121" i="1"/>
  <c r="AY121" i="1"/>
  <c r="AY119" i="1"/>
  <c r="AO121" i="1" s="1"/>
  <c r="AW121" i="1" s="1"/>
  <c r="AU119" i="1"/>
  <c r="AU121" i="1" s="1"/>
  <c r="AR121" i="1"/>
  <c r="BB120" i="1"/>
  <c r="AU118" i="1"/>
  <c r="AU120" i="1" s="1"/>
  <c r="AR120" i="1"/>
  <c r="BB119" i="1"/>
  <c r="AV119" i="1"/>
  <c r="AR119" i="1"/>
  <c r="BB118" i="1"/>
  <c r="AO119" i="1"/>
  <c r="AV118" i="1"/>
  <c r="AR118" i="1"/>
  <c r="AP118" i="1"/>
  <c r="AO118" i="1"/>
  <c r="C118" i="1"/>
  <c r="BB117" i="1"/>
  <c r="AY117" i="1"/>
  <c r="AY115" i="1" s="1"/>
  <c r="AO117" i="1" s="1"/>
  <c r="AW117" i="1"/>
  <c r="AU115" i="1"/>
  <c r="AU117" i="1" s="1"/>
  <c r="AR117" i="1"/>
  <c r="BA114" i="1"/>
  <c r="AN117" i="1"/>
  <c r="BB116" i="1"/>
  <c r="AU114" i="1"/>
  <c r="AU116" i="1" s="1"/>
  <c r="AR116" i="1"/>
  <c r="BB115" i="1"/>
  <c r="AV115" i="1"/>
  <c r="AR115" i="1"/>
  <c r="BB114" i="1"/>
  <c r="AO115" i="1"/>
  <c r="AV114" i="1"/>
  <c r="AR114" i="1"/>
  <c r="AP114" i="1"/>
  <c r="AO114" i="1"/>
  <c r="BB301" i="1"/>
  <c r="AY301" i="1"/>
  <c r="AY299" i="1" s="1"/>
  <c r="AO301" i="1" s="1"/>
  <c r="AW301" i="1" s="1"/>
  <c r="AU299" i="1"/>
  <c r="AU301" i="1" s="1"/>
  <c r="AR301" i="1"/>
  <c r="BA298" i="1"/>
  <c r="BB300" i="1"/>
  <c r="AY300" i="1"/>
  <c r="AY298" i="1" s="1"/>
  <c r="AO300" i="1" s="1"/>
  <c r="AW300" i="1" s="1"/>
  <c r="AY296" i="1"/>
  <c r="AY294" i="1"/>
  <c r="AO296" i="1" s="1"/>
  <c r="AW296" i="1" s="1"/>
  <c r="AU298" i="1"/>
  <c r="AU300" i="1" s="1"/>
  <c r="AR300" i="1"/>
  <c r="BB299" i="1"/>
  <c r="AV299" i="1"/>
  <c r="AR299" i="1"/>
  <c r="BB298" i="1"/>
  <c r="AO299" i="1"/>
  <c r="AV298" i="1"/>
  <c r="AR298" i="1"/>
  <c r="AP298" i="1"/>
  <c r="AO298" i="1"/>
  <c r="C298" i="1"/>
  <c r="BB297" i="1"/>
  <c r="AY297" i="1"/>
  <c r="AY295" i="1" s="1"/>
  <c r="AO297" i="1" s="1"/>
  <c r="AW297" i="1" s="1"/>
  <c r="AU295" i="1"/>
  <c r="AU297" i="1" s="1"/>
  <c r="AR297" i="1"/>
  <c r="BB296" i="1"/>
  <c r="AU294" i="1"/>
  <c r="AU296" i="1" s="1"/>
  <c r="AR296" i="1"/>
  <c r="BB295" i="1"/>
  <c r="BA295" i="1"/>
  <c r="AV295" i="1"/>
  <c r="AR295" i="1"/>
  <c r="BB294" i="1"/>
  <c r="AO295" i="1"/>
  <c r="AV294" i="1"/>
  <c r="AR294" i="1"/>
  <c r="AP294" i="1"/>
  <c r="AO294" i="1"/>
  <c r="C294" i="1"/>
  <c r="BB113" i="1"/>
  <c r="AY113" i="1"/>
  <c r="AY111" i="1" s="1"/>
  <c r="AO113" i="1" s="1"/>
  <c r="AW113" i="1" s="1"/>
  <c r="AU111" i="1"/>
  <c r="AU113" i="1" s="1"/>
  <c r="AR113" i="1"/>
  <c r="BB112" i="1"/>
  <c r="AU110" i="1"/>
  <c r="AU112" i="1"/>
  <c r="AR112" i="1"/>
  <c r="BB111" i="1"/>
  <c r="BA111" i="1"/>
  <c r="AV111" i="1"/>
  <c r="AR111" i="1"/>
  <c r="BB110" i="1"/>
  <c r="AO111" i="1"/>
  <c r="AV110" i="1"/>
  <c r="AR110" i="1"/>
  <c r="AP110" i="1"/>
  <c r="AO110" i="1"/>
  <c r="BB109" i="1"/>
  <c r="BA109" i="1"/>
  <c r="AY109" i="1"/>
  <c r="AY107" i="1" s="1"/>
  <c r="AO109" i="1" s="1"/>
  <c r="AW109" i="1" s="1"/>
  <c r="AU107" i="1"/>
  <c r="AU109" i="1" s="1"/>
  <c r="AR109" i="1"/>
  <c r="BB108" i="1"/>
  <c r="AU106" i="1"/>
  <c r="AU108" i="1" s="1"/>
  <c r="AR108" i="1"/>
  <c r="BB107" i="1"/>
  <c r="AV107" i="1"/>
  <c r="AR107" i="1"/>
  <c r="BB106" i="1"/>
  <c r="AO107" i="1"/>
  <c r="AV106" i="1"/>
  <c r="AR106" i="1"/>
  <c r="AP106" i="1"/>
  <c r="AO106" i="1"/>
  <c r="C106" i="1"/>
  <c r="BB105" i="1"/>
  <c r="BA105" i="1"/>
  <c r="AY105" i="1"/>
  <c r="AY103" i="1"/>
  <c r="AO105" i="1" s="1"/>
  <c r="AW105" i="1" s="1"/>
  <c r="AU103" i="1"/>
  <c r="AU105" i="1" s="1"/>
  <c r="AR105" i="1"/>
  <c r="BA102" i="1"/>
  <c r="BB104" i="1"/>
  <c r="AU102" i="1"/>
  <c r="AU104" i="1"/>
  <c r="AR104" i="1"/>
  <c r="AN104" i="1"/>
  <c r="BB103" i="1"/>
  <c r="BA103" i="1"/>
  <c r="AV103" i="1"/>
  <c r="AR103" i="1"/>
  <c r="BB102" i="1"/>
  <c r="AO103" i="1"/>
  <c r="AN103" i="1"/>
  <c r="AV102" i="1"/>
  <c r="AR102" i="1"/>
  <c r="AP102" i="1"/>
  <c r="AO102" i="1"/>
  <c r="BB101" i="1"/>
  <c r="BA101" i="1"/>
  <c r="AY101" i="1"/>
  <c r="AY99" i="1" s="1"/>
  <c r="AO101" i="1" s="1"/>
  <c r="AW101" i="1" s="1"/>
  <c r="AU99" i="1"/>
  <c r="AU101" i="1" s="1"/>
  <c r="AR101" i="1"/>
  <c r="BB100" i="1"/>
  <c r="AU98" i="1"/>
  <c r="AU100" i="1" s="1"/>
  <c r="AR100" i="1"/>
  <c r="BB99" i="1"/>
  <c r="BA99" i="1"/>
  <c r="AV99" i="1"/>
  <c r="AR99" i="1"/>
  <c r="BB98" i="1"/>
  <c r="AO99" i="1"/>
  <c r="AV98" i="1"/>
  <c r="AR98" i="1"/>
  <c r="AP98" i="1"/>
  <c r="AO98" i="1"/>
  <c r="C98" i="1"/>
  <c r="BB97" i="1"/>
  <c r="BA97" i="1"/>
  <c r="AY97" i="1"/>
  <c r="AY95" i="1" s="1"/>
  <c r="AO97" i="1" s="1"/>
  <c r="AW97" i="1" s="1"/>
  <c r="AU95" i="1"/>
  <c r="AU97" i="1" s="1"/>
  <c r="AR97" i="1"/>
  <c r="BA94" i="1"/>
  <c r="BB96" i="1"/>
  <c r="AU94" i="1"/>
  <c r="AU96" i="1" s="1"/>
  <c r="AR96" i="1"/>
  <c r="BB95" i="1"/>
  <c r="AV95" i="1"/>
  <c r="AR95" i="1"/>
  <c r="BB94" i="1"/>
  <c r="AO95" i="1"/>
  <c r="AV94" i="1"/>
  <c r="AR94" i="1"/>
  <c r="AP94" i="1"/>
  <c r="AO94" i="1"/>
  <c r="BB93" i="1"/>
  <c r="AY93" i="1"/>
  <c r="AY91" i="1" s="1"/>
  <c r="AO93" i="1" s="1"/>
  <c r="AW93" i="1" s="1"/>
  <c r="AU91" i="1"/>
  <c r="AU93" i="1" s="1"/>
  <c r="AR93" i="1"/>
  <c r="BB92" i="1"/>
  <c r="AU90" i="1"/>
  <c r="AU92" i="1" s="1"/>
  <c r="AR92" i="1"/>
  <c r="BB91" i="1"/>
  <c r="AV91" i="1"/>
  <c r="AR91" i="1"/>
  <c r="BB90" i="1"/>
  <c r="AO91" i="1"/>
  <c r="AV90" i="1"/>
  <c r="AR90" i="1"/>
  <c r="AP90" i="1"/>
  <c r="AO90" i="1"/>
  <c r="C90" i="1"/>
  <c r="BB89" i="1"/>
  <c r="AY89" i="1"/>
  <c r="AY87" i="1" s="1"/>
  <c r="AO89" i="1" s="1"/>
  <c r="AW89" i="1" s="1"/>
  <c r="AU87" i="1"/>
  <c r="AU89" i="1"/>
  <c r="AR89" i="1"/>
  <c r="BB88" i="1"/>
  <c r="AU86" i="1"/>
  <c r="AU88" i="1" s="1"/>
  <c r="AR88" i="1"/>
  <c r="BB87" i="1"/>
  <c r="BA87" i="1"/>
  <c r="AV87" i="1"/>
  <c r="AR87" i="1"/>
  <c r="BB86" i="1"/>
  <c r="AO87" i="1"/>
  <c r="AV86" i="1"/>
  <c r="AR86" i="1"/>
  <c r="AP86" i="1"/>
  <c r="AO86" i="1"/>
  <c r="C86" i="1"/>
  <c r="BB85" i="1"/>
  <c r="BA85" i="1"/>
  <c r="AY85" i="1"/>
  <c r="AY83" i="1" s="1"/>
  <c r="AO85" i="1" s="1"/>
  <c r="AW85" i="1" s="1"/>
  <c r="AU83" i="1"/>
  <c r="AU85" i="1" s="1"/>
  <c r="AR85" i="1"/>
  <c r="BA82" i="1"/>
  <c r="AN84" i="1" s="1"/>
  <c r="BB84" i="1"/>
  <c r="AU82" i="1"/>
  <c r="AU84" i="1"/>
  <c r="AR84" i="1"/>
  <c r="BB83" i="1"/>
  <c r="BA83" i="1"/>
  <c r="AV83" i="1"/>
  <c r="AR83" i="1"/>
  <c r="BB82" i="1"/>
  <c r="AO83" i="1"/>
  <c r="AV82" i="1"/>
  <c r="AR82" i="1"/>
  <c r="AP82" i="1"/>
  <c r="AO82" i="1"/>
  <c r="AN82" i="1"/>
  <c r="BB81" i="1"/>
  <c r="AY81" i="1"/>
  <c r="AY79" i="1" s="1"/>
  <c r="AO81" i="1" s="1"/>
  <c r="AW81" i="1" s="1"/>
  <c r="AU79" i="1"/>
  <c r="AU81" i="1"/>
  <c r="AR81" i="1"/>
  <c r="BB80" i="1"/>
  <c r="AU78" i="1"/>
  <c r="AU80" i="1" s="1"/>
  <c r="AR80" i="1"/>
  <c r="BB79" i="1"/>
  <c r="AV79" i="1"/>
  <c r="AR79" i="1"/>
  <c r="BB78" i="1"/>
  <c r="AO79" i="1"/>
  <c r="AV78" i="1"/>
  <c r="AR78" i="1"/>
  <c r="AP78" i="1"/>
  <c r="AO78" i="1"/>
  <c r="C78" i="1"/>
  <c r="BB77" i="1"/>
  <c r="AY77" i="1"/>
  <c r="AY75" i="1" s="1"/>
  <c r="AO77" i="1" s="1"/>
  <c r="AW77" i="1" s="1"/>
  <c r="AU75" i="1"/>
  <c r="AU77" i="1"/>
  <c r="AR77" i="1"/>
  <c r="BB76" i="1"/>
  <c r="AU74" i="1"/>
  <c r="AU76" i="1" s="1"/>
  <c r="AR76" i="1"/>
  <c r="BB75" i="1"/>
  <c r="AV75" i="1"/>
  <c r="AR75" i="1"/>
  <c r="BB74" i="1"/>
  <c r="AO75" i="1"/>
  <c r="AV74" i="1"/>
  <c r="AR74" i="1"/>
  <c r="AP74" i="1"/>
  <c r="AO74" i="1"/>
  <c r="C74" i="1"/>
  <c r="BB73" i="1"/>
  <c r="BA73" i="1"/>
  <c r="AY73" i="1"/>
  <c r="AY71" i="1" s="1"/>
  <c r="AO73" i="1" s="1"/>
  <c r="AW73" i="1" s="1"/>
  <c r="AU71" i="1"/>
  <c r="AU73" i="1" s="1"/>
  <c r="AR73" i="1"/>
  <c r="BA70" i="1"/>
  <c r="AN73" i="1"/>
  <c r="BB72" i="1"/>
  <c r="AU70" i="1"/>
  <c r="AU72" i="1" s="1"/>
  <c r="AR72" i="1"/>
  <c r="BB71" i="1"/>
  <c r="AV71" i="1"/>
  <c r="AR71" i="1"/>
  <c r="BB70" i="1"/>
  <c r="AO71" i="1"/>
  <c r="AN71" i="1"/>
  <c r="AV70" i="1"/>
  <c r="AR70" i="1"/>
  <c r="AP70" i="1"/>
  <c r="AO70" i="1"/>
  <c r="BB69" i="1"/>
  <c r="AY69" i="1"/>
  <c r="AY67" i="1" s="1"/>
  <c r="AO69" i="1" s="1"/>
  <c r="AW69" i="1" s="1"/>
  <c r="AU67" i="1"/>
  <c r="AU69" i="1" s="1"/>
  <c r="AR69" i="1"/>
  <c r="BA66" i="1"/>
  <c r="AQ66" i="1" s="1"/>
  <c r="AN69" i="1"/>
  <c r="BB68" i="1"/>
  <c r="AU66" i="1"/>
  <c r="AU68" i="1" s="1"/>
  <c r="AR68" i="1"/>
  <c r="BB67" i="1"/>
  <c r="AV67" i="1"/>
  <c r="AR67" i="1"/>
  <c r="BB66" i="1"/>
  <c r="AO67" i="1"/>
  <c r="AN67" i="1"/>
  <c r="AV66" i="1"/>
  <c r="AR66" i="1"/>
  <c r="AP66" i="1"/>
  <c r="AO66" i="1"/>
  <c r="C66" i="1"/>
  <c r="BB65" i="1"/>
  <c r="AY65" i="1"/>
  <c r="AY63" i="1" s="1"/>
  <c r="AO65" i="1" s="1"/>
  <c r="AW65" i="1" s="1"/>
  <c r="AU63" i="1"/>
  <c r="AU65" i="1"/>
  <c r="AR65" i="1"/>
  <c r="BA62" i="1"/>
  <c r="BB64" i="1"/>
  <c r="AU62" i="1"/>
  <c r="AU64" i="1" s="1"/>
  <c r="AR64" i="1"/>
  <c r="BB63" i="1"/>
  <c r="AV63" i="1"/>
  <c r="AR63" i="1"/>
  <c r="BB62" i="1"/>
  <c r="AO63" i="1"/>
  <c r="AV62" i="1"/>
  <c r="AR62" i="1"/>
  <c r="AP62" i="1"/>
  <c r="AO62" i="1"/>
  <c r="C62" i="1"/>
  <c r="BB305" i="1"/>
  <c r="BA305" i="1"/>
  <c r="AY305" i="1"/>
  <c r="AY303" i="1" s="1"/>
  <c r="AO305" i="1" s="1"/>
  <c r="AW305" i="1" s="1"/>
  <c r="AU303" i="1"/>
  <c r="AU305" i="1" s="1"/>
  <c r="AS305" i="1"/>
  <c r="AT305" i="1" s="1"/>
  <c r="AR305" i="1"/>
  <c r="BB304" i="1"/>
  <c r="AY304" i="1"/>
  <c r="AY302" i="1" s="1"/>
  <c r="AO304" i="1" s="1"/>
  <c r="AW304" i="1" s="1"/>
  <c r="AP18" i="1"/>
  <c r="AU302" i="1"/>
  <c r="AU304" i="1" s="1"/>
  <c r="AS304" i="1"/>
  <c r="AR304" i="1"/>
  <c r="BB303" i="1"/>
  <c r="AV303" i="1"/>
  <c r="AR303" i="1"/>
  <c r="BB302" i="1"/>
  <c r="AO303" i="1"/>
  <c r="AV302" i="1"/>
  <c r="AR302" i="1"/>
  <c r="AP302" i="1"/>
  <c r="AO302" i="1"/>
  <c r="C302" i="1"/>
  <c r="BB61" i="1"/>
  <c r="BA61" i="1"/>
  <c r="AY61" i="1"/>
  <c r="AY59" i="1" s="1"/>
  <c r="AO61" i="1" s="1"/>
  <c r="AW61" i="1" s="1"/>
  <c r="AU59" i="1"/>
  <c r="AU61" i="1" s="1"/>
  <c r="AR61" i="1"/>
  <c r="BA58" i="1"/>
  <c r="AN60" i="1" s="1"/>
  <c r="AN61" i="1"/>
  <c r="BB60" i="1"/>
  <c r="AU58" i="1"/>
  <c r="AU60" i="1" s="1"/>
  <c r="AR60" i="1"/>
  <c r="BB59" i="1"/>
  <c r="BA59" i="1"/>
  <c r="AV59" i="1"/>
  <c r="AR59" i="1"/>
  <c r="BB58" i="1"/>
  <c r="AO59" i="1"/>
  <c r="AV58" i="1"/>
  <c r="AR58" i="1"/>
  <c r="AP58" i="1"/>
  <c r="AO58" i="1"/>
  <c r="C58" i="1"/>
  <c r="BB57" i="1"/>
  <c r="AY57" i="1"/>
  <c r="AY55" i="1" s="1"/>
  <c r="AO57" i="1" s="1"/>
  <c r="AW57" i="1" s="1"/>
  <c r="AU55" i="1"/>
  <c r="AU57" i="1" s="1"/>
  <c r="AR57" i="1"/>
  <c r="BA54" i="1"/>
  <c r="AN57" i="1" s="1"/>
  <c r="BB56" i="1"/>
  <c r="AU54" i="1"/>
  <c r="AU56" i="1" s="1"/>
  <c r="AR56" i="1"/>
  <c r="BB55" i="1"/>
  <c r="AV55" i="1"/>
  <c r="AR55" i="1"/>
  <c r="BB54" i="1"/>
  <c r="AO55" i="1"/>
  <c r="AN55" i="1"/>
  <c r="AV54" i="1"/>
  <c r="AR54" i="1"/>
  <c r="AP54" i="1"/>
  <c r="AO54" i="1"/>
  <c r="C54" i="1"/>
  <c r="BB53" i="1"/>
  <c r="BA53" i="1"/>
  <c r="AY53" i="1"/>
  <c r="AY51" i="1" s="1"/>
  <c r="AO53" i="1" s="1"/>
  <c r="AW53" i="1" s="1"/>
  <c r="AU51" i="1"/>
  <c r="AU53" i="1" s="1"/>
  <c r="AR53" i="1"/>
  <c r="BA50" i="1"/>
  <c r="AN50" i="1" s="1"/>
  <c r="AN53" i="1"/>
  <c r="BB52" i="1"/>
  <c r="AU50" i="1"/>
  <c r="AU52" i="1"/>
  <c r="AR52" i="1"/>
  <c r="BB51" i="1"/>
  <c r="BA51" i="1"/>
  <c r="AV51" i="1"/>
  <c r="AR51" i="1"/>
  <c r="BB50" i="1"/>
  <c r="AO51" i="1"/>
  <c r="AV50" i="1"/>
  <c r="AR50" i="1"/>
  <c r="AQ50" i="1"/>
  <c r="AP50" i="1"/>
  <c r="AO50" i="1"/>
  <c r="C50" i="1"/>
  <c r="C314" i="1"/>
  <c r="C310" i="1"/>
  <c r="C46" i="1"/>
  <c r="C42" i="1"/>
  <c r="C38" i="1"/>
  <c r="C34" i="1"/>
  <c r="C26" i="1"/>
  <c r="C22" i="1"/>
  <c r="C18" i="1"/>
  <c r="AY321" i="1"/>
  <c r="AY320" i="1"/>
  <c r="BB317" i="1"/>
  <c r="BA317" i="1"/>
  <c r="AY317" i="1"/>
  <c r="AY315" i="1"/>
  <c r="AO317" i="1" s="1"/>
  <c r="AW317" i="1" s="1"/>
  <c r="AV312" i="1"/>
  <c r="AU315" i="1"/>
  <c r="AU317" i="1" s="1"/>
  <c r="AR317" i="1"/>
  <c r="BA314" i="1"/>
  <c r="AN315" i="1" s="1"/>
  <c r="BB18" i="1"/>
  <c r="BB19" i="1"/>
  <c r="BB20" i="1"/>
  <c r="BB21" i="1"/>
  <c r="AY14" i="1"/>
  <c r="BB316" i="1"/>
  <c r="AY316" i="1"/>
  <c r="AY314" i="1" s="1"/>
  <c r="AO316" i="1" s="1"/>
  <c r="AW316" i="1" s="1"/>
  <c r="AY308" i="1"/>
  <c r="AY306" i="1" s="1"/>
  <c r="AO308" i="1" s="1"/>
  <c r="AW308" i="1" s="1"/>
  <c r="AY312" i="1"/>
  <c r="AY310" i="1" s="1"/>
  <c r="AO312" i="1" s="1"/>
  <c r="AW312" i="1" s="1"/>
  <c r="AU314" i="1"/>
  <c r="AU316" i="1" s="1"/>
  <c r="AR316" i="1"/>
  <c r="BB315" i="1"/>
  <c r="BA315" i="1"/>
  <c r="AV315" i="1"/>
  <c r="AR315" i="1"/>
  <c r="BB314" i="1"/>
  <c r="AO315" i="1"/>
  <c r="AV314" i="1"/>
  <c r="AR314" i="1"/>
  <c r="AP314" i="1"/>
  <c r="AO314" i="1"/>
  <c r="BB313" i="1"/>
  <c r="BA313" i="1"/>
  <c r="AY313" i="1"/>
  <c r="AY311" i="1" s="1"/>
  <c r="AO313" i="1" s="1"/>
  <c r="AW313" i="1" s="1"/>
  <c r="AU311" i="1"/>
  <c r="AU313" i="1"/>
  <c r="AR313" i="1"/>
  <c r="BA310" i="1"/>
  <c r="AN310" i="1" s="1"/>
  <c r="BB312" i="1"/>
  <c r="AU310" i="1"/>
  <c r="AU312" i="1" s="1"/>
  <c r="AR312" i="1"/>
  <c r="BB311" i="1"/>
  <c r="BA311" i="1"/>
  <c r="AV311" i="1"/>
  <c r="AR311" i="1"/>
  <c r="BB310" i="1"/>
  <c r="AO311" i="1"/>
  <c r="AV310" i="1"/>
  <c r="AR310" i="1"/>
  <c r="AP310" i="1"/>
  <c r="AO310" i="1"/>
  <c r="BB309" i="1"/>
  <c r="BA309" i="1"/>
  <c r="AY309" i="1"/>
  <c r="AY307" i="1" s="1"/>
  <c r="AO309" i="1" s="1"/>
  <c r="AW309" i="1" s="1"/>
  <c r="AU307" i="1"/>
  <c r="AU309" i="1" s="1"/>
  <c r="AR309" i="1"/>
  <c r="BA306" i="1"/>
  <c r="AN308" i="1" s="1"/>
  <c r="BB308" i="1"/>
  <c r="AU306" i="1"/>
  <c r="AU308" i="1"/>
  <c r="AR308" i="1"/>
  <c r="BB307" i="1"/>
  <c r="BA307" i="1"/>
  <c r="AV307" i="1"/>
  <c r="AR307" i="1"/>
  <c r="BB306" i="1"/>
  <c r="AO307" i="1"/>
  <c r="AV306" i="1"/>
  <c r="AR306" i="1"/>
  <c r="AP306" i="1"/>
  <c r="AO306" i="1"/>
  <c r="BB49" i="1"/>
  <c r="AY49" i="1"/>
  <c r="AY47" i="1"/>
  <c r="AO49" i="1" s="1"/>
  <c r="AW49" i="1" s="1"/>
  <c r="AU47" i="1"/>
  <c r="AU49" i="1" s="1"/>
  <c r="AR49" i="1"/>
  <c r="BB48" i="1"/>
  <c r="AU46" i="1"/>
  <c r="AU48" i="1" s="1"/>
  <c r="AR48" i="1"/>
  <c r="BB47" i="1"/>
  <c r="BA47" i="1"/>
  <c r="AV47" i="1"/>
  <c r="AR47" i="1"/>
  <c r="BB46" i="1"/>
  <c r="AO47" i="1"/>
  <c r="AV46" i="1"/>
  <c r="AR46" i="1"/>
  <c r="AP46" i="1"/>
  <c r="AO46" i="1"/>
  <c r="BB45" i="1"/>
  <c r="BA45" i="1"/>
  <c r="AY45" i="1"/>
  <c r="AY43" i="1"/>
  <c r="AO45" i="1" s="1"/>
  <c r="AW45" i="1" s="1"/>
  <c r="AU43" i="1"/>
  <c r="AU45" i="1" s="1"/>
  <c r="AR45" i="1"/>
  <c r="BA42" i="1"/>
  <c r="AN42" i="1" s="1"/>
  <c r="BB44" i="1"/>
  <c r="AU42" i="1"/>
  <c r="AU44" i="1"/>
  <c r="AR44" i="1"/>
  <c r="BB43" i="1"/>
  <c r="BA43" i="1"/>
  <c r="AV43" i="1"/>
  <c r="AR43" i="1"/>
  <c r="BB42" i="1"/>
  <c r="AO43" i="1"/>
  <c r="AV42" i="1"/>
  <c r="AR42" i="1"/>
  <c r="AP42" i="1"/>
  <c r="AO42" i="1"/>
  <c r="BB41" i="1"/>
  <c r="BA41" i="1"/>
  <c r="AY41" i="1"/>
  <c r="AY39" i="1"/>
  <c r="AO41" i="1" s="1"/>
  <c r="AW41" i="1" s="1"/>
  <c r="AU39" i="1"/>
  <c r="AU41" i="1"/>
  <c r="AR41" i="1"/>
  <c r="BB40" i="1"/>
  <c r="AU38" i="1"/>
  <c r="AU40" i="1" s="1"/>
  <c r="AR40" i="1"/>
  <c r="BB39" i="1"/>
  <c r="AV39" i="1"/>
  <c r="AR39" i="1"/>
  <c r="BB38" i="1"/>
  <c r="AO39" i="1"/>
  <c r="AV38" i="1"/>
  <c r="AR38" i="1"/>
  <c r="AP38" i="1"/>
  <c r="AO38" i="1"/>
  <c r="BB37" i="1"/>
  <c r="BA37" i="1"/>
  <c r="AY37" i="1"/>
  <c r="AY35" i="1" s="1"/>
  <c r="AO37" i="1" s="1"/>
  <c r="AW37" i="1"/>
  <c r="AU35" i="1"/>
  <c r="AU37" i="1" s="1"/>
  <c r="AR37" i="1"/>
  <c r="BA34" i="1"/>
  <c r="BB36" i="1"/>
  <c r="AU34" i="1"/>
  <c r="AU36" i="1"/>
  <c r="AR36" i="1"/>
  <c r="BB35" i="1"/>
  <c r="BA35" i="1"/>
  <c r="AV35" i="1"/>
  <c r="AR35" i="1"/>
  <c r="BB34" i="1"/>
  <c r="AO35" i="1"/>
  <c r="AV34" i="1"/>
  <c r="AR34" i="1"/>
  <c r="AQ34" i="1"/>
  <c r="AP34" i="1"/>
  <c r="AO34" i="1"/>
  <c r="BB33" i="1"/>
  <c r="BA33" i="1"/>
  <c r="AY33" i="1"/>
  <c r="AY31" i="1"/>
  <c r="AO33" i="1" s="1"/>
  <c r="AW33" i="1" s="1"/>
  <c r="AU31" i="1"/>
  <c r="AU33" i="1"/>
  <c r="AR33" i="1"/>
  <c r="BA30" i="1"/>
  <c r="BB32" i="1"/>
  <c r="AU30" i="1"/>
  <c r="AU32" i="1" s="1"/>
  <c r="AR32" i="1"/>
  <c r="BB31" i="1"/>
  <c r="BA31" i="1"/>
  <c r="AV31" i="1"/>
  <c r="AR31" i="1"/>
  <c r="BB30" i="1"/>
  <c r="AO31" i="1"/>
  <c r="AV30" i="1"/>
  <c r="AR30" i="1"/>
  <c r="AP30" i="1"/>
  <c r="AO30" i="1"/>
  <c r="BB29" i="1"/>
  <c r="AU27" i="1"/>
  <c r="AU29" i="1" s="1"/>
  <c r="AR29" i="1"/>
  <c r="BA26" i="1"/>
  <c r="BB28" i="1"/>
  <c r="AU26" i="1"/>
  <c r="AU28" i="1" s="1"/>
  <c r="AR28" i="1"/>
  <c r="BB27" i="1"/>
  <c r="AV27" i="1"/>
  <c r="AR27" i="1"/>
  <c r="BB26" i="1"/>
  <c r="AO27" i="1"/>
  <c r="AV26" i="1"/>
  <c r="AR26" i="1"/>
  <c r="AP26" i="1"/>
  <c r="AO26" i="1"/>
  <c r="BB25" i="1"/>
  <c r="BA25" i="1"/>
  <c r="AR25" i="1"/>
  <c r="BB24" i="1"/>
  <c r="AR24" i="1"/>
  <c r="BB23" i="1"/>
  <c r="BA23" i="1"/>
  <c r="AR23" i="1"/>
  <c r="BB22" i="1"/>
  <c r="AR22" i="1"/>
  <c r="AQ22" i="1"/>
  <c r="AP22" i="1"/>
  <c r="AR21" i="1"/>
  <c r="AR20" i="1"/>
  <c r="E4" i="2"/>
  <c r="J4" i="2"/>
  <c r="O4" i="2"/>
  <c r="T4" i="2"/>
  <c r="E5" i="2"/>
  <c r="J5" i="2"/>
  <c r="O5" i="2"/>
  <c r="T5" i="2"/>
  <c r="E6" i="2"/>
  <c r="J6" i="2"/>
  <c r="O6" i="2"/>
  <c r="T6" i="2"/>
  <c r="E7" i="2"/>
  <c r="J7" i="2"/>
  <c r="O7" i="2"/>
  <c r="T7" i="2"/>
  <c r="E8" i="2"/>
  <c r="J8" i="2"/>
  <c r="O8" i="2"/>
  <c r="T8" i="2"/>
  <c r="E9" i="2"/>
  <c r="J9" i="2"/>
  <c r="O9" i="2"/>
  <c r="T9" i="2"/>
  <c r="E10" i="2"/>
  <c r="J10" i="2"/>
  <c r="O10" i="2"/>
  <c r="T10" i="2"/>
  <c r="E11" i="2"/>
  <c r="J11" i="2"/>
  <c r="O11" i="2"/>
  <c r="T11" i="2"/>
  <c r="E12" i="2"/>
  <c r="J12" i="2"/>
  <c r="O12" i="2"/>
  <c r="T12" i="2"/>
  <c r="E13" i="2"/>
  <c r="J13" i="2"/>
  <c r="O13" i="2"/>
  <c r="T13" i="2"/>
  <c r="E14" i="2"/>
  <c r="J14" i="2"/>
  <c r="O14" i="2"/>
  <c r="T14" i="2"/>
  <c r="E15" i="2"/>
  <c r="J15" i="2"/>
  <c r="O15" i="2"/>
  <c r="T15" i="2"/>
  <c r="E16" i="2"/>
  <c r="J16" i="2"/>
  <c r="O16" i="2"/>
  <c r="T16" i="2"/>
  <c r="E20" i="2"/>
  <c r="J20" i="2"/>
  <c r="O20" i="2"/>
  <c r="T20" i="2"/>
  <c r="E21" i="2"/>
  <c r="J21" i="2"/>
  <c r="O21" i="2"/>
  <c r="T21" i="2"/>
  <c r="E22" i="2"/>
  <c r="J22" i="2"/>
  <c r="O22" i="2"/>
  <c r="T22" i="2"/>
  <c r="E23" i="2"/>
  <c r="J23" i="2"/>
  <c r="O23" i="2"/>
  <c r="T23" i="2"/>
  <c r="E24" i="2"/>
  <c r="J24" i="2"/>
  <c r="O24" i="2"/>
  <c r="T24" i="2"/>
  <c r="E25" i="2"/>
  <c r="J25" i="2"/>
  <c r="O25" i="2"/>
  <c r="T25" i="2"/>
  <c r="E26" i="2"/>
  <c r="J26" i="2"/>
  <c r="O26" i="2"/>
  <c r="T26" i="2"/>
  <c r="E27" i="2"/>
  <c r="J27" i="2"/>
  <c r="O27" i="2"/>
  <c r="T27" i="2"/>
  <c r="E28" i="2"/>
  <c r="J28" i="2"/>
  <c r="O28" i="2"/>
  <c r="T28" i="2"/>
  <c r="E29" i="2"/>
  <c r="J29" i="2"/>
  <c r="O29" i="2"/>
  <c r="T29" i="2"/>
  <c r="E30" i="2"/>
  <c r="J30" i="2"/>
  <c r="O30" i="2"/>
  <c r="T30" i="2"/>
  <c r="E31" i="2"/>
  <c r="J31" i="2"/>
  <c r="O31" i="2"/>
  <c r="T31" i="2"/>
  <c r="E32" i="2"/>
  <c r="J32" i="2"/>
  <c r="O32" i="2"/>
  <c r="T32" i="2"/>
  <c r="E33" i="2"/>
  <c r="J33" i="2"/>
  <c r="O33" i="2"/>
  <c r="T33" i="2"/>
  <c r="E34" i="2"/>
  <c r="J34" i="2"/>
  <c r="O34" i="2"/>
  <c r="T34" i="2"/>
  <c r="E38" i="2"/>
  <c r="E39" i="2"/>
  <c r="E40" i="2"/>
  <c r="E41" i="2"/>
  <c r="E42" i="2"/>
  <c r="E43" i="2"/>
  <c r="E44" i="2"/>
  <c r="E45" i="2"/>
  <c r="E46" i="2"/>
  <c r="E47" i="2"/>
  <c r="E48" i="2"/>
  <c r="E49" i="2"/>
  <c r="E50" i="2"/>
  <c r="E51" i="2"/>
  <c r="E52" i="2"/>
  <c r="AT304" i="1" l="1"/>
  <c r="AT302" i="1" s="1"/>
  <c r="AW302" i="1" s="1"/>
  <c r="U88" i="1"/>
  <c r="AX86" i="1"/>
  <c r="AF89" i="1" s="1"/>
  <c r="AI87" i="1"/>
  <c r="AV88" i="1"/>
  <c r="AG86" i="1"/>
  <c r="AN93" i="1"/>
  <c r="AN92" i="1"/>
  <c r="AQ90" i="1"/>
  <c r="AX198" i="1"/>
  <c r="AF201" i="1" s="1"/>
  <c r="U200" i="1"/>
  <c r="AV200" i="1"/>
  <c r="AQ35" i="1"/>
  <c r="AN65" i="1"/>
  <c r="AN62" i="1"/>
  <c r="AN63" i="1"/>
  <c r="AQ310" i="1"/>
  <c r="BA121" i="1"/>
  <c r="BA119" i="1"/>
  <c r="BA38" i="1"/>
  <c r="AQ70" i="1"/>
  <c r="AN72" i="1"/>
  <c r="AN23" i="1"/>
  <c r="AN25" i="1"/>
  <c r="AN22" i="1"/>
  <c r="AQ71" i="1"/>
  <c r="AN307" i="1"/>
  <c r="AN52" i="1"/>
  <c r="AN54" i="1"/>
  <c r="AQ58" i="1"/>
  <c r="BA63" i="1"/>
  <c r="AQ63" i="1" s="1"/>
  <c r="AQ31" i="1"/>
  <c r="BA46" i="1"/>
  <c r="AQ47" i="1" s="1"/>
  <c r="AN306" i="1"/>
  <c r="AN102" i="1"/>
  <c r="AN105" i="1"/>
  <c r="AN37" i="1"/>
  <c r="AN309" i="1"/>
  <c r="AN313" i="1"/>
  <c r="AN66" i="1"/>
  <c r="BA79" i="1"/>
  <c r="BA110" i="1"/>
  <c r="AN114" i="1"/>
  <c r="AQ114" i="1"/>
  <c r="AN115" i="1"/>
  <c r="AN155" i="1"/>
  <c r="BA261" i="1"/>
  <c r="BA274" i="1"/>
  <c r="AN287" i="1"/>
  <c r="AN288" i="1"/>
  <c r="AN289" i="1"/>
  <c r="AN286" i="1"/>
  <c r="BA80" i="1"/>
  <c r="AG78" i="1" s="1"/>
  <c r="BA77" i="1"/>
  <c r="BA75" i="1"/>
  <c r="BA67" i="1"/>
  <c r="BA69" i="1"/>
  <c r="BA112" i="1"/>
  <c r="AV136" i="1"/>
  <c r="U137" i="1"/>
  <c r="AI135" i="1"/>
  <c r="BA197" i="1"/>
  <c r="BA194" i="1"/>
  <c r="AN195" i="1" s="1"/>
  <c r="BA180" i="1"/>
  <c r="BA178" i="1"/>
  <c r="AN181" i="1" s="1"/>
  <c r="BA216" i="1"/>
  <c r="U214" i="1" s="1"/>
  <c r="BA291" i="1"/>
  <c r="AV156" i="1"/>
  <c r="AG154" i="1"/>
  <c r="BA214" i="1"/>
  <c r="BA215" i="1"/>
  <c r="BA302" i="1"/>
  <c r="BA303" i="1"/>
  <c r="BA293" i="1"/>
  <c r="BA44" i="1"/>
  <c r="U45" i="1" s="1"/>
  <c r="BA170" i="1"/>
  <c r="BA162" i="1"/>
  <c r="BA165" i="1"/>
  <c r="BA201" i="1"/>
  <c r="BA198" i="1"/>
  <c r="BA192" i="1"/>
  <c r="BA191" i="1"/>
  <c r="BA190" i="1"/>
  <c r="AQ191" i="1" s="1"/>
  <c r="BA182" i="1"/>
  <c r="BA183" i="1"/>
  <c r="AQ183" i="1" s="1"/>
  <c r="AI267" i="1"/>
  <c r="BA276" i="1"/>
  <c r="U277" i="1" s="1"/>
  <c r="BA275" i="1"/>
  <c r="BA266" i="1"/>
  <c r="BA258" i="1"/>
  <c r="BA301" i="1"/>
  <c r="BA299" i="1"/>
  <c r="AQ306" i="1"/>
  <c r="BA206" i="1"/>
  <c r="BA209" i="1"/>
  <c r="AQ59" i="1"/>
  <c r="AN312" i="1"/>
  <c r="AQ83" i="1"/>
  <c r="BA118" i="1"/>
  <c r="AQ154" i="1"/>
  <c r="AQ155" i="1"/>
  <c r="AN186" i="1"/>
  <c r="AN189" i="1"/>
  <c r="BA122" i="1"/>
  <c r="BA123" i="1"/>
  <c r="BA115" i="1"/>
  <c r="BA117" i="1"/>
  <c r="BA140" i="1"/>
  <c r="U212" i="1"/>
  <c r="AI211" i="1"/>
  <c r="BA284" i="1"/>
  <c r="BA285" i="1"/>
  <c r="BA283" i="1"/>
  <c r="BA297" i="1"/>
  <c r="BA296" i="1"/>
  <c r="U297" i="1" s="1"/>
  <c r="BA294" i="1"/>
  <c r="AQ307" i="1"/>
  <c r="AQ163" i="1"/>
  <c r="AQ311" i="1"/>
  <c r="BD30" i="1"/>
  <c r="BD34" i="1" s="1"/>
  <c r="BD38" i="1" s="1"/>
  <c r="BA27" i="1"/>
  <c r="AN70" i="1"/>
  <c r="AQ23" i="1"/>
  <c r="AN311" i="1"/>
  <c r="AN51" i="1"/>
  <c r="AQ62" i="1"/>
  <c r="BA78" i="1"/>
  <c r="AN81" i="1" s="1"/>
  <c r="AQ111" i="1"/>
  <c r="AQ186" i="1"/>
  <c r="AQ187" i="1"/>
  <c r="BA207" i="1"/>
  <c r="U104" i="1"/>
  <c r="U213" i="1"/>
  <c r="BA203" i="1"/>
  <c r="AQ203" i="1" s="1"/>
  <c r="BA244" i="1"/>
  <c r="U245" i="1" s="1"/>
  <c r="BA241" i="1"/>
  <c r="BA238" i="1"/>
  <c r="BA233" i="1"/>
  <c r="BA222" i="1"/>
  <c r="AN224" i="1" s="1"/>
  <c r="AN58" i="1"/>
  <c r="AN59" i="1"/>
  <c r="AN272" i="1"/>
  <c r="AN273" i="1"/>
  <c r="AN285" i="1"/>
  <c r="AN282" i="1"/>
  <c r="AN284" i="1"/>
  <c r="AQ282" i="1"/>
  <c r="AG266" i="1"/>
  <c r="AI266" i="1" s="1"/>
  <c r="U269" i="1"/>
  <c r="AV268" i="1"/>
  <c r="U267" i="1"/>
  <c r="AN36" i="1"/>
  <c r="AN85" i="1"/>
  <c r="AN83" i="1"/>
  <c r="AN35" i="1"/>
  <c r="BA49" i="1"/>
  <c r="BA138" i="1"/>
  <c r="AN138" i="1" s="1"/>
  <c r="BA89" i="1"/>
  <c r="AT303" i="1"/>
  <c r="AW303" i="1" s="1"/>
  <c r="C30" i="1"/>
  <c r="AQ51" i="1"/>
  <c r="BA86" i="1"/>
  <c r="AQ102" i="1"/>
  <c r="AQ103" i="1"/>
  <c r="BA217" i="1"/>
  <c r="BA267" i="1"/>
  <c r="AQ267" i="1" s="1"/>
  <c r="AV104" i="1"/>
  <c r="BA98" i="1"/>
  <c r="BA213" i="1"/>
  <c r="BA204" i="1"/>
  <c r="BA278" i="1"/>
  <c r="BA280" i="1"/>
  <c r="U281" i="1" s="1"/>
  <c r="BA262" i="1"/>
  <c r="AN265" i="1" s="1"/>
  <c r="BA265" i="1"/>
  <c r="BA72" i="1"/>
  <c r="AV72" i="1" s="1"/>
  <c r="BA64" i="1"/>
  <c r="BA248" i="1"/>
  <c r="BA240" i="1"/>
  <c r="BA124" i="1"/>
  <c r="AG122" i="1" s="1"/>
  <c r="AI122" i="1" s="1"/>
  <c r="BA300" i="1"/>
  <c r="AV300" i="1" s="1"/>
  <c r="BA36" i="1"/>
  <c r="U36" i="1" s="1"/>
  <c r="BA55" i="1"/>
  <c r="AQ55" i="1" s="1"/>
  <c r="BA116" i="1"/>
  <c r="AQ171" i="1"/>
  <c r="BD26" i="1"/>
  <c r="BA40" i="1"/>
  <c r="U41" i="1" s="1"/>
  <c r="BA28" i="1"/>
  <c r="AX26" i="1" s="1"/>
  <c r="AF29" i="1" s="1"/>
  <c r="BA272" i="1"/>
  <c r="AI271" i="1" s="1"/>
  <c r="AN87" i="1"/>
  <c r="AN86" i="1"/>
  <c r="AN89" i="1"/>
  <c r="AQ86" i="1"/>
  <c r="AN148" i="1"/>
  <c r="AQ147" i="1"/>
  <c r="AN147" i="1"/>
  <c r="AN146" i="1"/>
  <c r="U317" i="1"/>
  <c r="U316" i="1"/>
  <c r="AI315" i="1"/>
  <c r="AG314" i="1"/>
  <c r="AX314" i="1"/>
  <c r="AF317" i="1" s="1"/>
  <c r="U314" i="1"/>
  <c r="U315" i="1"/>
  <c r="AV316" i="1"/>
  <c r="AN32" i="1"/>
  <c r="AN314" i="1"/>
  <c r="AN34" i="1"/>
  <c r="AN317" i="1"/>
  <c r="BA20" i="1"/>
  <c r="BA18" i="1"/>
  <c r="BA21" i="1"/>
  <c r="AN79" i="1"/>
  <c r="AQ258" i="1"/>
  <c r="AN258" i="1"/>
  <c r="AN260" i="1"/>
  <c r="AN259" i="1"/>
  <c r="AQ259" i="1"/>
  <c r="AN261" i="1"/>
  <c r="AN31" i="1"/>
  <c r="AN30" i="1"/>
  <c r="AN33" i="1"/>
  <c r="AQ30" i="1"/>
  <c r="AN44" i="1"/>
  <c r="AQ43" i="1"/>
  <c r="AN45" i="1"/>
  <c r="AQ42" i="1"/>
  <c r="AN88" i="1"/>
  <c r="AN140" i="1"/>
  <c r="AQ138" i="1"/>
  <c r="AN141" i="1"/>
  <c r="BA176" i="1"/>
  <c r="BA174" i="1"/>
  <c r="BA177" i="1"/>
  <c r="BA175" i="1"/>
  <c r="AN29" i="1"/>
  <c r="AN28" i="1"/>
  <c r="AQ27" i="1"/>
  <c r="AN27" i="1"/>
  <c r="AN26" i="1"/>
  <c r="AN47" i="1"/>
  <c r="AN46" i="1"/>
  <c r="AN49" i="1"/>
  <c r="AQ46" i="1"/>
  <c r="AQ26" i="1"/>
  <c r="AN48" i="1"/>
  <c r="AQ146" i="1"/>
  <c r="AN43" i="1"/>
  <c r="AX170" i="1"/>
  <c r="AF173" i="1" s="1"/>
  <c r="U171" i="1"/>
  <c r="AG170" i="1"/>
  <c r="AV172" i="1"/>
  <c r="U173" i="1"/>
  <c r="U172" i="1"/>
  <c r="U170" i="1"/>
  <c r="AI171" i="1"/>
  <c r="BA168" i="1"/>
  <c r="BA169" i="1"/>
  <c r="BA167" i="1"/>
  <c r="BA166" i="1"/>
  <c r="BA160" i="1"/>
  <c r="BA161" i="1"/>
  <c r="BA159" i="1"/>
  <c r="AQ159" i="1" s="1"/>
  <c r="BA150" i="1"/>
  <c r="BA153" i="1"/>
  <c r="BA151" i="1"/>
  <c r="AQ314" i="1"/>
  <c r="AN316" i="1"/>
  <c r="AQ315" i="1"/>
  <c r="AN300" i="1"/>
  <c r="AQ299" i="1"/>
  <c r="AN299" i="1"/>
  <c r="AN298" i="1"/>
  <c r="AQ298" i="1"/>
  <c r="AN301" i="1"/>
  <c r="AN96" i="1"/>
  <c r="AQ95" i="1"/>
  <c r="AQ94" i="1"/>
  <c r="AN97" i="1"/>
  <c r="AN95" i="1"/>
  <c r="AN94" i="1"/>
  <c r="AQ87" i="1"/>
  <c r="AN159" i="1"/>
  <c r="AN158" i="1"/>
  <c r="AN161" i="1"/>
  <c r="AN160" i="1"/>
  <c r="AQ158" i="1"/>
  <c r="AN180" i="1"/>
  <c r="AQ179" i="1"/>
  <c r="AN178" i="1"/>
  <c r="AN179" i="1"/>
  <c r="AN127" i="1"/>
  <c r="AN126" i="1"/>
  <c r="BD58" i="1"/>
  <c r="BD62" i="1" s="1"/>
  <c r="BD66" i="1" s="1"/>
  <c r="BD70" i="1" s="1"/>
  <c r="BD74" i="1" s="1"/>
  <c r="BD78" i="1" s="1"/>
  <c r="BD82" i="1" s="1"/>
  <c r="BD86" i="1" s="1"/>
  <c r="BD90" i="1" s="1"/>
  <c r="BD94" i="1" s="1"/>
  <c r="BD98" i="1" s="1"/>
  <c r="BD102" i="1" s="1"/>
  <c r="BD106" i="1" s="1"/>
  <c r="BD110" i="1" s="1"/>
  <c r="BD114" i="1" s="1"/>
  <c r="BD118" i="1" s="1"/>
  <c r="BD122" i="1" s="1"/>
  <c r="BD126" i="1" s="1"/>
  <c r="BD130" i="1" s="1"/>
  <c r="BD134" i="1" s="1"/>
  <c r="BD138" i="1" s="1"/>
  <c r="BD142" i="1" s="1"/>
  <c r="BD146" i="1" s="1"/>
  <c r="BD150" i="1" s="1"/>
  <c r="BD154" i="1" s="1"/>
  <c r="BD158" i="1" s="1"/>
  <c r="BD162" i="1" s="1"/>
  <c r="BD166" i="1" s="1"/>
  <c r="BD170" i="1" s="1"/>
  <c r="BD174" i="1" s="1"/>
  <c r="BD178" i="1" s="1"/>
  <c r="BD182" i="1" s="1"/>
  <c r="BD186" i="1" s="1"/>
  <c r="BD190" i="1" s="1"/>
  <c r="BD194" i="1" s="1"/>
  <c r="BD198" i="1" s="1"/>
  <c r="BD202" i="1" s="1"/>
  <c r="BD206" i="1" s="1"/>
  <c r="BD210" i="1" s="1"/>
  <c r="BD214" i="1" s="1"/>
  <c r="BD218" i="1" s="1"/>
  <c r="BD222" i="1" s="1"/>
  <c r="BD226" i="1" s="1"/>
  <c r="BD230" i="1" s="1"/>
  <c r="BD234" i="1" s="1"/>
  <c r="BD238" i="1" s="1"/>
  <c r="BD242" i="1" s="1"/>
  <c r="BD246" i="1" s="1"/>
  <c r="BD250" i="1" s="1"/>
  <c r="BD254" i="1" s="1"/>
  <c r="BD258" i="1" s="1"/>
  <c r="BD262" i="1" s="1"/>
  <c r="BD266" i="1" s="1"/>
  <c r="BD270" i="1" s="1"/>
  <c r="BD274" i="1" s="1"/>
  <c r="BD278" i="1" s="1"/>
  <c r="BD282" i="1" s="1"/>
  <c r="BD286" i="1" s="1"/>
  <c r="BD290" i="1" s="1"/>
  <c r="BD294" i="1" s="1"/>
  <c r="BD298" i="1" s="1"/>
  <c r="BD302" i="1" s="1"/>
  <c r="BD306" i="1" s="1"/>
  <c r="BD310" i="1" s="1"/>
  <c r="BD314" i="1" s="1"/>
  <c r="BC322" i="1" s="1"/>
  <c r="C122" i="1"/>
  <c r="C154" i="1"/>
  <c r="C186" i="1"/>
  <c r="C250" i="1"/>
  <c r="C282" i="1"/>
  <c r="BA132" i="1"/>
  <c r="AN297" i="1"/>
  <c r="AQ294" i="1"/>
  <c r="AQ82" i="1"/>
  <c r="AN133" i="1"/>
  <c r="AQ130" i="1"/>
  <c r="AQ131" i="1"/>
  <c r="AN130" i="1"/>
  <c r="AN131" i="1"/>
  <c r="AG267" i="1"/>
  <c r="AN56" i="1"/>
  <c r="AN304" i="1"/>
  <c r="AQ303" i="1"/>
  <c r="AN294" i="1"/>
  <c r="AQ119" i="1"/>
  <c r="AN191" i="1"/>
  <c r="AN190" i="1"/>
  <c r="AN212" i="1"/>
  <c r="AQ211" i="1"/>
  <c r="AQ210" i="1"/>
  <c r="AN211" i="1"/>
  <c r="AN210" i="1"/>
  <c r="BA57" i="1"/>
  <c r="BA56" i="1"/>
  <c r="AQ54" i="1"/>
  <c r="AN100" i="1"/>
  <c r="AQ99" i="1"/>
  <c r="AQ126" i="1"/>
  <c r="AN136" i="1"/>
  <c r="AQ135" i="1"/>
  <c r="AN135" i="1"/>
  <c r="AN134" i="1"/>
  <c r="AN137" i="1"/>
  <c r="AQ134" i="1"/>
  <c r="AQ178" i="1"/>
  <c r="AN194" i="1"/>
  <c r="BA74" i="1"/>
  <c r="BA76" i="1"/>
  <c r="BA106" i="1"/>
  <c r="BA107" i="1"/>
  <c r="AI99" i="1"/>
  <c r="AX98" i="1"/>
  <c r="AF101" i="1" s="1"/>
  <c r="U99" i="1"/>
  <c r="AG98" i="1"/>
  <c r="U98" i="1"/>
  <c r="U101" i="1"/>
  <c r="U100" i="1"/>
  <c r="AV100" i="1"/>
  <c r="AQ295" i="1"/>
  <c r="AN225" i="1"/>
  <c r="AQ222" i="1"/>
  <c r="U40" i="1"/>
  <c r="AX38" i="1"/>
  <c r="AF41" i="1" s="1"/>
  <c r="AV40" i="1"/>
  <c r="U39" i="1"/>
  <c r="AG123" i="1"/>
  <c r="AQ302" i="1"/>
  <c r="AN64" i="1"/>
  <c r="AN68" i="1"/>
  <c r="AQ67" i="1"/>
  <c r="AN91" i="1"/>
  <c r="AN90" i="1"/>
  <c r="AN98" i="1"/>
  <c r="AN116" i="1"/>
  <c r="AQ115" i="1"/>
  <c r="AN129" i="1"/>
  <c r="AQ283" i="1"/>
  <c r="U80" i="1"/>
  <c r="U81" i="1"/>
  <c r="U79" i="1"/>
  <c r="AX78" i="1"/>
  <c r="AF81" i="1" s="1"/>
  <c r="BA254" i="1"/>
  <c r="BA257" i="1"/>
  <c r="AN200" i="1"/>
  <c r="AQ199" i="1"/>
  <c r="AN199" i="1"/>
  <c r="AN198" i="1"/>
  <c r="AN201" i="1"/>
  <c r="AQ198" i="1"/>
  <c r="AN244" i="1"/>
  <c r="AQ243" i="1"/>
  <c r="AN245" i="1"/>
  <c r="AN243" i="1"/>
  <c r="AN242" i="1"/>
  <c r="AQ242" i="1"/>
  <c r="AN248" i="1"/>
  <c r="AQ247" i="1"/>
  <c r="AQ246" i="1"/>
  <c r="AN249" i="1"/>
  <c r="AN246" i="1"/>
  <c r="AI43" i="1"/>
  <c r="U44" i="1"/>
  <c r="AG42" i="1"/>
  <c r="BA237" i="1"/>
  <c r="BA235" i="1"/>
  <c r="AQ235" i="1" s="1"/>
  <c r="AN235" i="1"/>
  <c r="AN237" i="1"/>
  <c r="AQ234" i="1"/>
  <c r="AN236" i="1"/>
  <c r="AN234" i="1"/>
  <c r="AQ291" i="1"/>
  <c r="BA144" i="1"/>
  <c r="BA142" i="1"/>
  <c r="BA143" i="1"/>
  <c r="AI51" i="1"/>
  <c r="U52" i="1"/>
  <c r="AV52" i="1"/>
  <c r="U51" i="1"/>
  <c r="AX50" i="1"/>
  <c r="AF53" i="1" s="1"/>
  <c r="AG50" i="1"/>
  <c r="U53" i="1"/>
  <c r="U46" i="1"/>
  <c r="U48" i="1"/>
  <c r="AI47" i="1"/>
  <c r="U47" i="1"/>
  <c r="U49" i="1"/>
  <c r="AX46" i="1"/>
  <c r="AF49" i="1" s="1"/>
  <c r="AG46" i="1"/>
  <c r="U72" i="1"/>
  <c r="U71" i="1"/>
  <c r="AX70" i="1"/>
  <c r="AF73" i="1" s="1"/>
  <c r="AG70" i="1"/>
  <c r="U73" i="1"/>
  <c r="U70" i="1"/>
  <c r="AI71" i="1"/>
  <c r="AG62" i="1"/>
  <c r="U65" i="1"/>
  <c r="U63" i="1"/>
  <c r="U62" i="1"/>
  <c r="AX62" i="1"/>
  <c r="AF65" i="1" s="1"/>
  <c r="U64" i="1"/>
  <c r="BA92" i="1"/>
  <c r="BA93" i="1"/>
  <c r="BA91" i="1"/>
  <c r="AQ91" i="1" s="1"/>
  <c r="BA84" i="1"/>
  <c r="AI59" i="1"/>
  <c r="AV60" i="1"/>
  <c r="U58" i="1"/>
  <c r="U60" i="1"/>
  <c r="AX58" i="1"/>
  <c r="AF61" i="1" s="1"/>
  <c r="AG58" i="1"/>
  <c r="U59" i="1"/>
  <c r="AN111" i="1"/>
  <c r="AN110" i="1"/>
  <c r="AN171" i="1"/>
  <c r="AN170" i="1"/>
  <c r="AN204" i="1"/>
  <c r="BA228" i="1"/>
  <c r="BA226" i="1"/>
  <c r="BA229" i="1"/>
  <c r="BA218" i="1"/>
  <c r="BA221" i="1"/>
  <c r="AN291" i="1"/>
  <c r="AN290" i="1"/>
  <c r="AN293" i="1"/>
  <c r="AQ290" i="1"/>
  <c r="U35" i="1"/>
  <c r="AX34" i="1"/>
  <c r="AF37" i="1" s="1"/>
  <c r="AN165" i="1"/>
  <c r="AQ162" i="1"/>
  <c r="AN203" i="1"/>
  <c r="AN202" i="1"/>
  <c r="AN239" i="1"/>
  <c r="AN238" i="1"/>
  <c r="AN241" i="1"/>
  <c r="U32" i="1"/>
  <c r="U31" i="1"/>
  <c r="AX30" i="1"/>
  <c r="AF33" i="1" s="1"/>
  <c r="U30" i="1"/>
  <c r="AI31" i="1"/>
  <c r="AG30" i="1"/>
  <c r="U33" i="1"/>
  <c r="AG26" i="1"/>
  <c r="U29" i="1"/>
  <c r="U28" i="1"/>
  <c r="AV28" i="1"/>
  <c r="U27" i="1"/>
  <c r="U26" i="1"/>
  <c r="AI27" i="1"/>
  <c r="BA129" i="1"/>
  <c r="BA127" i="1"/>
  <c r="AQ127" i="1" s="1"/>
  <c r="U139" i="1"/>
  <c r="AG138" i="1"/>
  <c r="U138" i="1"/>
  <c r="AX138" i="1"/>
  <c r="AF141" i="1" s="1"/>
  <c r="AV140" i="1"/>
  <c r="AI139" i="1"/>
  <c r="U141" i="1"/>
  <c r="U140" i="1"/>
  <c r="BA250" i="1"/>
  <c r="BA253" i="1"/>
  <c r="AX242" i="1"/>
  <c r="AF245" i="1" s="1"/>
  <c r="BA232" i="1"/>
  <c r="BA230" i="1"/>
  <c r="BA68" i="1"/>
  <c r="AI123" i="1"/>
  <c r="U125" i="1"/>
  <c r="U124" i="1"/>
  <c r="AX122" i="1"/>
  <c r="AF125" i="1" s="1"/>
  <c r="AV124" i="1"/>
  <c r="U123" i="1"/>
  <c r="U122" i="1"/>
  <c r="U135" i="1"/>
  <c r="AX134" i="1"/>
  <c r="AF137" i="1" s="1"/>
  <c r="AG134" i="1"/>
  <c r="U134" i="1"/>
  <c r="U136" i="1"/>
  <c r="AI191" i="1"/>
  <c r="U191" i="1"/>
  <c r="U193" i="1"/>
  <c r="U190" i="1"/>
  <c r="AG190" i="1"/>
  <c r="U192" i="1"/>
  <c r="AX190" i="1"/>
  <c r="AF193" i="1" s="1"/>
  <c r="AV192" i="1"/>
  <c r="AN268" i="1"/>
  <c r="AN267" i="1"/>
  <c r="AN266" i="1"/>
  <c r="AN269" i="1"/>
  <c r="AQ266" i="1"/>
  <c r="AN280" i="1"/>
  <c r="AQ279" i="1"/>
  <c r="U86" i="1"/>
  <c r="U87" i="1"/>
  <c r="U89" i="1"/>
  <c r="U112" i="1"/>
  <c r="U111" i="1"/>
  <c r="AX110" i="1"/>
  <c r="AF113" i="1" s="1"/>
  <c r="U113" i="1"/>
  <c r="U110" i="1"/>
  <c r="AI111" i="1"/>
  <c r="U217" i="1"/>
  <c r="AG214" i="1"/>
  <c r="U216" i="1"/>
  <c r="AI215" i="1"/>
  <c r="U215" i="1"/>
  <c r="AX214" i="1"/>
  <c r="AF217" i="1" s="1"/>
  <c r="AV216" i="1"/>
  <c r="U300" i="1"/>
  <c r="U301" i="1"/>
  <c r="U299" i="1"/>
  <c r="AN271" i="1"/>
  <c r="AN270" i="1"/>
  <c r="C270" i="1"/>
  <c r="BA24" i="1"/>
  <c r="BA120" i="1"/>
  <c r="AQ275" i="1"/>
  <c r="BD42" i="1"/>
  <c r="BD46" i="1" s="1"/>
  <c r="BD50" i="1" s="1"/>
  <c r="BD54" i="1" s="1"/>
  <c r="BA96" i="1"/>
  <c r="AG102" i="1"/>
  <c r="U105" i="1"/>
  <c r="U103" i="1"/>
  <c r="AI103" i="1"/>
  <c r="U102" i="1"/>
  <c r="BA128" i="1"/>
  <c r="BA108" i="1"/>
  <c r="BA188" i="1"/>
  <c r="U178" i="1"/>
  <c r="U179" i="1"/>
  <c r="AX178" i="1"/>
  <c r="AF181" i="1" s="1"/>
  <c r="AI115" i="1"/>
  <c r="BA252" i="1"/>
  <c r="BA224" i="1"/>
  <c r="U286" i="1"/>
  <c r="AG286" i="1"/>
  <c r="U289" i="1"/>
  <c r="AI287" i="1"/>
  <c r="AX286" i="1"/>
  <c r="AF289" i="1" s="1"/>
  <c r="U287" i="1"/>
  <c r="U288" i="1"/>
  <c r="AG274" i="1"/>
  <c r="AI311" i="1"/>
  <c r="AG310" i="1"/>
  <c r="U313" i="1"/>
  <c r="U312" i="1"/>
  <c r="U311" i="1"/>
  <c r="V312" i="1" s="1"/>
  <c r="AQ312" i="1" s="1"/>
  <c r="AX310" i="1"/>
  <c r="AF313" i="1" s="1"/>
  <c r="BA308" i="1"/>
  <c r="U115" i="1"/>
  <c r="AX114" i="1"/>
  <c r="AF117" i="1" s="1"/>
  <c r="AG114" i="1"/>
  <c r="U117" i="1"/>
  <c r="U114" i="1"/>
  <c r="U156" i="1"/>
  <c r="U155" i="1"/>
  <c r="AX154" i="1"/>
  <c r="AF157" i="1" s="1"/>
  <c r="U157" i="1"/>
  <c r="AI155" i="1"/>
  <c r="U154" i="1"/>
  <c r="BA152" i="1"/>
  <c r="AG198" i="1"/>
  <c r="U201" i="1"/>
  <c r="U199" i="1"/>
  <c r="AI199" i="1"/>
  <c r="U198" i="1"/>
  <c r="U246" i="1"/>
  <c r="AG246" i="1"/>
  <c r="U249" i="1"/>
  <c r="AI247" i="1"/>
  <c r="U247" i="1"/>
  <c r="AX246" i="1"/>
  <c r="AF249" i="1" s="1"/>
  <c r="U240" i="1"/>
  <c r="U239" i="1"/>
  <c r="AX238" i="1"/>
  <c r="AF241" i="1" s="1"/>
  <c r="AG238" i="1"/>
  <c r="U266" i="1"/>
  <c r="AX266" i="1"/>
  <c r="AF269" i="1" s="1"/>
  <c r="U211" i="1"/>
  <c r="AX210" i="1"/>
  <c r="AF213" i="1" s="1"/>
  <c r="U210" i="1"/>
  <c r="AG210" i="1"/>
  <c r="BA148" i="1"/>
  <c r="U271" i="1"/>
  <c r="AG202" i="1"/>
  <c r="U205" i="1"/>
  <c r="U204" i="1"/>
  <c r="BA260" i="1"/>
  <c r="BA304" i="1"/>
  <c r="BA236" i="1"/>
  <c r="BA264" i="1"/>
  <c r="AG294" i="1"/>
  <c r="U296" i="1"/>
  <c r="AX294" i="1"/>
  <c r="AF297" i="1" s="1"/>
  <c r="BA164" i="1"/>
  <c r="BA208" i="1"/>
  <c r="BA256" i="1"/>
  <c r="U280" i="1"/>
  <c r="U279" i="1"/>
  <c r="AX278" i="1"/>
  <c r="AF281" i="1" s="1"/>
  <c r="BA196" i="1"/>
  <c r="BA292" i="1"/>
  <c r="BA184" i="1"/>
  <c r="BA220" i="1"/>
  <c r="AG124" i="1" l="1"/>
  <c r="AG268" i="1"/>
  <c r="AI283" i="1"/>
  <c r="AV284" i="1"/>
  <c r="AQ215" i="1"/>
  <c r="AN217" i="1"/>
  <c r="AN216" i="1"/>
  <c r="AN215" i="1"/>
  <c r="AQ262" i="1"/>
  <c r="AG242" i="1"/>
  <c r="AI242" i="1" s="1"/>
  <c r="AG298" i="1"/>
  <c r="U242" i="1"/>
  <c r="AG34" i="1"/>
  <c r="AI34" i="1" s="1"/>
  <c r="U43" i="1"/>
  <c r="AV80" i="1"/>
  <c r="AN192" i="1"/>
  <c r="AG38" i="1"/>
  <c r="AG39" i="1" s="1"/>
  <c r="AN196" i="1"/>
  <c r="AQ190" i="1"/>
  <c r="AN78" i="1"/>
  <c r="U116" i="1"/>
  <c r="V114" i="1" s="1"/>
  <c r="AV116" i="1"/>
  <c r="AN123" i="1"/>
  <c r="AQ122" i="1"/>
  <c r="AN122" i="1"/>
  <c r="AN124" i="1"/>
  <c r="AN125" i="1"/>
  <c r="AN303" i="1"/>
  <c r="AN305" i="1"/>
  <c r="AN302" i="1"/>
  <c r="U181" i="1"/>
  <c r="V178" i="1" s="1"/>
  <c r="AG178" i="1"/>
  <c r="AV180" i="1"/>
  <c r="U180" i="1"/>
  <c r="AI179" i="1"/>
  <c r="AN276" i="1"/>
  <c r="AQ274" i="1"/>
  <c r="AN274" i="1"/>
  <c r="AN275" i="1"/>
  <c r="AN277" i="1"/>
  <c r="U285" i="1"/>
  <c r="AQ195" i="1"/>
  <c r="AN80" i="1"/>
  <c r="U272" i="1"/>
  <c r="AX270" i="1"/>
  <c r="AF273" i="1" s="1"/>
  <c r="AV272" i="1"/>
  <c r="AG278" i="1"/>
  <c r="AI279" i="1"/>
  <c r="AV280" i="1"/>
  <c r="AN163" i="1"/>
  <c r="AN164" i="1"/>
  <c r="AN162" i="1"/>
  <c r="AG156" i="1"/>
  <c r="AG155" i="1"/>
  <c r="U270" i="1"/>
  <c r="V273" i="1" s="1"/>
  <c r="AQ273" i="1" s="1"/>
  <c r="U284" i="1"/>
  <c r="AI299" i="1"/>
  <c r="U244" i="1"/>
  <c r="AV36" i="1"/>
  <c r="AQ263" i="1"/>
  <c r="V53" i="1"/>
  <c r="AQ53" i="1" s="1"/>
  <c r="U42" i="1"/>
  <c r="V45" i="1" s="1"/>
  <c r="AQ45" i="1" s="1"/>
  <c r="AI79" i="1"/>
  <c r="AI39" i="1"/>
  <c r="AN197" i="1"/>
  <c r="AQ139" i="1"/>
  <c r="AN281" i="1"/>
  <c r="AN279" i="1"/>
  <c r="AQ278" i="1"/>
  <c r="AN278" i="1"/>
  <c r="AN296" i="1"/>
  <c r="AN295" i="1"/>
  <c r="AQ182" i="1"/>
  <c r="AN182" i="1"/>
  <c r="AN183" i="1"/>
  <c r="AN184" i="1"/>
  <c r="AN185" i="1"/>
  <c r="AQ170" i="1"/>
  <c r="AN172" i="1"/>
  <c r="AN173" i="1"/>
  <c r="AN39" i="1"/>
  <c r="AQ38" i="1"/>
  <c r="AN40" i="1"/>
  <c r="AN41" i="1"/>
  <c r="AN38" i="1"/>
  <c r="U274" i="1"/>
  <c r="V274" i="1" s="1"/>
  <c r="AP276" i="1" s="1"/>
  <c r="U275" i="1"/>
  <c r="AI275" i="1"/>
  <c r="AV276" i="1"/>
  <c r="U243" i="1"/>
  <c r="AQ79" i="1"/>
  <c r="AN208" i="1"/>
  <c r="AN207" i="1"/>
  <c r="AQ206" i="1"/>
  <c r="AQ207" i="1"/>
  <c r="AN206" i="1"/>
  <c r="AN209" i="1"/>
  <c r="AG282" i="1"/>
  <c r="AG284" i="1" s="1"/>
  <c r="AI35" i="1"/>
  <c r="AN121" i="1"/>
  <c r="AN118" i="1"/>
  <c r="AN120" i="1"/>
  <c r="AQ118" i="1"/>
  <c r="AN119" i="1"/>
  <c r="U273" i="1"/>
  <c r="AX274" i="1"/>
  <c r="AF277" i="1" s="1"/>
  <c r="AX282" i="1"/>
  <c r="AF285" i="1" s="1"/>
  <c r="AI154" i="1"/>
  <c r="AX298" i="1"/>
  <c r="AF301" i="1" s="1"/>
  <c r="AI243" i="1"/>
  <c r="U34" i="1"/>
  <c r="AV44" i="1"/>
  <c r="AQ214" i="1"/>
  <c r="U78" i="1"/>
  <c r="V80" i="1" s="1"/>
  <c r="AQ80" i="1" s="1"/>
  <c r="U38" i="1"/>
  <c r="AN139" i="1"/>
  <c r="AQ78" i="1"/>
  <c r="AV248" i="1"/>
  <c r="U248" i="1"/>
  <c r="AG110" i="1"/>
  <c r="AV112" i="1"/>
  <c r="AN113" i="1"/>
  <c r="AQ110" i="1"/>
  <c r="AN112" i="1"/>
  <c r="AN263" i="1"/>
  <c r="AN264" i="1"/>
  <c r="AG87" i="1"/>
  <c r="AI86" i="1"/>
  <c r="AG88" i="1"/>
  <c r="AV244" i="1"/>
  <c r="AQ194" i="1"/>
  <c r="U282" i="1"/>
  <c r="V285" i="1" s="1"/>
  <c r="AQ285" i="1" s="1"/>
  <c r="AN214" i="1"/>
  <c r="AV240" i="1"/>
  <c r="U238" i="1"/>
  <c r="AI239" i="1"/>
  <c r="U241" i="1"/>
  <c r="V238" i="1" s="1"/>
  <c r="AV204" i="1"/>
  <c r="U203" i="1"/>
  <c r="V202" i="1" s="1"/>
  <c r="AI203" i="1"/>
  <c r="U202" i="1"/>
  <c r="AX202" i="1"/>
  <c r="AF205" i="1" s="1"/>
  <c r="AQ223" i="1"/>
  <c r="AN222" i="1"/>
  <c r="AV296" i="1"/>
  <c r="U295" i="1"/>
  <c r="AI295" i="1"/>
  <c r="U294" i="1"/>
  <c r="V294" i="1" s="1"/>
  <c r="U278" i="1"/>
  <c r="V280" i="1" s="1"/>
  <c r="AQ280" i="1" s="1"/>
  <c r="AG270" i="1"/>
  <c r="AI270" i="1" s="1"/>
  <c r="U276" i="1"/>
  <c r="U283" i="1"/>
  <c r="U298" i="1"/>
  <c r="V216" i="1"/>
  <c r="AQ216" i="1" s="1"/>
  <c r="AN262" i="1"/>
  <c r="U37" i="1"/>
  <c r="V36" i="1" s="1"/>
  <c r="AQ36" i="1" s="1"/>
  <c r="AX42" i="1"/>
  <c r="AF45" i="1" s="1"/>
  <c r="AN223" i="1"/>
  <c r="AN193" i="1"/>
  <c r="AI63" i="1"/>
  <c r="AV64" i="1"/>
  <c r="AQ98" i="1"/>
  <c r="AN99" i="1"/>
  <c r="AN101" i="1"/>
  <c r="AN240" i="1"/>
  <c r="AQ239" i="1"/>
  <c r="AQ238" i="1"/>
  <c r="AQ123" i="1"/>
  <c r="AQ39" i="1"/>
  <c r="V212" i="1"/>
  <c r="AQ212" i="1" s="1"/>
  <c r="V210" i="1"/>
  <c r="V213" i="1"/>
  <c r="AQ213" i="1" s="1"/>
  <c r="V289" i="1"/>
  <c r="AQ289" i="1" s="1"/>
  <c r="V288" i="1"/>
  <c r="AQ288" i="1" s="1"/>
  <c r="V286" i="1"/>
  <c r="AN144" i="1"/>
  <c r="AQ143" i="1"/>
  <c r="AN142" i="1"/>
  <c r="AN145" i="1"/>
  <c r="AQ142" i="1"/>
  <c r="AN143" i="1"/>
  <c r="V117" i="1"/>
  <c r="AQ117" i="1" s="1"/>
  <c r="V116" i="1"/>
  <c r="AQ116" i="1" s="1"/>
  <c r="AG106" i="1"/>
  <c r="U109" i="1"/>
  <c r="U108" i="1"/>
  <c r="U107" i="1"/>
  <c r="AI107" i="1"/>
  <c r="AV108" i="1"/>
  <c r="AX106" i="1"/>
  <c r="AF109" i="1" s="1"/>
  <c r="U106" i="1"/>
  <c r="V125" i="1"/>
  <c r="AQ125" i="1" s="1"/>
  <c r="V122" i="1"/>
  <c r="V124" i="1"/>
  <c r="AQ124" i="1" s="1"/>
  <c r="V214" i="1"/>
  <c r="U55" i="1"/>
  <c r="AX54" i="1"/>
  <c r="AF57" i="1" s="1"/>
  <c r="U57" i="1"/>
  <c r="U54" i="1"/>
  <c r="AI55" i="1"/>
  <c r="U56" i="1"/>
  <c r="AV56" i="1"/>
  <c r="AG54" i="1"/>
  <c r="V52" i="1"/>
  <c r="AQ52" i="1" s="1"/>
  <c r="U303" i="1"/>
  <c r="AX302" i="1"/>
  <c r="AF305" i="1" s="1"/>
  <c r="U304" i="1"/>
  <c r="U302" i="1"/>
  <c r="AI303" i="1"/>
  <c r="U305" i="1"/>
  <c r="AG302" i="1"/>
  <c r="AV304" i="1"/>
  <c r="V198" i="1"/>
  <c r="V201" i="1"/>
  <c r="AQ201" i="1" s="1"/>
  <c r="V200" i="1"/>
  <c r="AQ200" i="1" s="1"/>
  <c r="U126" i="1"/>
  <c r="AX126" i="1"/>
  <c r="AF129" i="1" s="1"/>
  <c r="U128" i="1"/>
  <c r="U129" i="1"/>
  <c r="U127" i="1"/>
  <c r="AV128" i="1"/>
  <c r="AG126" i="1"/>
  <c r="AI127" i="1"/>
  <c r="V50" i="1"/>
  <c r="AF18" i="1"/>
  <c r="U19" i="1"/>
  <c r="AV20" i="1"/>
  <c r="AV21" i="1" s="1"/>
  <c r="U21" i="1"/>
  <c r="U18" i="1"/>
  <c r="AI19" i="1"/>
  <c r="AX18" i="1"/>
  <c r="AF21" i="1" s="1"/>
  <c r="AG18" i="1"/>
  <c r="U20" i="1"/>
  <c r="AI259" i="1"/>
  <c r="U260" i="1"/>
  <c r="AX258" i="1"/>
  <c r="AF261" i="1" s="1"/>
  <c r="U261" i="1"/>
  <c r="AV260" i="1"/>
  <c r="AG258" i="1"/>
  <c r="U259" i="1"/>
  <c r="U258" i="1"/>
  <c r="AI310" i="1"/>
  <c r="AG311" i="1"/>
  <c r="AG312" i="1"/>
  <c r="AG216" i="1"/>
  <c r="AI214" i="1"/>
  <c r="AG215" i="1"/>
  <c r="AG146" i="1"/>
  <c r="U149" i="1"/>
  <c r="U146" i="1"/>
  <c r="U148" i="1"/>
  <c r="AX146" i="1"/>
  <c r="AF149" i="1" s="1"/>
  <c r="AV148" i="1"/>
  <c r="AI147" i="1"/>
  <c r="U147" i="1"/>
  <c r="AG247" i="1"/>
  <c r="AI246" i="1"/>
  <c r="AG248" i="1"/>
  <c r="V137" i="1"/>
  <c r="AQ137" i="1" s="1"/>
  <c r="V136" i="1"/>
  <c r="AQ136" i="1" s="1"/>
  <c r="V134" i="1"/>
  <c r="AI202" i="1"/>
  <c r="AG204" i="1"/>
  <c r="AG203" i="1"/>
  <c r="V240" i="1"/>
  <c r="AQ240" i="1" s="1"/>
  <c r="V249" i="1"/>
  <c r="AQ249" i="1" s="1"/>
  <c r="V248" i="1"/>
  <c r="AQ248" i="1" s="1"/>
  <c r="V246" i="1"/>
  <c r="V313" i="1"/>
  <c r="AQ313" i="1" s="1"/>
  <c r="V88" i="1"/>
  <c r="AQ88" i="1" s="1"/>
  <c r="V86" i="1"/>
  <c r="V89" i="1"/>
  <c r="AQ89" i="1" s="1"/>
  <c r="AG136" i="1"/>
  <c r="AI134" i="1"/>
  <c r="AG135" i="1"/>
  <c r="AI138" i="1"/>
  <c r="AG139" i="1"/>
  <c r="AG140" i="1"/>
  <c r="V30" i="1"/>
  <c r="V33" i="1"/>
  <c r="AQ33" i="1" s="1"/>
  <c r="V32" i="1"/>
  <c r="AQ32" i="1" s="1"/>
  <c r="AN257" i="1"/>
  <c r="AQ254" i="1"/>
  <c r="AN256" i="1"/>
  <c r="AN255" i="1"/>
  <c r="AQ255" i="1"/>
  <c r="AN254" i="1"/>
  <c r="AI183" i="1"/>
  <c r="AG182" i="1"/>
  <c r="U185" i="1"/>
  <c r="U184" i="1"/>
  <c r="U183" i="1"/>
  <c r="AX182" i="1"/>
  <c r="AF185" i="1" s="1"/>
  <c r="U182" i="1"/>
  <c r="AV184" i="1"/>
  <c r="AG212" i="1"/>
  <c r="AG211" i="1"/>
  <c r="AI210" i="1"/>
  <c r="V310" i="1"/>
  <c r="AG287" i="1"/>
  <c r="AI286" i="1"/>
  <c r="AG288" i="1"/>
  <c r="U187" i="1"/>
  <c r="U186" i="1"/>
  <c r="AX186" i="1"/>
  <c r="AF189" i="1" s="1"/>
  <c r="U189" i="1"/>
  <c r="U188" i="1"/>
  <c r="AV188" i="1"/>
  <c r="AG186" i="1"/>
  <c r="AI187" i="1"/>
  <c r="V301" i="1"/>
  <c r="AQ301" i="1" s="1"/>
  <c r="V300" i="1"/>
  <c r="AQ300" i="1" s="1"/>
  <c r="V298" i="1"/>
  <c r="V110" i="1"/>
  <c r="V113" i="1"/>
  <c r="AQ113" i="1" s="1"/>
  <c r="V112" i="1"/>
  <c r="AQ112" i="1" s="1"/>
  <c r="AG191" i="1"/>
  <c r="AI190" i="1"/>
  <c r="AG192" i="1"/>
  <c r="AQ226" i="1"/>
  <c r="AQ227" i="1"/>
  <c r="AN229" i="1"/>
  <c r="AN227" i="1"/>
  <c r="AN228" i="1"/>
  <c r="AN226" i="1"/>
  <c r="V61" i="1"/>
  <c r="AQ61" i="1" s="1"/>
  <c r="V58" i="1"/>
  <c r="V60" i="1"/>
  <c r="AQ60" i="1" s="1"/>
  <c r="AI62" i="1"/>
  <c r="AG63" i="1"/>
  <c r="AG64" i="1"/>
  <c r="AG47" i="1"/>
  <c r="AI46" i="1"/>
  <c r="AG48" i="1"/>
  <c r="AG51" i="1"/>
  <c r="AI50" i="1"/>
  <c r="AG52" i="1"/>
  <c r="V42" i="1"/>
  <c r="V81" i="1"/>
  <c r="AQ81" i="1" s="1"/>
  <c r="V78" i="1"/>
  <c r="AI38" i="1"/>
  <c r="AQ151" i="1"/>
  <c r="AN150" i="1"/>
  <c r="AN152" i="1"/>
  <c r="AN151" i="1"/>
  <c r="AQ150" i="1"/>
  <c r="AN153" i="1"/>
  <c r="V217" i="1"/>
  <c r="AQ217" i="1" s="1"/>
  <c r="U257" i="1"/>
  <c r="AG254" i="1"/>
  <c r="U256" i="1"/>
  <c r="U254" i="1"/>
  <c r="AX254" i="1"/>
  <c r="AF257" i="1" s="1"/>
  <c r="AI255" i="1"/>
  <c r="U255" i="1"/>
  <c r="AV256" i="1"/>
  <c r="V278" i="1"/>
  <c r="V281" i="1"/>
  <c r="AQ281" i="1" s="1"/>
  <c r="AG150" i="1"/>
  <c r="U153" i="1"/>
  <c r="U152" i="1"/>
  <c r="U151" i="1"/>
  <c r="U150" i="1"/>
  <c r="AI151" i="1"/>
  <c r="AX150" i="1"/>
  <c r="AF153" i="1" s="1"/>
  <c r="AV152" i="1"/>
  <c r="AI251" i="1"/>
  <c r="U252" i="1"/>
  <c r="AG250" i="1"/>
  <c r="AX250" i="1"/>
  <c r="AF253" i="1" s="1"/>
  <c r="U251" i="1"/>
  <c r="U250" i="1"/>
  <c r="AV252" i="1"/>
  <c r="U253" i="1"/>
  <c r="AI26" i="1"/>
  <c r="AG27" i="1"/>
  <c r="AG28" i="1"/>
  <c r="AI83" i="1"/>
  <c r="U83" i="1"/>
  <c r="AX82" i="1"/>
  <c r="AF85" i="1" s="1"/>
  <c r="U82" i="1"/>
  <c r="U85" i="1"/>
  <c r="AV84" i="1"/>
  <c r="AG82" i="1"/>
  <c r="U84" i="1"/>
  <c r="AN109" i="1"/>
  <c r="AN106" i="1"/>
  <c r="AQ106" i="1"/>
  <c r="AQ107" i="1"/>
  <c r="AN108" i="1"/>
  <c r="AN107" i="1"/>
  <c r="V157" i="1"/>
  <c r="AQ157" i="1" s="1"/>
  <c r="V156" i="1"/>
  <c r="AQ156" i="1" s="1"/>
  <c r="V154" i="1"/>
  <c r="AX20" i="1"/>
  <c r="AX24" i="1" s="1"/>
  <c r="AX28" i="1" s="1"/>
  <c r="AX32" i="1" s="1"/>
  <c r="AX36" i="1" s="1"/>
  <c r="AX40" i="1" s="1"/>
  <c r="AX44" i="1" s="1"/>
  <c r="AX48" i="1" s="1"/>
  <c r="AQ230" i="1"/>
  <c r="AN233" i="1"/>
  <c r="AN232" i="1"/>
  <c r="AN231" i="1"/>
  <c r="AN230" i="1"/>
  <c r="AQ231" i="1"/>
  <c r="AN168" i="1"/>
  <c r="AQ167" i="1"/>
  <c r="AN167" i="1"/>
  <c r="AN166" i="1"/>
  <c r="AN169" i="1"/>
  <c r="AQ166" i="1"/>
  <c r="V266" i="1"/>
  <c r="V269" i="1"/>
  <c r="AQ269" i="1" s="1"/>
  <c r="V268" i="1"/>
  <c r="AQ268" i="1" s="1"/>
  <c r="V104" i="1"/>
  <c r="AQ104" i="1" s="1"/>
  <c r="V102" i="1"/>
  <c r="V105" i="1"/>
  <c r="AQ105" i="1" s="1"/>
  <c r="U118" i="1"/>
  <c r="U120" i="1"/>
  <c r="AI119" i="1"/>
  <c r="AG118" i="1"/>
  <c r="AV120" i="1"/>
  <c r="U121" i="1"/>
  <c r="U119" i="1"/>
  <c r="AX118" i="1"/>
  <c r="AF121" i="1" s="1"/>
  <c r="AI231" i="1"/>
  <c r="AG230" i="1"/>
  <c r="U233" i="1"/>
  <c r="AX230" i="1"/>
  <c r="AF233" i="1" s="1"/>
  <c r="U230" i="1"/>
  <c r="U232" i="1"/>
  <c r="U231" i="1"/>
  <c r="AV232" i="1"/>
  <c r="AG32" i="1"/>
  <c r="AG31" i="1"/>
  <c r="AI30" i="1"/>
  <c r="AG59" i="1"/>
  <c r="AI58" i="1"/>
  <c r="AG60" i="1"/>
  <c r="V62" i="1"/>
  <c r="V64" i="1"/>
  <c r="AQ64" i="1" s="1"/>
  <c r="V65" i="1"/>
  <c r="AQ65" i="1" s="1"/>
  <c r="V101" i="1"/>
  <c r="AQ101" i="1" s="1"/>
  <c r="V98" i="1"/>
  <c r="V100" i="1"/>
  <c r="AQ100" i="1" s="1"/>
  <c r="AN77" i="1"/>
  <c r="AQ74" i="1"/>
  <c r="AN76" i="1"/>
  <c r="AQ75" i="1"/>
  <c r="AN74" i="1"/>
  <c r="AN75" i="1"/>
  <c r="AG172" i="1"/>
  <c r="AI170" i="1"/>
  <c r="AG171" i="1"/>
  <c r="V316" i="1"/>
  <c r="AQ316" i="1" s="1"/>
  <c r="V317" i="1"/>
  <c r="AQ317" i="1" s="1"/>
  <c r="V314" i="1"/>
  <c r="AI291" i="1"/>
  <c r="U292" i="1"/>
  <c r="U291" i="1"/>
  <c r="U290" i="1"/>
  <c r="AG290" i="1"/>
  <c r="AX290" i="1"/>
  <c r="AF293" i="1" s="1"/>
  <c r="AV292" i="1"/>
  <c r="U293" i="1"/>
  <c r="AI102" i="1"/>
  <c r="AG104" i="1"/>
  <c r="AG103" i="1"/>
  <c r="AG299" i="1"/>
  <c r="AI298" i="1"/>
  <c r="AG300" i="1"/>
  <c r="V193" i="1"/>
  <c r="AQ193" i="1" s="1"/>
  <c r="V192" i="1"/>
  <c r="AQ192" i="1" s="1"/>
  <c r="V190" i="1"/>
  <c r="U226" i="1"/>
  <c r="AG226" i="1"/>
  <c r="AX226" i="1"/>
  <c r="AF229" i="1" s="1"/>
  <c r="U227" i="1"/>
  <c r="U229" i="1"/>
  <c r="AI227" i="1"/>
  <c r="AV228" i="1"/>
  <c r="U228" i="1"/>
  <c r="AI131" i="1"/>
  <c r="U130" i="1"/>
  <c r="U132" i="1"/>
  <c r="U133" i="1"/>
  <c r="AG130" i="1"/>
  <c r="U131" i="1"/>
  <c r="AX130" i="1"/>
  <c r="AF133" i="1" s="1"/>
  <c r="AV132" i="1"/>
  <c r="U197" i="1"/>
  <c r="U196" i="1"/>
  <c r="AX194" i="1"/>
  <c r="AF197" i="1" s="1"/>
  <c r="AI195" i="1"/>
  <c r="AG194" i="1"/>
  <c r="U195" i="1"/>
  <c r="AV196" i="1"/>
  <c r="U194" i="1"/>
  <c r="U97" i="1"/>
  <c r="U94" i="1"/>
  <c r="AG94" i="1"/>
  <c r="U96" i="1"/>
  <c r="AX94" i="1"/>
  <c r="AF97" i="1" s="1"/>
  <c r="AV96" i="1"/>
  <c r="AI95" i="1"/>
  <c r="U95" i="1"/>
  <c r="V70" i="1"/>
  <c r="V72" i="1"/>
  <c r="AQ72" i="1" s="1"/>
  <c r="V73" i="1"/>
  <c r="AQ73" i="1" s="1"/>
  <c r="AG142" i="1"/>
  <c r="U142" i="1"/>
  <c r="AX142" i="1"/>
  <c r="AF145" i="1" s="1"/>
  <c r="U143" i="1"/>
  <c r="U145" i="1"/>
  <c r="AV144" i="1"/>
  <c r="AI143" i="1"/>
  <c r="U144" i="1"/>
  <c r="AN21" i="1"/>
  <c r="AN20" i="1"/>
  <c r="AN19" i="1"/>
  <c r="AN18" i="1"/>
  <c r="AQ18" i="1"/>
  <c r="AQ19" i="1"/>
  <c r="V242" i="1"/>
  <c r="V245" i="1"/>
  <c r="AQ245" i="1" s="1"/>
  <c r="V244" i="1"/>
  <c r="AQ244" i="1" s="1"/>
  <c r="AG116" i="1"/>
  <c r="AI114" i="1"/>
  <c r="AG115" i="1"/>
  <c r="AI274" i="1"/>
  <c r="AG275" i="1"/>
  <c r="AG276" i="1"/>
  <c r="AG66" i="1"/>
  <c r="U69" i="1"/>
  <c r="U68" i="1"/>
  <c r="U66" i="1"/>
  <c r="AI67" i="1"/>
  <c r="AV68" i="1"/>
  <c r="AX66" i="1"/>
  <c r="AF69" i="1" s="1"/>
  <c r="U67" i="1"/>
  <c r="AG72" i="1"/>
  <c r="AG71" i="1"/>
  <c r="AI70" i="1"/>
  <c r="AG22" i="1"/>
  <c r="U25" i="1"/>
  <c r="U24" i="1"/>
  <c r="AI23" i="1"/>
  <c r="AV24" i="1"/>
  <c r="U23" i="1"/>
  <c r="U22" i="1"/>
  <c r="AX22" i="1"/>
  <c r="AF25" i="1" s="1"/>
  <c r="V141" i="1"/>
  <c r="AQ141" i="1" s="1"/>
  <c r="V140" i="1"/>
  <c r="AQ140" i="1" s="1"/>
  <c r="V138" i="1"/>
  <c r="V29" i="1"/>
  <c r="AQ29" i="1" s="1"/>
  <c r="V28" i="1"/>
  <c r="AQ28" i="1" s="1"/>
  <c r="V26" i="1"/>
  <c r="AQ219" i="1"/>
  <c r="AN218" i="1"/>
  <c r="AN219" i="1"/>
  <c r="AN221" i="1"/>
  <c r="AN220" i="1"/>
  <c r="AQ218" i="1"/>
  <c r="U93" i="1"/>
  <c r="AI91" i="1"/>
  <c r="U92" i="1"/>
  <c r="AV92" i="1"/>
  <c r="U91" i="1"/>
  <c r="AX90" i="1"/>
  <c r="AF93" i="1" s="1"/>
  <c r="AG90" i="1"/>
  <c r="U90" i="1"/>
  <c r="V48" i="1"/>
  <c r="AQ48" i="1" s="1"/>
  <c r="V46" i="1"/>
  <c r="V49" i="1"/>
  <c r="AQ49" i="1" s="1"/>
  <c r="V41" i="1"/>
  <c r="AQ41" i="1" s="1"/>
  <c r="V38" i="1"/>
  <c r="V40" i="1"/>
  <c r="AQ40" i="1" s="1"/>
  <c r="AI98" i="1"/>
  <c r="AG100" i="1"/>
  <c r="AG99" i="1"/>
  <c r="AN176" i="1"/>
  <c r="AQ175" i="1"/>
  <c r="AQ174" i="1"/>
  <c r="AN174" i="1"/>
  <c r="AN175" i="1"/>
  <c r="AN177" i="1"/>
  <c r="U263" i="1"/>
  <c r="AX262" i="1"/>
  <c r="AF265" i="1" s="1"/>
  <c r="U265" i="1"/>
  <c r="U264" i="1"/>
  <c r="AG262" i="1"/>
  <c r="AI263" i="1"/>
  <c r="U262" i="1"/>
  <c r="AV264" i="1"/>
  <c r="AG79" i="1"/>
  <c r="AI78" i="1"/>
  <c r="AG80" i="1"/>
  <c r="V172" i="1"/>
  <c r="AQ172" i="1" s="1"/>
  <c r="V173" i="1"/>
  <c r="AQ173" i="1" s="1"/>
  <c r="V170" i="1"/>
  <c r="AG234" i="1"/>
  <c r="U237" i="1"/>
  <c r="U236" i="1"/>
  <c r="AX234" i="1"/>
  <c r="AF237" i="1" s="1"/>
  <c r="U234" i="1"/>
  <c r="AI235" i="1"/>
  <c r="AV236" i="1"/>
  <c r="U235" i="1"/>
  <c r="U223" i="1"/>
  <c r="AX222" i="1"/>
  <c r="AF225" i="1" s="1"/>
  <c r="AG222" i="1"/>
  <c r="U222" i="1"/>
  <c r="AI223" i="1"/>
  <c r="U225" i="1"/>
  <c r="AV224" i="1"/>
  <c r="U224" i="1"/>
  <c r="U208" i="1"/>
  <c r="U207" i="1"/>
  <c r="AX206" i="1"/>
  <c r="AF209" i="1" s="1"/>
  <c r="AG206" i="1"/>
  <c r="U206" i="1"/>
  <c r="U209" i="1"/>
  <c r="AI207" i="1"/>
  <c r="AV208" i="1"/>
  <c r="U159" i="1"/>
  <c r="AX158" i="1"/>
  <c r="AF161" i="1" s="1"/>
  <c r="U158" i="1"/>
  <c r="U161" i="1"/>
  <c r="U160" i="1"/>
  <c r="AG158" i="1"/>
  <c r="AV160" i="1"/>
  <c r="AI159" i="1"/>
  <c r="U162" i="1"/>
  <c r="AI163" i="1"/>
  <c r="U165" i="1"/>
  <c r="U164" i="1"/>
  <c r="AG162" i="1"/>
  <c r="U163" i="1"/>
  <c r="AX162" i="1"/>
  <c r="AF165" i="1" s="1"/>
  <c r="AV164" i="1"/>
  <c r="U75" i="1"/>
  <c r="AX74" i="1"/>
  <c r="AF77" i="1" s="1"/>
  <c r="AG74" i="1"/>
  <c r="U77" i="1"/>
  <c r="U74" i="1"/>
  <c r="AV76" i="1"/>
  <c r="AI75" i="1"/>
  <c r="U76" i="1"/>
  <c r="AG240" i="1"/>
  <c r="AI238" i="1"/>
  <c r="AG239" i="1"/>
  <c r="AI219" i="1"/>
  <c r="U220" i="1"/>
  <c r="AG218" i="1"/>
  <c r="AX218" i="1"/>
  <c r="AF221" i="1" s="1"/>
  <c r="U221" i="1"/>
  <c r="U219" i="1"/>
  <c r="AV220" i="1"/>
  <c r="U218" i="1"/>
  <c r="AG296" i="1"/>
  <c r="AI294" i="1"/>
  <c r="AG295" i="1"/>
  <c r="AI198" i="1"/>
  <c r="AG199" i="1"/>
  <c r="AG200" i="1"/>
  <c r="U306" i="1"/>
  <c r="U309" i="1"/>
  <c r="AI307" i="1"/>
  <c r="U308" i="1"/>
  <c r="AG306" i="1"/>
  <c r="U307" i="1"/>
  <c r="AX306" i="1"/>
  <c r="AF309" i="1" s="1"/>
  <c r="AV308" i="1"/>
  <c r="AN253" i="1"/>
  <c r="AN252" i="1"/>
  <c r="AN250" i="1"/>
  <c r="AQ250" i="1"/>
  <c r="AN251" i="1"/>
  <c r="AQ251" i="1"/>
  <c r="AG44" i="1"/>
  <c r="AG43" i="1"/>
  <c r="AI42" i="1"/>
  <c r="AI167" i="1"/>
  <c r="U169" i="1"/>
  <c r="U166" i="1"/>
  <c r="U168" i="1"/>
  <c r="AG166" i="1"/>
  <c r="AV168" i="1"/>
  <c r="U167" i="1"/>
  <c r="AX166" i="1"/>
  <c r="AF169" i="1" s="1"/>
  <c r="AI175" i="1"/>
  <c r="AG174" i="1"/>
  <c r="U175" i="1"/>
  <c r="U177" i="1"/>
  <c r="U174" i="1"/>
  <c r="AX174" i="1"/>
  <c r="AF177" i="1" s="1"/>
  <c r="U176" i="1"/>
  <c r="AV176" i="1"/>
  <c r="AI314" i="1"/>
  <c r="AG316" i="1"/>
  <c r="AG315" i="1"/>
  <c r="AG271" i="1" l="1"/>
  <c r="AI282" i="1"/>
  <c r="AG272" i="1"/>
  <c r="AG243" i="1"/>
  <c r="AG283" i="1"/>
  <c r="AG244" i="1"/>
  <c r="AG36" i="1"/>
  <c r="AP241" i="1"/>
  <c r="AP240" i="1"/>
  <c r="W240" i="1" s="1"/>
  <c r="AP277" i="1"/>
  <c r="V284" i="1"/>
  <c r="AQ284" i="1" s="1"/>
  <c r="V270" i="1"/>
  <c r="AP273" i="1" s="1"/>
  <c r="V296" i="1"/>
  <c r="AQ296" i="1" s="1"/>
  <c r="V282" i="1"/>
  <c r="AP284" i="1" s="1"/>
  <c r="V276" i="1"/>
  <c r="AQ276" i="1" s="1"/>
  <c r="V204" i="1"/>
  <c r="AQ204" i="1" s="1"/>
  <c r="V241" i="1"/>
  <c r="AQ241" i="1" s="1"/>
  <c r="V297" i="1"/>
  <c r="AQ297" i="1" s="1"/>
  <c r="AI278" i="1"/>
  <c r="AG280" i="1"/>
  <c r="AG279" i="1"/>
  <c r="AG179" i="1"/>
  <c r="AI178" i="1"/>
  <c r="AG180" i="1"/>
  <c r="V44" i="1"/>
  <c r="AQ44" i="1" s="1"/>
  <c r="V180" i="1"/>
  <c r="AQ180" i="1" s="1"/>
  <c r="V37" i="1"/>
  <c r="AQ37" i="1" s="1"/>
  <c r="V181" i="1"/>
  <c r="AQ181" i="1" s="1"/>
  <c r="V205" i="1"/>
  <c r="AQ205" i="1" s="1"/>
  <c r="V34" i="1"/>
  <c r="AP37" i="1" s="1"/>
  <c r="AG35" i="1"/>
  <c r="AG40" i="1"/>
  <c r="V272" i="1"/>
  <c r="AQ272" i="1" s="1"/>
  <c r="V277" i="1"/>
  <c r="AQ277" i="1" s="1"/>
  <c r="AG111" i="1"/>
  <c r="AI110" i="1"/>
  <c r="AG112" i="1"/>
  <c r="V194" i="1"/>
  <c r="V197" i="1"/>
  <c r="AQ197" i="1" s="1"/>
  <c r="V196" i="1"/>
  <c r="AQ196" i="1" s="1"/>
  <c r="W276" i="1"/>
  <c r="AG277" i="1"/>
  <c r="AS274" i="1"/>
  <c r="AS276" i="1" s="1"/>
  <c r="AT276" i="1" s="1"/>
  <c r="AT274" i="1" s="1"/>
  <c r="AW274" i="1" s="1"/>
  <c r="AP100" i="1"/>
  <c r="AP101" i="1"/>
  <c r="V152" i="1"/>
  <c r="AQ152" i="1" s="1"/>
  <c r="V150" i="1"/>
  <c r="V153" i="1"/>
  <c r="AQ153" i="1" s="1"/>
  <c r="V146" i="1"/>
  <c r="V148" i="1"/>
  <c r="AQ148" i="1" s="1"/>
  <c r="V149" i="1"/>
  <c r="AQ149" i="1" s="1"/>
  <c r="AG56" i="1"/>
  <c r="AI54" i="1"/>
  <c r="AG55" i="1"/>
  <c r="AG224" i="1"/>
  <c r="AI222" i="1"/>
  <c r="AG223" i="1"/>
  <c r="AI277" i="1"/>
  <c r="AS275" i="1"/>
  <c r="AS277" i="1" s="1"/>
  <c r="AT277" i="1" s="1"/>
  <c r="AT275" i="1" s="1"/>
  <c r="AW275" i="1" s="1"/>
  <c r="AP141" i="1"/>
  <c r="AP140" i="1"/>
  <c r="AP193" i="1"/>
  <c r="AP192" i="1"/>
  <c r="AG119" i="1"/>
  <c r="AG120" i="1"/>
  <c r="AI118" i="1"/>
  <c r="AP61" i="1"/>
  <c r="AP60" i="1"/>
  <c r="AP124" i="1"/>
  <c r="AP125" i="1"/>
  <c r="V264" i="1"/>
  <c r="AQ264" i="1" s="1"/>
  <c r="V262" i="1"/>
  <c r="V265" i="1"/>
  <c r="AQ265" i="1" s="1"/>
  <c r="AP269" i="1"/>
  <c r="AP268" i="1"/>
  <c r="V304" i="1"/>
  <c r="AQ304" i="1" s="1"/>
  <c r="V302" i="1"/>
  <c r="V305" i="1"/>
  <c r="AQ305" i="1" s="1"/>
  <c r="V130" i="1"/>
  <c r="V132" i="1"/>
  <c r="AQ132" i="1" s="1"/>
  <c r="V133" i="1"/>
  <c r="AQ133" i="1" s="1"/>
  <c r="AG292" i="1"/>
  <c r="AI290" i="1"/>
  <c r="AG291" i="1"/>
  <c r="AG175" i="1"/>
  <c r="AI174" i="1"/>
  <c r="AG176" i="1"/>
  <c r="V74" i="1"/>
  <c r="V76" i="1"/>
  <c r="AQ76" i="1" s="1"/>
  <c r="V77" i="1"/>
  <c r="AQ77" i="1" s="1"/>
  <c r="AG163" i="1"/>
  <c r="AI162" i="1"/>
  <c r="AG164" i="1"/>
  <c r="V208" i="1"/>
  <c r="AQ208" i="1" s="1"/>
  <c r="V206" i="1"/>
  <c r="V209" i="1"/>
  <c r="AQ209" i="1" s="1"/>
  <c r="V236" i="1"/>
  <c r="AQ236" i="1" s="1"/>
  <c r="V234" i="1"/>
  <c r="V237" i="1"/>
  <c r="AQ237" i="1" s="1"/>
  <c r="AP49" i="1"/>
  <c r="AP48" i="1"/>
  <c r="AP29" i="1"/>
  <c r="AP28" i="1"/>
  <c r="AI66" i="1"/>
  <c r="AG68" i="1"/>
  <c r="AG67" i="1"/>
  <c r="AP72" i="1"/>
  <c r="AP73" i="1"/>
  <c r="V226" i="1"/>
  <c r="V229" i="1"/>
  <c r="AQ229" i="1" s="1"/>
  <c r="V228" i="1"/>
  <c r="AQ228" i="1" s="1"/>
  <c r="V293" i="1"/>
  <c r="AQ293" i="1" s="1"/>
  <c r="V292" i="1"/>
  <c r="AQ292" i="1" s="1"/>
  <c r="V290" i="1"/>
  <c r="AP104" i="1"/>
  <c r="AP105" i="1"/>
  <c r="V253" i="1"/>
  <c r="AQ253" i="1" s="1"/>
  <c r="V252" i="1"/>
  <c r="AQ252" i="1" s="1"/>
  <c r="V250" i="1"/>
  <c r="AP281" i="1"/>
  <c r="AP280" i="1"/>
  <c r="AI186" i="1"/>
  <c r="AG188" i="1"/>
  <c r="AG187" i="1"/>
  <c r="AP296" i="1"/>
  <c r="AP297" i="1"/>
  <c r="AV25" i="1"/>
  <c r="AV29" i="1" s="1"/>
  <c r="AV33" i="1" s="1"/>
  <c r="AV37" i="1" s="1"/>
  <c r="AV41" i="1" s="1"/>
  <c r="AV45" i="1" s="1"/>
  <c r="AV49" i="1" s="1"/>
  <c r="V221" i="1"/>
  <c r="AQ221" i="1" s="1"/>
  <c r="V220" i="1"/>
  <c r="AQ220" i="1" s="1"/>
  <c r="V218" i="1"/>
  <c r="V224" i="1"/>
  <c r="AQ224" i="1" s="1"/>
  <c r="V225" i="1"/>
  <c r="AQ225" i="1" s="1"/>
  <c r="V222" i="1"/>
  <c r="AG304" i="1"/>
  <c r="AG303" i="1"/>
  <c r="AI302" i="1"/>
  <c r="V306" i="1"/>
  <c r="V308" i="1"/>
  <c r="AQ308" i="1" s="1"/>
  <c r="V309" i="1"/>
  <c r="AQ309" i="1" s="1"/>
  <c r="AG76" i="1"/>
  <c r="AI74" i="1"/>
  <c r="AG75" i="1"/>
  <c r="V160" i="1"/>
  <c r="AQ160" i="1" s="1"/>
  <c r="V161" i="1"/>
  <c r="AQ161" i="1" s="1"/>
  <c r="V158" i="1"/>
  <c r="AP137" i="1"/>
  <c r="AP136" i="1"/>
  <c r="AI146" i="1"/>
  <c r="AG148" i="1"/>
  <c r="AG147" i="1"/>
  <c r="AG19" i="1"/>
  <c r="AI18" i="1"/>
  <c r="AG20" i="1"/>
  <c r="AP245" i="1"/>
  <c r="AP244" i="1"/>
  <c r="AG195" i="1"/>
  <c r="AG196" i="1"/>
  <c r="AI194" i="1"/>
  <c r="AG260" i="1"/>
  <c r="AI258" i="1"/>
  <c r="AG259" i="1"/>
  <c r="V128" i="1"/>
  <c r="AQ128" i="1" s="1"/>
  <c r="V129" i="1"/>
  <c r="AQ129" i="1" s="1"/>
  <c r="V126" i="1"/>
  <c r="AG107" i="1"/>
  <c r="AI106" i="1"/>
  <c r="AG108" i="1"/>
  <c r="AS238" i="1"/>
  <c r="AS240" i="1" s="1"/>
  <c r="AT240" i="1" s="1"/>
  <c r="AT238" i="1" s="1"/>
  <c r="AW238" i="1" s="1"/>
  <c r="V174" i="1"/>
  <c r="V177" i="1"/>
  <c r="AQ177" i="1" s="1"/>
  <c r="V176" i="1"/>
  <c r="AQ176" i="1" s="1"/>
  <c r="AP173" i="1"/>
  <c r="AP172" i="1"/>
  <c r="AP40" i="1"/>
  <c r="AP41" i="1"/>
  <c r="AI22" i="1"/>
  <c r="AG23" i="1"/>
  <c r="AG24" i="1"/>
  <c r="V66" i="1"/>
  <c r="V68" i="1"/>
  <c r="AQ68" i="1" s="1"/>
  <c r="V69" i="1"/>
  <c r="AQ69" i="1" s="1"/>
  <c r="AG143" i="1"/>
  <c r="AG144" i="1"/>
  <c r="AI142" i="1"/>
  <c r="AP65" i="1"/>
  <c r="AP64" i="1"/>
  <c r="AI230" i="1"/>
  <c r="AG232" i="1"/>
  <c r="AG231" i="1"/>
  <c r="AI150" i="1"/>
  <c r="AG151" i="1"/>
  <c r="AG152" i="1"/>
  <c r="V256" i="1"/>
  <c r="AQ256" i="1" s="1"/>
  <c r="V254" i="1"/>
  <c r="V257" i="1"/>
  <c r="AQ257" i="1" s="1"/>
  <c r="V188" i="1"/>
  <c r="AQ188" i="1" s="1"/>
  <c r="V189" i="1"/>
  <c r="AQ189" i="1" s="1"/>
  <c r="V186" i="1"/>
  <c r="AP312" i="1"/>
  <c r="AP313" i="1"/>
  <c r="V185" i="1"/>
  <c r="AQ185" i="1" s="1"/>
  <c r="V182" i="1"/>
  <c r="V184" i="1"/>
  <c r="AQ184" i="1" s="1"/>
  <c r="AP89" i="1"/>
  <c r="AP88" i="1"/>
  <c r="V56" i="1"/>
  <c r="AQ56" i="1" s="1"/>
  <c r="V57" i="1"/>
  <c r="AQ57" i="1" s="1"/>
  <c r="V54" i="1"/>
  <c r="V106" i="1"/>
  <c r="V108" i="1"/>
  <c r="AQ108" i="1" s="1"/>
  <c r="V109" i="1"/>
  <c r="AQ109" i="1" s="1"/>
  <c r="AI241" i="1"/>
  <c r="AS239" i="1"/>
  <c r="AS241" i="1" s="1"/>
  <c r="AT241" i="1" s="1"/>
  <c r="AT239" i="1" s="1"/>
  <c r="AW239" i="1" s="1"/>
  <c r="AP205" i="1"/>
  <c r="AP204" i="1"/>
  <c r="AG184" i="1"/>
  <c r="AG183" i="1"/>
  <c r="AI182" i="1"/>
  <c r="AF22" i="1"/>
  <c r="AF19" i="1"/>
  <c r="AF20" i="1"/>
  <c r="AL19" i="1" s="1"/>
  <c r="AP213" i="1"/>
  <c r="AP212" i="1"/>
  <c r="AI250" i="1"/>
  <c r="AG251" i="1"/>
  <c r="AG252" i="1"/>
  <c r="AP112" i="1"/>
  <c r="AP113" i="1"/>
  <c r="AP272" i="1"/>
  <c r="AP248" i="1"/>
  <c r="AP249" i="1"/>
  <c r="AP53" i="1"/>
  <c r="AP52" i="1"/>
  <c r="AI234" i="1"/>
  <c r="AG236" i="1"/>
  <c r="AG235" i="1"/>
  <c r="AG131" i="1"/>
  <c r="AI130" i="1"/>
  <c r="AG132" i="1"/>
  <c r="AP317" i="1"/>
  <c r="AP316" i="1"/>
  <c r="AG84" i="1"/>
  <c r="AG83" i="1"/>
  <c r="AI82" i="1"/>
  <c r="AG168" i="1"/>
  <c r="AI166" i="1"/>
  <c r="AG167" i="1"/>
  <c r="AG219" i="1"/>
  <c r="AI218" i="1"/>
  <c r="AG220" i="1"/>
  <c r="AI94" i="1"/>
  <c r="AG96" i="1"/>
  <c r="AG95" i="1"/>
  <c r="V121" i="1"/>
  <c r="AQ121" i="1" s="1"/>
  <c r="V118" i="1"/>
  <c r="V120" i="1"/>
  <c r="AQ120" i="1" s="1"/>
  <c r="AP44" i="1"/>
  <c r="AP45" i="1"/>
  <c r="V20" i="1"/>
  <c r="AQ20" i="1" s="1"/>
  <c r="V21" i="1"/>
  <c r="AQ21" i="1" s="1"/>
  <c r="V18" i="1"/>
  <c r="AG128" i="1"/>
  <c r="AG127" i="1"/>
  <c r="AI126" i="1"/>
  <c r="AP288" i="1"/>
  <c r="AP289" i="1"/>
  <c r="AG208" i="1"/>
  <c r="AG207" i="1"/>
  <c r="AI206" i="1"/>
  <c r="AX52" i="1"/>
  <c r="AX56" i="1" s="1"/>
  <c r="AX60" i="1" s="1"/>
  <c r="AX308" i="1"/>
  <c r="AX312" i="1" s="1"/>
  <c r="AX316" i="1" s="1"/>
  <c r="AP181" i="1"/>
  <c r="AP180" i="1"/>
  <c r="AP216" i="1"/>
  <c r="AP217" i="1"/>
  <c r="V90" i="1"/>
  <c r="V93" i="1"/>
  <c r="AQ93" i="1" s="1"/>
  <c r="V92" i="1"/>
  <c r="AQ92" i="1" s="1"/>
  <c r="V230" i="1"/>
  <c r="V233" i="1"/>
  <c r="AQ233" i="1" s="1"/>
  <c r="V232" i="1"/>
  <c r="AQ232" i="1" s="1"/>
  <c r="AP157" i="1"/>
  <c r="AP156" i="1"/>
  <c r="V261" i="1"/>
  <c r="AQ261" i="1" s="1"/>
  <c r="V260" i="1"/>
  <c r="AQ260" i="1" s="1"/>
  <c r="V258" i="1"/>
  <c r="AI90" i="1"/>
  <c r="AG92" i="1"/>
  <c r="AG91" i="1"/>
  <c r="V165" i="1"/>
  <c r="AQ165" i="1" s="1"/>
  <c r="V164" i="1"/>
  <c r="AQ164" i="1" s="1"/>
  <c r="V162" i="1"/>
  <c r="V142" i="1"/>
  <c r="V144" i="1"/>
  <c r="AQ144" i="1" s="1"/>
  <c r="V145" i="1"/>
  <c r="AQ145" i="1" s="1"/>
  <c r="AP80" i="1"/>
  <c r="AP81" i="1"/>
  <c r="AP300" i="1"/>
  <c r="AP301" i="1"/>
  <c r="AP33" i="1"/>
  <c r="AP32" i="1"/>
  <c r="AG307" i="1"/>
  <c r="AG308" i="1"/>
  <c r="AI306" i="1"/>
  <c r="AG264" i="1"/>
  <c r="AI262" i="1"/>
  <c r="AG263" i="1"/>
  <c r="V169" i="1"/>
  <c r="AQ169" i="1" s="1"/>
  <c r="V168" i="1"/>
  <c r="AQ168" i="1" s="1"/>
  <c r="V166" i="1"/>
  <c r="AG160" i="1"/>
  <c r="AG159" i="1"/>
  <c r="AI158" i="1"/>
  <c r="V22" i="1"/>
  <c r="V24" i="1"/>
  <c r="AQ24" i="1" s="1"/>
  <c r="V25" i="1"/>
  <c r="AQ25" i="1" s="1"/>
  <c r="V96" i="1"/>
  <c r="AQ96" i="1" s="1"/>
  <c r="V97" i="1"/>
  <c r="AQ97" i="1" s="1"/>
  <c r="V94" i="1"/>
  <c r="AG227" i="1"/>
  <c r="AG228" i="1"/>
  <c r="AI226" i="1"/>
  <c r="V85" i="1"/>
  <c r="AQ85" i="1" s="1"/>
  <c r="V84" i="1"/>
  <c r="AQ84" i="1" s="1"/>
  <c r="V82" i="1"/>
  <c r="AG256" i="1"/>
  <c r="AG255" i="1"/>
  <c r="AI254" i="1"/>
  <c r="AP200" i="1"/>
  <c r="AP201" i="1"/>
  <c r="AP117" i="1"/>
  <c r="AP116" i="1"/>
  <c r="AP285" i="1" l="1"/>
  <c r="AG241" i="1"/>
  <c r="AP36" i="1"/>
  <c r="AG33" i="1"/>
  <c r="W32" i="1"/>
  <c r="AS30" i="1"/>
  <c r="AP21" i="1"/>
  <c r="AP20" i="1"/>
  <c r="AI313" i="1"/>
  <c r="AS311" i="1"/>
  <c r="AI137" i="1"/>
  <c r="AS135" i="1"/>
  <c r="AS137" i="1" s="1"/>
  <c r="AT137" i="1" s="1"/>
  <c r="AT135" i="1" s="1"/>
  <c r="AW135" i="1" s="1"/>
  <c r="W60" i="1"/>
  <c r="AS58" i="1"/>
  <c r="AS60" i="1" s="1"/>
  <c r="AT60" i="1" s="1"/>
  <c r="AT58" i="1" s="1"/>
  <c r="AW58" i="1" s="1"/>
  <c r="AG61" i="1"/>
  <c r="AI41" i="1"/>
  <c r="AS39" i="1"/>
  <c r="AI217" i="1"/>
  <c r="AS215" i="1"/>
  <c r="AS217" i="1" s="1"/>
  <c r="AT217" i="1" s="1"/>
  <c r="AT215" i="1" s="1"/>
  <c r="AW215" i="1" s="1"/>
  <c r="AI273" i="1"/>
  <c r="AS271" i="1"/>
  <c r="AS273" i="1" s="1"/>
  <c r="AT273" i="1" s="1"/>
  <c r="AT271" i="1" s="1"/>
  <c r="AW271" i="1" s="1"/>
  <c r="AG89" i="1"/>
  <c r="W88" i="1"/>
  <c r="AS86" i="1"/>
  <c r="AS88" i="1" s="1"/>
  <c r="AT88" i="1" s="1"/>
  <c r="AT86" i="1" s="1"/>
  <c r="AW86" i="1" s="1"/>
  <c r="W172" i="1"/>
  <c r="AG173" i="1"/>
  <c r="AS170" i="1"/>
  <c r="AS172" i="1" s="1"/>
  <c r="AT172" i="1" s="1"/>
  <c r="AT170" i="1" s="1"/>
  <c r="AW170" i="1" s="1"/>
  <c r="AP252" i="1"/>
  <c r="AP253" i="1"/>
  <c r="AG201" i="1"/>
  <c r="W200" i="1"/>
  <c r="AS198" i="1"/>
  <c r="AS200" i="1" s="1"/>
  <c r="AT200" i="1" s="1"/>
  <c r="AT198" i="1" s="1"/>
  <c r="AW198" i="1" s="1"/>
  <c r="AG81" i="1"/>
  <c r="W80" i="1"/>
  <c r="AS78" i="1"/>
  <c r="AS80" i="1" s="1"/>
  <c r="AT80" i="1" s="1"/>
  <c r="AT78" i="1" s="1"/>
  <c r="AW78" i="1" s="1"/>
  <c r="AF24" i="1"/>
  <c r="AF23" i="1"/>
  <c r="AF26" i="1"/>
  <c r="AP97" i="1"/>
  <c r="AP96" i="1"/>
  <c r="AP120" i="1"/>
  <c r="AP121" i="1"/>
  <c r="AG317" i="1"/>
  <c r="W316" i="1"/>
  <c r="AS314" i="1"/>
  <c r="W52" i="1"/>
  <c r="AG53" i="1"/>
  <c r="AS50" i="1"/>
  <c r="AP256" i="1"/>
  <c r="AP257" i="1"/>
  <c r="AI73" i="1"/>
  <c r="AS71" i="1"/>
  <c r="AS73" i="1" s="1"/>
  <c r="AT73" i="1" s="1"/>
  <c r="AT71" i="1" s="1"/>
  <c r="AW71" i="1" s="1"/>
  <c r="AI29" i="1"/>
  <c r="AS27" i="1"/>
  <c r="AI125" i="1"/>
  <c r="AS123" i="1"/>
  <c r="AS125" i="1" s="1"/>
  <c r="AT125" i="1" s="1"/>
  <c r="AT123" i="1" s="1"/>
  <c r="AW123" i="1" s="1"/>
  <c r="AI193" i="1"/>
  <c r="AS191" i="1"/>
  <c r="AS193" i="1" s="1"/>
  <c r="AT193" i="1" s="1"/>
  <c r="AT191" i="1" s="1"/>
  <c r="AW191" i="1" s="1"/>
  <c r="AP168" i="1"/>
  <c r="AP169" i="1"/>
  <c r="AP260" i="1"/>
  <c r="AP261" i="1"/>
  <c r="AX64" i="1"/>
  <c r="AX68" i="1" s="1"/>
  <c r="AX72" i="1" s="1"/>
  <c r="AX76" i="1" s="1"/>
  <c r="AX80" i="1" s="1"/>
  <c r="AX84" i="1" s="1"/>
  <c r="AX88" i="1" s="1"/>
  <c r="AX92" i="1" s="1"/>
  <c r="AX96" i="1" s="1"/>
  <c r="AX100" i="1" s="1"/>
  <c r="AX104" i="1" s="1"/>
  <c r="AX108" i="1" s="1"/>
  <c r="AX112" i="1" s="1"/>
  <c r="AX304" i="1"/>
  <c r="AI317" i="1"/>
  <c r="AS315" i="1"/>
  <c r="AS317" i="1" s="1"/>
  <c r="AT317" i="1" s="1"/>
  <c r="AT315" i="1" s="1"/>
  <c r="AW315" i="1" s="1"/>
  <c r="AI53" i="1"/>
  <c r="AS51" i="1"/>
  <c r="AP109" i="1"/>
  <c r="AP108" i="1"/>
  <c r="AI65" i="1"/>
  <c r="AS63" i="1"/>
  <c r="AS65" i="1" s="1"/>
  <c r="AT65" i="1" s="1"/>
  <c r="AT63" i="1" s="1"/>
  <c r="AW63" i="1" s="1"/>
  <c r="AP176" i="1"/>
  <c r="AP177" i="1"/>
  <c r="AG245" i="1"/>
  <c r="W244" i="1"/>
  <c r="AS242" i="1"/>
  <c r="AS244" i="1" s="1"/>
  <c r="AT244" i="1" s="1"/>
  <c r="AT242" i="1" s="1"/>
  <c r="AW242" i="1" s="1"/>
  <c r="AG137" i="1"/>
  <c r="W136" i="1"/>
  <c r="AS134" i="1"/>
  <c r="AS136" i="1" s="1"/>
  <c r="AT136" i="1" s="1"/>
  <c r="AT134" i="1" s="1"/>
  <c r="AW134" i="1" s="1"/>
  <c r="AG105" i="1"/>
  <c r="W104" i="1"/>
  <c r="AS102" i="1"/>
  <c r="AS104" i="1" s="1"/>
  <c r="AT104" i="1" s="1"/>
  <c r="AT102" i="1" s="1"/>
  <c r="AW102" i="1" s="1"/>
  <c r="W72" i="1"/>
  <c r="AS70" i="1"/>
  <c r="AS72" i="1" s="1"/>
  <c r="AT72" i="1" s="1"/>
  <c r="AT70" i="1" s="1"/>
  <c r="AW70" i="1" s="1"/>
  <c r="AG73" i="1"/>
  <c r="AG49" i="1"/>
  <c r="W48" i="1"/>
  <c r="AS46" i="1"/>
  <c r="AP305" i="1"/>
  <c r="AP304" i="1"/>
  <c r="W124" i="1"/>
  <c r="AG125" i="1"/>
  <c r="AS122" i="1"/>
  <c r="AS124" i="1" s="1"/>
  <c r="AT124" i="1" s="1"/>
  <c r="AT122" i="1" s="1"/>
  <c r="AW122" i="1" s="1"/>
  <c r="W140" i="1"/>
  <c r="AG141" i="1"/>
  <c r="AS138" i="1"/>
  <c r="AS140" i="1" s="1"/>
  <c r="AT140" i="1" s="1"/>
  <c r="AT138" i="1" s="1"/>
  <c r="AW138" i="1" s="1"/>
  <c r="AI101" i="1"/>
  <c r="AS99" i="1"/>
  <c r="AS101" i="1" s="1"/>
  <c r="AT101" i="1" s="1"/>
  <c r="AT99" i="1" s="1"/>
  <c r="AW99" i="1" s="1"/>
  <c r="AP220" i="1"/>
  <c r="AP221" i="1"/>
  <c r="AI37" i="1"/>
  <c r="AS35" i="1"/>
  <c r="AG101" i="1"/>
  <c r="W100" i="1"/>
  <c r="AS98" i="1"/>
  <c r="AS100" i="1" s="1"/>
  <c r="AT100" i="1" s="1"/>
  <c r="AT98" i="1" s="1"/>
  <c r="AW98" i="1" s="1"/>
  <c r="AG117" i="1"/>
  <c r="W116" i="1"/>
  <c r="AS114" i="1"/>
  <c r="AS116" i="1" s="1"/>
  <c r="AT116" i="1" s="1"/>
  <c r="AT114" i="1" s="1"/>
  <c r="AW114" i="1" s="1"/>
  <c r="AI33" i="1"/>
  <c r="AS31" i="1"/>
  <c r="AP92" i="1"/>
  <c r="AP93" i="1"/>
  <c r="AI285" i="1"/>
  <c r="AS283" i="1"/>
  <c r="AS285" i="1" s="1"/>
  <c r="AT285" i="1" s="1"/>
  <c r="AT283" i="1" s="1"/>
  <c r="AW283" i="1" s="1"/>
  <c r="AG213" i="1"/>
  <c r="W212" i="1"/>
  <c r="AS210" i="1"/>
  <c r="AS212" i="1" s="1"/>
  <c r="AT212" i="1" s="1"/>
  <c r="AT210" i="1" s="1"/>
  <c r="AW210" i="1" s="1"/>
  <c r="AG313" i="1"/>
  <c r="W312" i="1"/>
  <c r="AS310" i="1"/>
  <c r="AP309" i="1"/>
  <c r="AP308" i="1"/>
  <c r="AI61" i="1"/>
  <c r="AS59" i="1"/>
  <c r="AS61" i="1" s="1"/>
  <c r="AT61" i="1" s="1"/>
  <c r="AT59" i="1" s="1"/>
  <c r="AW59" i="1" s="1"/>
  <c r="AP189" i="1"/>
  <c r="AP188" i="1"/>
  <c r="AG41" i="1"/>
  <c r="W40" i="1"/>
  <c r="AS38" i="1"/>
  <c r="AI281" i="1"/>
  <c r="AS279" i="1"/>
  <c r="AS281" i="1" s="1"/>
  <c r="AT281" i="1" s="1"/>
  <c r="AT279" i="1" s="1"/>
  <c r="AW279" i="1" s="1"/>
  <c r="AP236" i="1"/>
  <c r="AP237" i="1"/>
  <c r="W216" i="1"/>
  <c r="AG217" i="1"/>
  <c r="AS214" i="1"/>
  <c r="AS216" i="1" s="1"/>
  <c r="AT216" i="1" s="1"/>
  <c r="AT214" i="1" s="1"/>
  <c r="AW214" i="1" s="1"/>
  <c r="AI45" i="1"/>
  <c r="AS43" i="1"/>
  <c r="AG273" i="1"/>
  <c r="W272" i="1"/>
  <c r="AS270" i="1"/>
  <c r="AS272" i="1" s="1"/>
  <c r="AT272" i="1" s="1"/>
  <c r="AT270" i="1" s="1"/>
  <c r="AW270" i="1" s="1"/>
  <c r="AG289" i="1"/>
  <c r="W288" i="1"/>
  <c r="AS286" i="1"/>
  <c r="AS288" i="1" s="1"/>
  <c r="AT288" i="1" s="1"/>
  <c r="AT286" i="1" s="1"/>
  <c r="AW286" i="1" s="1"/>
  <c r="W44" i="1"/>
  <c r="AG45" i="1"/>
  <c r="AS42" i="1"/>
  <c r="AI113" i="1"/>
  <c r="AS111" i="1"/>
  <c r="AS113" i="1" s="1"/>
  <c r="AT113" i="1" s="1"/>
  <c r="AT111" i="1" s="1"/>
  <c r="AW111" i="1" s="1"/>
  <c r="AI89" i="1"/>
  <c r="AS87" i="1"/>
  <c r="AS89" i="1" s="1"/>
  <c r="AT89" i="1" s="1"/>
  <c r="AT87" i="1" s="1"/>
  <c r="AW87" i="1" s="1"/>
  <c r="AI173" i="1"/>
  <c r="AS171" i="1"/>
  <c r="AS173" i="1" s="1"/>
  <c r="AT173" i="1" s="1"/>
  <c r="AT171" i="1" s="1"/>
  <c r="AW171" i="1" s="1"/>
  <c r="AI297" i="1"/>
  <c r="AS295" i="1"/>
  <c r="AS297" i="1" s="1"/>
  <c r="AT297" i="1" s="1"/>
  <c r="AT295" i="1" s="1"/>
  <c r="AW295" i="1" s="1"/>
  <c r="AP76" i="1"/>
  <c r="AP77" i="1"/>
  <c r="AP265" i="1"/>
  <c r="AP264" i="1"/>
  <c r="AP145" i="1"/>
  <c r="AP144" i="1"/>
  <c r="AP57" i="1"/>
  <c r="AP56" i="1"/>
  <c r="AI49" i="1"/>
  <c r="AS47" i="1"/>
  <c r="AI141" i="1"/>
  <c r="AS139" i="1"/>
  <c r="AS141" i="1" s="1"/>
  <c r="AT141" i="1" s="1"/>
  <c r="AT139" i="1" s="1"/>
  <c r="AW139" i="1" s="1"/>
  <c r="AP164" i="1"/>
  <c r="AP165" i="1"/>
  <c r="AG205" i="1"/>
  <c r="AS202" i="1"/>
  <c r="AS204" i="1" s="1"/>
  <c r="AT204" i="1" s="1"/>
  <c r="AT202" i="1" s="1"/>
  <c r="AW202" i="1" s="1"/>
  <c r="W204" i="1"/>
  <c r="AP161" i="1"/>
  <c r="AP160" i="1"/>
  <c r="W280" i="1"/>
  <c r="AG281" i="1"/>
  <c r="AS278" i="1"/>
  <c r="AS280" i="1" s="1"/>
  <c r="AT280" i="1" s="1"/>
  <c r="AT278" i="1" s="1"/>
  <c r="AW278" i="1" s="1"/>
  <c r="AG37" i="1"/>
  <c r="AS34" i="1"/>
  <c r="W36" i="1"/>
  <c r="W268" i="1"/>
  <c r="AG269" i="1"/>
  <c r="AS266" i="1"/>
  <c r="AS268" i="1" s="1"/>
  <c r="AT268" i="1" s="1"/>
  <c r="AT266" i="1" s="1"/>
  <c r="AW266" i="1" s="1"/>
  <c r="AI117" i="1"/>
  <c r="AS115" i="1"/>
  <c r="AS117" i="1" s="1"/>
  <c r="AT117" i="1" s="1"/>
  <c r="AT115" i="1" s="1"/>
  <c r="AW115" i="1" s="1"/>
  <c r="AI301" i="1"/>
  <c r="AS299" i="1"/>
  <c r="AS301" i="1" s="1"/>
  <c r="AT301" i="1" s="1"/>
  <c r="AT299" i="1" s="1"/>
  <c r="AW299" i="1" s="1"/>
  <c r="AI269" i="1"/>
  <c r="AS267" i="1"/>
  <c r="AS269" i="1" s="1"/>
  <c r="AT269" i="1" s="1"/>
  <c r="AT267" i="1" s="1"/>
  <c r="AW267" i="1" s="1"/>
  <c r="AS199" i="1"/>
  <c r="AS201" i="1" s="1"/>
  <c r="AT201" i="1" s="1"/>
  <c r="AT199" i="1" s="1"/>
  <c r="AW199" i="1" s="1"/>
  <c r="AI201" i="1"/>
  <c r="W300" i="1"/>
  <c r="AG301" i="1"/>
  <c r="AS298" i="1"/>
  <c r="AS300" i="1" s="1"/>
  <c r="AT300" i="1" s="1"/>
  <c r="AT298" i="1" s="1"/>
  <c r="AW298" i="1" s="1"/>
  <c r="AV53" i="1"/>
  <c r="AV57" i="1" s="1"/>
  <c r="AV61" i="1" s="1"/>
  <c r="AV309" i="1"/>
  <c r="AV313" i="1" s="1"/>
  <c r="AV317" i="1" s="1"/>
  <c r="AI81" i="1"/>
  <c r="AS79" i="1"/>
  <c r="AS81" i="1" s="1"/>
  <c r="AT81" i="1" s="1"/>
  <c r="AT79" i="1" s="1"/>
  <c r="AW79" i="1" s="1"/>
  <c r="AG113" i="1"/>
  <c r="W112" i="1"/>
  <c r="AS110" i="1"/>
  <c r="AS112" i="1" s="1"/>
  <c r="AT112" i="1" s="1"/>
  <c r="AT110" i="1" s="1"/>
  <c r="AW110" i="1" s="1"/>
  <c r="AP69" i="1"/>
  <c r="AP68" i="1"/>
  <c r="AP225" i="1"/>
  <c r="AP224" i="1"/>
  <c r="W296" i="1"/>
  <c r="AG297" i="1"/>
  <c r="AS294" i="1"/>
  <c r="AS296" i="1" s="1"/>
  <c r="AT296" i="1" s="1"/>
  <c r="AT294" i="1" s="1"/>
  <c r="AW294" i="1" s="1"/>
  <c r="AP229" i="1"/>
  <c r="AP228" i="1"/>
  <c r="W28" i="1"/>
  <c r="AG29" i="1"/>
  <c r="AS26" i="1"/>
  <c r="AP208" i="1"/>
  <c r="AP209" i="1"/>
  <c r="AP133" i="1"/>
  <c r="AP132" i="1"/>
  <c r="W192" i="1"/>
  <c r="AG193" i="1"/>
  <c r="AS190" i="1"/>
  <c r="AS192" i="1" s="1"/>
  <c r="AT192" i="1" s="1"/>
  <c r="AT190" i="1" s="1"/>
  <c r="AW190" i="1" s="1"/>
  <c r="AP153" i="1"/>
  <c r="AP152" i="1"/>
  <c r="AP84" i="1"/>
  <c r="AP85" i="1"/>
  <c r="AI249" i="1"/>
  <c r="AS247" i="1"/>
  <c r="AS249" i="1" s="1"/>
  <c r="AT249" i="1" s="1"/>
  <c r="AT247" i="1" s="1"/>
  <c r="AW247" i="1" s="1"/>
  <c r="AI245" i="1"/>
  <c r="AS243" i="1"/>
  <c r="AS245" i="1" s="1"/>
  <c r="AT245" i="1" s="1"/>
  <c r="AT243" i="1" s="1"/>
  <c r="AW243" i="1" s="1"/>
  <c r="AP292" i="1"/>
  <c r="AP293" i="1"/>
  <c r="AG249" i="1"/>
  <c r="W248" i="1"/>
  <c r="AS246" i="1"/>
  <c r="AS248" i="1" s="1"/>
  <c r="AT248" i="1" s="1"/>
  <c r="AT246" i="1" s="1"/>
  <c r="AW246" i="1" s="1"/>
  <c r="W156" i="1"/>
  <c r="AS154" i="1"/>
  <c r="AS156" i="1" s="1"/>
  <c r="AT156" i="1" s="1"/>
  <c r="AT154" i="1" s="1"/>
  <c r="AW154" i="1" s="1"/>
  <c r="AG157" i="1"/>
  <c r="AG285" i="1"/>
  <c r="W284" i="1"/>
  <c r="AS282" i="1"/>
  <c r="AS284" i="1" s="1"/>
  <c r="AT284" i="1" s="1"/>
  <c r="AT282" i="1" s="1"/>
  <c r="AW282" i="1" s="1"/>
  <c r="AI213" i="1"/>
  <c r="AS211" i="1"/>
  <c r="AS213" i="1" s="1"/>
  <c r="AT213" i="1" s="1"/>
  <c r="AT211" i="1" s="1"/>
  <c r="AW211" i="1" s="1"/>
  <c r="AS203" i="1"/>
  <c r="AS205" i="1" s="1"/>
  <c r="AT205" i="1" s="1"/>
  <c r="AT203" i="1" s="1"/>
  <c r="AW203" i="1" s="1"/>
  <c r="AI205" i="1"/>
  <c r="AP24" i="1"/>
  <c r="AP25" i="1"/>
  <c r="AI157" i="1"/>
  <c r="AS155" i="1"/>
  <c r="AS157" i="1" s="1"/>
  <c r="AT157" i="1" s="1"/>
  <c r="AT155" i="1" s="1"/>
  <c r="AW155" i="1" s="1"/>
  <c r="AS287" i="1"/>
  <c r="AS289" i="1" s="1"/>
  <c r="AT289" i="1" s="1"/>
  <c r="AT287" i="1" s="1"/>
  <c r="AW287" i="1" s="1"/>
  <c r="AI289" i="1"/>
  <c r="AP149" i="1"/>
  <c r="AP148" i="1"/>
  <c r="AG181" i="1"/>
  <c r="W180" i="1"/>
  <c r="AS178" i="1"/>
  <c r="AS180" i="1" s="1"/>
  <c r="AT180" i="1" s="1"/>
  <c r="AT178" i="1" s="1"/>
  <c r="AW178" i="1" s="1"/>
  <c r="AI181" i="1"/>
  <c r="AS179" i="1"/>
  <c r="AS181" i="1" s="1"/>
  <c r="AT181" i="1" s="1"/>
  <c r="AT179" i="1" s="1"/>
  <c r="AW179" i="1" s="1"/>
  <c r="AP232" i="1"/>
  <c r="AP233" i="1"/>
  <c r="AP184" i="1"/>
  <c r="AP185" i="1"/>
  <c r="W64" i="1"/>
  <c r="AG65" i="1"/>
  <c r="AS62" i="1"/>
  <c r="AS64" i="1" s="1"/>
  <c r="AT64" i="1" s="1"/>
  <c r="AT62" i="1" s="1"/>
  <c r="AW62" i="1" s="1"/>
  <c r="AP129" i="1"/>
  <c r="AP128" i="1"/>
  <c r="AI105" i="1"/>
  <c r="AS103" i="1"/>
  <c r="AS105" i="1" s="1"/>
  <c r="AT105" i="1" s="1"/>
  <c r="AT103" i="1" s="1"/>
  <c r="AW103" i="1" s="1"/>
  <c r="AP197" i="1"/>
  <c r="AP196" i="1"/>
  <c r="AG165" i="1" l="1"/>
  <c r="W164" i="1"/>
  <c r="AS162" i="1"/>
  <c r="AS164" i="1" s="1"/>
  <c r="AT164" i="1" s="1"/>
  <c r="AT162" i="1" s="1"/>
  <c r="AW162" i="1" s="1"/>
  <c r="AI93" i="1"/>
  <c r="AS91" i="1"/>
  <c r="AS93" i="1" s="1"/>
  <c r="AT93" i="1" s="1"/>
  <c r="AT91" i="1" s="1"/>
  <c r="AW91" i="1" s="1"/>
  <c r="W92" i="1"/>
  <c r="AG93" i="1"/>
  <c r="AS90" i="1"/>
  <c r="AS92" i="1" s="1"/>
  <c r="AT92" i="1" s="1"/>
  <c r="AT90" i="1" s="1"/>
  <c r="AW90" i="1" s="1"/>
  <c r="AI197" i="1"/>
  <c r="AS195" i="1"/>
  <c r="AS197" i="1" s="1"/>
  <c r="AT197" i="1" s="1"/>
  <c r="AT195" i="1" s="1"/>
  <c r="AW195" i="1" s="1"/>
  <c r="AI185" i="1"/>
  <c r="AS183" i="1"/>
  <c r="AS185" i="1" s="1"/>
  <c r="AT185" i="1" s="1"/>
  <c r="AT183" i="1" s="1"/>
  <c r="AW183" i="1" s="1"/>
  <c r="W24" i="1"/>
  <c r="AS22" i="1"/>
  <c r="AS24" i="1" s="1"/>
  <c r="AT24" i="1" s="1"/>
  <c r="AT22" i="1" s="1"/>
  <c r="AW22" i="1" s="1"/>
  <c r="AG25" i="1"/>
  <c r="AI225" i="1"/>
  <c r="AS223" i="1"/>
  <c r="AS225" i="1" s="1"/>
  <c r="AT225" i="1" s="1"/>
  <c r="AT223" i="1" s="1"/>
  <c r="AW223" i="1" s="1"/>
  <c r="AG77" i="1"/>
  <c r="W76" i="1"/>
  <c r="AS74" i="1"/>
  <c r="AS76" i="1" s="1"/>
  <c r="AT76" i="1" s="1"/>
  <c r="AT74" i="1" s="1"/>
  <c r="AW74" i="1" s="1"/>
  <c r="AG237" i="1"/>
  <c r="W236" i="1"/>
  <c r="AS234" i="1"/>
  <c r="AS236" i="1" s="1"/>
  <c r="AT236" i="1" s="1"/>
  <c r="AT234" i="1" s="1"/>
  <c r="AW234" i="1" s="1"/>
  <c r="W184" i="1"/>
  <c r="AG185" i="1"/>
  <c r="AS182" i="1"/>
  <c r="AS184" i="1" s="1"/>
  <c r="AT184" i="1" s="1"/>
  <c r="AT182" i="1" s="1"/>
  <c r="AW182" i="1" s="1"/>
  <c r="W148" i="1"/>
  <c r="AG149" i="1"/>
  <c r="AS146" i="1"/>
  <c r="AS148" i="1" s="1"/>
  <c r="AT148" i="1" s="1"/>
  <c r="AT146" i="1" s="1"/>
  <c r="AW146" i="1" s="1"/>
  <c r="AG57" i="1"/>
  <c r="W56" i="1"/>
  <c r="AS54" i="1"/>
  <c r="AI233" i="1"/>
  <c r="AS231" i="1"/>
  <c r="AS233" i="1" s="1"/>
  <c r="AT233" i="1" s="1"/>
  <c r="AT231" i="1" s="1"/>
  <c r="AW231" i="1" s="1"/>
  <c r="AI149" i="1"/>
  <c r="AS147" i="1"/>
  <c r="AS149" i="1" s="1"/>
  <c r="AT149" i="1" s="1"/>
  <c r="AT147" i="1" s="1"/>
  <c r="AW147" i="1" s="1"/>
  <c r="W228" i="1"/>
  <c r="AG229" i="1"/>
  <c r="AS226" i="1"/>
  <c r="AS228" i="1" s="1"/>
  <c r="AT228" i="1" s="1"/>
  <c r="AT226" i="1" s="1"/>
  <c r="AW226" i="1" s="1"/>
  <c r="AI69" i="1"/>
  <c r="AS67" i="1"/>
  <c r="AS69" i="1" s="1"/>
  <c r="AT69" i="1" s="1"/>
  <c r="AT67" i="1" s="1"/>
  <c r="AW67" i="1" s="1"/>
  <c r="AI57" i="1"/>
  <c r="AS55" i="1"/>
  <c r="AS57" i="1" s="1"/>
  <c r="AT57" i="1" s="1"/>
  <c r="AT55" i="1" s="1"/>
  <c r="AW55" i="1" s="1"/>
  <c r="W308" i="1"/>
  <c r="AG309" i="1"/>
  <c r="AS306" i="1"/>
  <c r="AS308" i="1" s="1"/>
  <c r="AT308" i="1" s="1"/>
  <c r="AT306" i="1" s="1"/>
  <c r="AW306" i="1" s="1"/>
  <c r="W304" i="1"/>
  <c r="AG305" i="1"/>
  <c r="AS302" i="1"/>
  <c r="AG169" i="1"/>
  <c r="W168" i="1"/>
  <c r="AS166" i="1"/>
  <c r="AS168" i="1" s="1"/>
  <c r="AT168" i="1" s="1"/>
  <c r="AT166" i="1" s="1"/>
  <c r="AW166" i="1" s="1"/>
  <c r="AG129" i="1"/>
  <c r="W128" i="1"/>
  <c r="AS126" i="1"/>
  <c r="AS128" i="1" s="1"/>
  <c r="AT128" i="1" s="1"/>
  <c r="AT126" i="1" s="1"/>
  <c r="AW126" i="1" s="1"/>
  <c r="AG233" i="1"/>
  <c r="W232" i="1"/>
  <c r="AS230" i="1"/>
  <c r="AS232" i="1" s="1"/>
  <c r="AT232" i="1" s="1"/>
  <c r="AT230" i="1" s="1"/>
  <c r="AW230" i="1" s="1"/>
  <c r="W132" i="1"/>
  <c r="AG133" i="1"/>
  <c r="AS130" i="1"/>
  <c r="AS132" i="1" s="1"/>
  <c r="AT132" i="1" s="1"/>
  <c r="AT130" i="1" s="1"/>
  <c r="AW130" i="1" s="1"/>
  <c r="AI229" i="1"/>
  <c r="AS227" i="1"/>
  <c r="AS229" i="1" s="1"/>
  <c r="AT229" i="1" s="1"/>
  <c r="AT227" i="1" s="1"/>
  <c r="AW227" i="1" s="1"/>
  <c r="AI165" i="1"/>
  <c r="AS163" i="1"/>
  <c r="AS165" i="1" s="1"/>
  <c r="AT165" i="1" s="1"/>
  <c r="AT163" i="1" s="1"/>
  <c r="AW163" i="1" s="1"/>
  <c r="AG145" i="1"/>
  <c r="W144" i="1"/>
  <c r="AS142" i="1"/>
  <c r="AS144" i="1" s="1"/>
  <c r="AT144" i="1" s="1"/>
  <c r="AT142" i="1" s="1"/>
  <c r="AW142" i="1" s="1"/>
  <c r="AS36" i="1"/>
  <c r="AT36" i="1" s="1"/>
  <c r="AT34" i="1" s="1"/>
  <c r="AW34" i="1" s="1"/>
  <c r="AS37" i="1"/>
  <c r="AT37" i="1" s="1"/>
  <c r="AT35" i="1" s="1"/>
  <c r="AW35" i="1" s="1"/>
  <c r="AI309" i="1"/>
  <c r="AS307" i="1"/>
  <c r="AI305" i="1"/>
  <c r="AS303" i="1"/>
  <c r="AI177" i="1"/>
  <c r="AS175" i="1"/>
  <c r="AS177" i="1" s="1"/>
  <c r="AT177" i="1" s="1"/>
  <c r="AT175" i="1" s="1"/>
  <c r="AW175" i="1" s="1"/>
  <c r="AI257" i="1"/>
  <c r="AS255" i="1"/>
  <c r="AS257" i="1" s="1"/>
  <c r="AT257" i="1" s="1"/>
  <c r="AT255" i="1" s="1"/>
  <c r="AW255" i="1" s="1"/>
  <c r="AI121" i="1"/>
  <c r="AS119" i="1"/>
  <c r="AS121" i="1" s="1"/>
  <c r="AT121" i="1" s="1"/>
  <c r="AT119" i="1" s="1"/>
  <c r="AW119" i="1" s="1"/>
  <c r="AI85" i="1"/>
  <c r="AS83" i="1"/>
  <c r="AS85" i="1" s="1"/>
  <c r="AT85" i="1" s="1"/>
  <c r="AT83" i="1" s="1"/>
  <c r="AW83" i="1" s="1"/>
  <c r="AI145" i="1"/>
  <c r="AS143" i="1"/>
  <c r="AS145" i="1" s="1"/>
  <c r="AT145" i="1" s="1"/>
  <c r="AT143" i="1" s="1"/>
  <c r="AW143" i="1" s="1"/>
  <c r="AG177" i="1"/>
  <c r="W176" i="1"/>
  <c r="AS174" i="1"/>
  <c r="AS176" i="1" s="1"/>
  <c r="AT176" i="1" s="1"/>
  <c r="AT174" i="1" s="1"/>
  <c r="AW174" i="1" s="1"/>
  <c r="W256" i="1"/>
  <c r="AG257" i="1"/>
  <c r="AS254" i="1"/>
  <c r="AS256" i="1" s="1"/>
  <c r="AT256" i="1" s="1"/>
  <c r="AT254" i="1" s="1"/>
  <c r="AW254" i="1" s="1"/>
  <c r="AG121" i="1"/>
  <c r="W120" i="1"/>
  <c r="AS118" i="1"/>
  <c r="AS120" i="1" s="1"/>
  <c r="AT120" i="1" s="1"/>
  <c r="AT118" i="1" s="1"/>
  <c r="AW118" i="1" s="1"/>
  <c r="AI133" i="1"/>
  <c r="AS131" i="1"/>
  <c r="AS133" i="1" s="1"/>
  <c r="AT133" i="1" s="1"/>
  <c r="AT131" i="1" s="1"/>
  <c r="AW131" i="1" s="1"/>
  <c r="AI209" i="1"/>
  <c r="AS207" i="1"/>
  <c r="AS209" i="1" s="1"/>
  <c r="AT209" i="1" s="1"/>
  <c r="AT207" i="1" s="1"/>
  <c r="AW207" i="1" s="1"/>
  <c r="W20" i="1"/>
  <c r="AS18" i="1"/>
  <c r="AG21" i="1"/>
  <c r="W152" i="1"/>
  <c r="AG153" i="1"/>
  <c r="AS150" i="1"/>
  <c r="AS152" i="1" s="1"/>
  <c r="AT152" i="1" s="1"/>
  <c r="AT150" i="1" s="1"/>
  <c r="AW150" i="1" s="1"/>
  <c r="AI265" i="1"/>
  <c r="AS263" i="1"/>
  <c r="AS265" i="1" s="1"/>
  <c r="AT265" i="1" s="1"/>
  <c r="AT263" i="1" s="1"/>
  <c r="AW263" i="1" s="1"/>
  <c r="W188" i="1"/>
  <c r="AG189" i="1"/>
  <c r="AS186" i="1"/>
  <c r="AS188" i="1" s="1"/>
  <c r="AT188" i="1" s="1"/>
  <c r="AT186" i="1" s="1"/>
  <c r="AW186" i="1" s="1"/>
  <c r="AX116" i="1"/>
  <c r="AX120" i="1" s="1"/>
  <c r="AX124" i="1" s="1"/>
  <c r="AX128" i="1" s="1"/>
  <c r="AX132" i="1" s="1"/>
  <c r="AX136" i="1" s="1"/>
  <c r="AX140" i="1" s="1"/>
  <c r="AX144" i="1" s="1"/>
  <c r="AX148" i="1" s="1"/>
  <c r="AX152" i="1" s="1"/>
  <c r="AX156" i="1" s="1"/>
  <c r="AX160" i="1" s="1"/>
  <c r="AX164" i="1" s="1"/>
  <c r="AX168" i="1" s="1"/>
  <c r="AX172" i="1" s="1"/>
  <c r="AX176" i="1" s="1"/>
  <c r="AX180" i="1" s="1"/>
  <c r="AX184" i="1" s="1"/>
  <c r="AX188" i="1" s="1"/>
  <c r="AX192" i="1" s="1"/>
  <c r="AX196" i="1" s="1"/>
  <c r="AX200" i="1" s="1"/>
  <c r="AX204" i="1" s="1"/>
  <c r="AX208" i="1" s="1"/>
  <c r="AX212" i="1" s="1"/>
  <c r="AX216" i="1" s="1"/>
  <c r="AX220" i="1" s="1"/>
  <c r="AX224" i="1" s="1"/>
  <c r="AX228" i="1" s="1"/>
  <c r="AX232" i="1" s="1"/>
  <c r="AX236" i="1" s="1"/>
  <c r="AX240" i="1" s="1"/>
  <c r="AX244" i="1" s="1"/>
  <c r="AX248" i="1" s="1"/>
  <c r="AX252" i="1" s="1"/>
  <c r="AX256" i="1" s="1"/>
  <c r="AX260" i="1" s="1"/>
  <c r="AX264" i="1" s="1"/>
  <c r="AX268" i="1" s="1"/>
  <c r="AX272" i="1" s="1"/>
  <c r="AX276" i="1" s="1"/>
  <c r="AX280" i="1" s="1"/>
  <c r="AX284" i="1" s="1"/>
  <c r="AX288" i="1" s="1"/>
  <c r="AX292" i="1" s="1"/>
  <c r="AX296" i="1"/>
  <c r="AX300" i="1" s="1"/>
  <c r="AI97" i="1"/>
  <c r="AS95" i="1"/>
  <c r="AS97" i="1" s="1"/>
  <c r="AT97" i="1" s="1"/>
  <c r="AT95" i="1" s="1"/>
  <c r="AW95" i="1" s="1"/>
  <c r="AI21" i="1"/>
  <c r="AS19" i="1"/>
  <c r="W264" i="1"/>
  <c r="AG265" i="1"/>
  <c r="AS262" i="1"/>
  <c r="AS264" i="1" s="1"/>
  <c r="AT264" i="1" s="1"/>
  <c r="AT262" i="1" s="1"/>
  <c r="AW262" i="1" s="1"/>
  <c r="AG97" i="1"/>
  <c r="W96" i="1"/>
  <c r="AS94" i="1"/>
  <c r="AS96" i="1" s="1"/>
  <c r="AT96" i="1" s="1"/>
  <c r="AT94" i="1" s="1"/>
  <c r="AW94" i="1" s="1"/>
  <c r="AI293" i="1"/>
  <c r="AS291" i="1"/>
  <c r="AS293" i="1" s="1"/>
  <c r="AT293" i="1" s="1"/>
  <c r="AT291" i="1" s="1"/>
  <c r="AW291" i="1" s="1"/>
  <c r="W208" i="1"/>
  <c r="AG209" i="1"/>
  <c r="AS206" i="1"/>
  <c r="AS208" i="1" s="1"/>
  <c r="AT208" i="1" s="1"/>
  <c r="AT206" i="1" s="1"/>
  <c r="AW206" i="1" s="1"/>
  <c r="AG161" i="1"/>
  <c r="W160" i="1"/>
  <c r="AS158" i="1"/>
  <c r="AS160" i="1" s="1"/>
  <c r="AT160" i="1" s="1"/>
  <c r="AT158" i="1" s="1"/>
  <c r="AW158" i="1" s="1"/>
  <c r="W196" i="1"/>
  <c r="AG197" i="1"/>
  <c r="AS194" i="1"/>
  <c r="AS196" i="1" s="1"/>
  <c r="AT196" i="1" s="1"/>
  <c r="AT194" i="1" s="1"/>
  <c r="AW194" i="1" s="1"/>
  <c r="AI25" i="1"/>
  <c r="AS23" i="1"/>
  <c r="AS25" i="1" s="1"/>
  <c r="AT25" i="1" s="1"/>
  <c r="AT23" i="1" s="1"/>
  <c r="AW23" i="1" s="1"/>
  <c r="AG293" i="1"/>
  <c r="W292" i="1"/>
  <c r="AS290" i="1"/>
  <c r="AS292" i="1" s="1"/>
  <c r="AT292" i="1" s="1"/>
  <c r="AT290" i="1" s="1"/>
  <c r="AW290" i="1" s="1"/>
  <c r="AI153" i="1"/>
  <c r="AS151" i="1"/>
  <c r="AS153" i="1" s="1"/>
  <c r="AT153" i="1" s="1"/>
  <c r="AT151" i="1" s="1"/>
  <c r="AW151" i="1" s="1"/>
  <c r="W224" i="1"/>
  <c r="AG225" i="1"/>
  <c r="AS222" i="1"/>
  <c r="AS224" i="1" s="1"/>
  <c r="AT224" i="1" s="1"/>
  <c r="AT222" i="1" s="1"/>
  <c r="AW222" i="1" s="1"/>
  <c r="AI161" i="1"/>
  <c r="AS159" i="1"/>
  <c r="AS161" i="1" s="1"/>
  <c r="AT161" i="1" s="1"/>
  <c r="AT159" i="1" s="1"/>
  <c r="AW159" i="1" s="1"/>
  <c r="AI77" i="1"/>
  <c r="AS75" i="1"/>
  <c r="AS77" i="1" s="1"/>
  <c r="AT77" i="1" s="1"/>
  <c r="AT75" i="1" s="1"/>
  <c r="AW75" i="1" s="1"/>
  <c r="AI237" i="1"/>
  <c r="AS235" i="1"/>
  <c r="AS237" i="1" s="1"/>
  <c r="AT237" i="1" s="1"/>
  <c r="AT235" i="1" s="1"/>
  <c r="AW235" i="1" s="1"/>
  <c r="AI189" i="1"/>
  <c r="AS187" i="1"/>
  <c r="AS189" i="1" s="1"/>
  <c r="AT189" i="1" s="1"/>
  <c r="AT187" i="1" s="1"/>
  <c r="AW187" i="1" s="1"/>
  <c r="W108" i="1"/>
  <c r="AG109" i="1"/>
  <c r="AS106" i="1"/>
  <c r="AS108" i="1" s="1"/>
  <c r="AT108" i="1" s="1"/>
  <c r="AT106" i="1" s="1"/>
  <c r="AW106" i="1" s="1"/>
  <c r="AI261" i="1"/>
  <c r="AS259" i="1"/>
  <c r="AS261" i="1" s="1"/>
  <c r="AT261" i="1" s="1"/>
  <c r="AT259" i="1" s="1"/>
  <c r="AW259" i="1" s="1"/>
  <c r="AF30" i="1"/>
  <c r="AF28" i="1"/>
  <c r="AF27" i="1"/>
  <c r="AS29" i="1"/>
  <c r="AT29" i="1" s="1"/>
  <c r="AT27" i="1" s="1"/>
  <c r="AW27" i="1" s="1"/>
  <c r="AS28" i="1"/>
  <c r="AT28" i="1" s="1"/>
  <c r="AT26" i="1" s="1"/>
  <c r="AW26" i="1" s="1"/>
  <c r="AI129" i="1"/>
  <c r="AS127" i="1"/>
  <c r="AS129" i="1" s="1"/>
  <c r="AT129" i="1" s="1"/>
  <c r="AT127" i="1" s="1"/>
  <c r="AW127" i="1" s="1"/>
  <c r="AS53" i="1"/>
  <c r="AT53" i="1" s="1"/>
  <c r="AT51" i="1" s="1"/>
  <c r="AW51" i="1" s="1"/>
  <c r="AS52" i="1"/>
  <c r="AT52" i="1" s="1"/>
  <c r="AT50" i="1" s="1"/>
  <c r="AW50" i="1" s="1"/>
  <c r="AS309" i="1"/>
  <c r="AT309" i="1" s="1"/>
  <c r="AT307" i="1" s="1"/>
  <c r="AW307" i="1" s="1"/>
  <c r="AS45" i="1"/>
  <c r="AT45" i="1" s="1"/>
  <c r="AT43" i="1" s="1"/>
  <c r="AW43" i="1" s="1"/>
  <c r="AS44" i="1"/>
  <c r="AT44" i="1" s="1"/>
  <c r="AT42" i="1" s="1"/>
  <c r="AW42" i="1" s="1"/>
  <c r="W84" i="1"/>
  <c r="AG85" i="1"/>
  <c r="AS82" i="1"/>
  <c r="AS84" i="1" s="1"/>
  <c r="AT84" i="1" s="1"/>
  <c r="AT82" i="1" s="1"/>
  <c r="AW82" i="1" s="1"/>
  <c r="AI221" i="1"/>
  <c r="AS219" i="1"/>
  <c r="AS221" i="1" s="1"/>
  <c r="AT221" i="1" s="1"/>
  <c r="AT219" i="1" s="1"/>
  <c r="AW219" i="1" s="1"/>
  <c r="AS107" i="1"/>
  <c r="AS109" i="1" s="1"/>
  <c r="AT109" i="1" s="1"/>
  <c r="AT107" i="1" s="1"/>
  <c r="AW107" i="1" s="1"/>
  <c r="AI109" i="1"/>
  <c r="W260" i="1"/>
  <c r="AG261" i="1"/>
  <c r="AS258" i="1"/>
  <c r="AS260" i="1" s="1"/>
  <c r="AT260" i="1" s="1"/>
  <c r="AT258" i="1" s="1"/>
  <c r="AW258" i="1" s="1"/>
  <c r="AS56" i="1"/>
  <c r="AT56" i="1" s="1"/>
  <c r="AT54" i="1" s="1"/>
  <c r="AW54" i="1" s="1"/>
  <c r="AS313" i="1"/>
  <c r="AT313" i="1" s="1"/>
  <c r="AT311" i="1" s="1"/>
  <c r="AW311" i="1" s="1"/>
  <c r="AS316" i="1"/>
  <c r="AT316" i="1" s="1"/>
  <c r="AT314" i="1" s="1"/>
  <c r="AW314" i="1" s="1"/>
  <c r="AS312" i="1"/>
  <c r="AT312" i="1" s="1"/>
  <c r="AT310" i="1" s="1"/>
  <c r="AW310" i="1" s="1"/>
  <c r="AI253" i="1"/>
  <c r="AS251" i="1"/>
  <c r="AS253" i="1" s="1"/>
  <c r="AT253" i="1" s="1"/>
  <c r="AT251" i="1" s="1"/>
  <c r="AW251" i="1" s="1"/>
  <c r="W68" i="1"/>
  <c r="AG69" i="1"/>
  <c r="AS66" i="1"/>
  <c r="AS68" i="1" s="1"/>
  <c r="AT68" i="1" s="1"/>
  <c r="AT66" i="1" s="1"/>
  <c r="AW66" i="1" s="1"/>
  <c r="AV65" i="1"/>
  <c r="AV69" i="1" s="1"/>
  <c r="AV73" i="1" s="1"/>
  <c r="AV77" i="1" s="1"/>
  <c r="AV81" i="1" s="1"/>
  <c r="AV85" i="1" s="1"/>
  <c r="AV89" i="1" s="1"/>
  <c r="AV93" i="1" s="1"/>
  <c r="AV97" i="1" s="1"/>
  <c r="AV101" i="1" s="1"/>
  <c r="AV105" i="1" s="1"/>
  <c r="AV109" i="1" s="1"/>
  <c r="AV113" i="1" s="1"/>
  <c r="AV305" i="1"/>
  <c r="AS33" i="1"/>
  <c r="AT33" i="1" s="1"/>
  <c r="AT31" i="1" s="1"/>
  <c r="AW31" i="1" s="1"/>
  <c r="AS32" i="1"/>
  <c r="AT32" i="1" s="1"/>
  <c r="AT30" i="1" s="1"/>
  <c r="AW30" i="1" s="1"/>
  <c r="AS40" i="1"/>
  <c r="AT40" i="1" s="1"/>
  <c r="AT38" i="1" s="1"/>
  <c r="AW38" i="1" s="1"/>
  <c r="AS41" i="1"/>
  <c r="AT41" i="1" s="1"/>
  <c r="AT39" i="1" s="1"/>
  <c r="AW39" i="1" s="1"/>
  <c r="AG221" i="1"/>
  <c r="W220" i="1"/>
  <c r="AS218" i="1"/>
  <c r="AS220" i="1" s="1"/>
  <c r="AT220" i="1" s="1"/>
  <c r="AT218" i="1" s="1"/>
  <c r="AW218" i="1" s="1"/>
  <c r="AI169" i="1"/>
  <c r="AS167" i="1"/>
  <c r="AS169" i="1" s="1"/>
  <c r="AT169" i="1" s="1"/>
  <c r="AT167" i="1" s="1"/>
  <c r="AW167" i="1" s="1"/>
  <c r="W252" i="1"/>
  <c r="AG253" i="1"/>
  <c r="AS250" i="1"/>
  <c r="AS252" i="1" s="1"/>
  <c r="AT252" i="1" s="1"/>
  <c r="AT250" i="1" s="1"/>
  <c r="AW250" i="1" s="1"/>
  <c r="AV117" i="1" l="1"/>
  <c r="AV121" i="1" s="1"/>
  <c r="AV125" i="1" s="1"/>
  <c r="AV129" i="1" s="1"/>
  <c r="AV133" i="1" s="1"/>
  <c r="AV137" i="1" s="1"/>
  <c r="AV141" i="1" s="1"/>
  <c r="AV145" i="1" s="1"/>
  <c r="AV149" i="1" s="1"/>
  <c r="AV153" i="1" s="1"/>
  <c r="AV157" i="1" s="1"/>
  <c r="AV161" i="1" s="1"/>
  <c r="AV165" i="1" s="1"/>
  <c r="AV169" i="1" s="1"/>
  <c r="AV173" i="1" s="1"/>
  <c r="AV177" i="1" s="1"/>
  <c r="AV181" i="1" s="1"/>
  <c r="AV185" i="1" s="1"/>
  <c r="AV189" i="1" s="1"/>
  <c r="AV193" i="1" s="1"/>
  <c r="AV197" i="1" s="1"/>
  <c r="AV201" i="1" s="1"/>
  <c r="AV205" i="1" s="1"/>
  <c r="AV209" i="1" s="1"/>
  <c r="AV213" i="1" s="1"/>
  <c r="AV217" i="1" s="1"/>
  <c r="AV221" i="1" s="1"/>
  <c r="AV225" i="1" s="1"/>
  <c r="AV229" i="1" s="1"/>
  <c r="AV233" i="1" s="1"/>
  <c r="AV237" i="1" s="1"/>
  <c r="AV241" i="1" s="1"/>
  <c r="AV245" i="1" s="1"/>
  <c r="AV249" i="1" s="1"/>
  <c r="AV253" i="1" s="1"/>
  <c r="AV257" i="1" s="1"/>
  <c r="AV261" i="1" s="1"/>
  <c r="AV265" i="1" s="1"/>
  <c r="AV269" i="1" s="1"/>
  <c r="AV273" i="1" s="1"/>
  <c r="AV277" i="1" s="1"/>
  <c r="AV281" i="1" s="1"/>
  <c r="AV285" i="1" s="1"/>
  <c r="AV289" i="1" s="1"/>
  <c r="AV293" i="1" s="1"/>
  <c r="AV297" i="1"/>
  <c r="AV301" i="1" s="1"/>
  <c r="AS49" i="1"/>
  <c r="AT49" i="1" s="1"/>
  <c r="AT47" i="1" s="1"/>
  <c r="AW47" i="1" s="1"/>
  <c r="AS48" i="1"/>
  <c r="AT48" i="1" s="1"/>
  <c r="AT46" i="1" s="1"/>
  <c r="AW46" i="1" s="1"/>
  <c r="AS21" i="1"/>
  <c r="AT21" i="1" s="1"/>
  <c r="AT19" i="1" s="1"/>
  <c r="AW19" i="1" s="1"/>
  <c r="AS20" i="1"/>
  <c r="AT20" i="1" s="1"/>
  <c r="AT18" i="1" s="1"/>
  <c r="AW18" i="1" s="1"/>
  <c r="AF34" i="1"/>
  <c r="AF31" i="1"/>
  <c r="AF32" i="1"/>
  <c r="AF35" i="1" l="1"/>
  <c r="AF36" i="1"/>
  <c r="AF38" i="1"/>
  <c r="AF42" i="1" l="1"/>
  <c r="AF39" i="1"/>
  <c r="AF40" i="1"/>
  <c r="AF46" i="1" l="1"/>
  <c r="AF43" i="1"/>
  <c r="AF44" i="1"/>
  <c r="AF50" i="1" l="1"/>
  <c r="AF47" i="1"/>
  <c r="AF48" i="1"/>
  <c r="AF54" i="1" l="1"/>
  <c r="AF52" i="1"/>
  <c r="AF51" i="1"/>
  <c r="AF58" i="1" l="1"/>
  <c r="AF56" i="1"/>
  <c r="AF55" i="1"/>
  <c r="AF62" i="1" l="1"/>
  <c r="AF60" i="1"/>
  <c r="AF59" i="1"/>
  <c r="AF66" i="1" l="1"/>
  <c r="AF64" i="1"/>
  <c r="AF63" i="1"/>
  <c r="AF68" i="1" l="1"/>
  <c r="AF67" i="1"/>
  <c r="AF70" i="1"/>
  <c r="AF74" i="1" l="1"/>
  <c r="AF71" i="1"/>
  <c r="AF72" i="1"/>
  <c r="AF78" i="1" l="1"/>
  <c r="AF75" i="1"/>
  <c r="AF76" i="1"/>
  <c r="AF82" i="1" l="1"/>
  <c r="AF80" i="1"/>
  <c r="AF79" i="1"/>
  <c r="AF86" i="1" l="1"/>
  <c r="AF83" i="1"/>
  <c r="AF84" i="1"/>
  <c r="AF90" i="1" l="1"/>
  <c r="AF87" i="1"/>
  <c r="AF88" i="1"/>
  <c r="AF94" i="1" l="1"/>
  <c r="AF91" i="1"/>
  <c r="AF92" i="1"/>
  <c r="AF98" i="1" l="1"/>
  <c r="AF96" i="1"/>
  <c r="AF95" i="1"/>
  <c r="AF102" i="1" l="1"/>
  <c r="AF100" i="1"/>
  <c r="AF99" i="1"/>
  <c r="AF106" i="1" l="1"/>
  <c r="AF104" i="1"/>
  <c r="AF103" i="1"/>
  <c r="AF110" i="1" l="1"/>
  <c r="AF107" i="1"/>
  <c r="AF108" i="1"/>
  <c r="AF114" i="1" l="1"/>
  <c r="AF111" i="1"/>
  <c r="AF112" i="1"/>
  <c r="AF115" i="1" l="1"/>
  <c r="AF116" i="1"/>
  <c r="AF118" i="1"/>
  <c r="AF122" i="1" l="1"/>
  <c r="AF120" i="1"/>
  <c r="AF119" i="1"/>
  <c r="AF126" i="1" l="1"/>
  <c r="AF123" i="1"/>
  <c r="AF124" i="1"/>
  <c r="AF128" i="1" l="1"/>
  <c r="AF127" i="1"/>
  <c r="AF130" i="1"/>
  <c r="AF131" i="1" l="1"/>
  <c r="AF134" i="1"/>
  <c r="AF132" i="1"/>
  <c r="AF138" i="1" l="1"/>
  <c r="AF136" i="1"/>
  <c r="AF135" i="1"/>
  <c r="AF142" i="1" l="1"/>
  <c r="AF139" i="1"/>
  <c r="AF140" i="1"/>
  <c r="AF146" i="1" l="1"/>
  <c r="AF144" i="1"/>
  <c r="AF143" i="1"/>
  <c r="AF150" i="1" l="1"/>
  <c r="AF148" i="1"/>
  <c r="AF147" i="1"/>
  <c r="AF154" i="1" l="1"/>
  <c r="AF152" i="1"/>
  <c r="AF151" i="1"/>
  <c r="AF158" i="1" l="1"/>
  <c r="AF155" i="1"/>
  <c r="AF156" i="1"/>
  <c r="AF162" i="1" l="1"/>
  <c r="AF159" i="1"/>
  <c r="AF160" i="1"/>
  <c r="AF166" i="1" l="1"/>
  <c r="AF164" i="1"/>
  <c r="AF163" i="1"/>
  <c r="AF170" i="1" l="1"/>
  <c r="AF167" i="1"/>
  <c r="AF168" i="1"/>
  <c r="AF174" i="1" l="1"/>
  <c r="AF172" i="1"/>
  <c r="AF171" i="1"/>
  <c r="AF178" i="1" l="1"/>
  <c r="AF176" i="1"/>
  <c r="AF175" i="1"/>
  <c r="AF182" i="1" l="1"/>
  <c r="AF180" i="1"/>
  <c r="AF179" i="1"/>
  <c r="AF183" i="1" l="1"/>
  <c r="AF186" i="1"/>
  <c r="AF184" i="1"/>
  <c r="AF190" i="1" l="1"/>
  <c r="AF187" i="1"/>
  <c r="AF188" i="1"/>
  <c r="AF194" i="1" l="1"/>
  <c r="AF191" i="1"/>
  <c r="AF192" i="1"/>
  <c r="AF198" i="1" l="1"/>
  <c r="AF196" i="1"/>
  <c r="AF195" i="1"/>
  <c r="AF202" i="1" l="1"/>
  <c r="AF200" i="1"/>
  <c r="AF199" i="1"/>
  <c r="AF206" i="1" l="1"/>
  <c r="AF204" i="1"/>
  <c r="AF203" i="1"/>
  <c r="AF210" i="1" l="1"/>
  <c r="AF207" i="1"/>
  <c r="AF208" i="1"/>
  <c r="AF211" i="1" l="1"/>
  <c r="AF212" i="1"/>
  <c r="AF214" i="1"/>
  <c r="AF215" i="1" l="1"/>
  <c r="AF218" i="1"/>
  <c r="AF216" i="1"/>
  <c r="AF222" i="1" l="1"/>
  <c r="AF220" i="1"/>
  <c r="AF219" i="1"/>
  <c r="AF223" i="1" l="1"/>
  <c r="AF226" i="1"/>
  <c r="AF224" i="1"/>
  <c r="AF228" i="1" l="1"/>
  <c r="AF227" i="1"/>
  <c r="AF230" i="1"/>
  <c r="AF232" i="1" l="1"/>
  <c r="AF234" i="1"/>
  <c r="AF231" i="1"/>
  <c r="AF236" i="1" l="1"/>
  <c r="AF238" i="1"/>
  <c r="AF235" i="1"/>
  <c r="AF242" i="1" l="1"/>
  <c r="AF239" i="1"/>
  <c r="AF240" i="1"/>
  <c r="AF243" i="1" l="1"/>
  <c r="AF244" i="1"/>
  <c r="AF246" i="1"/>
  <c r="AF248" i="1" l="1"/>
  <c r="AF250" i="1"/>
  <c r="AF247" i="1"/>
  <c r="AF254" i="1" l="1"/>
  <c r="AF252" i="1"/>
  <c r="AF251" i="1"/>
  <c r="AF255" i="1" l="1"/>
  <c r="AF258" i="1"/>
  <c r="AF256" i="1"/>
  <c r="AF259" i="1" l="1"/>
  <c r="AF262" i="1"/>
  <c r="AF260" i="1"/>
  <c r="AF263" i="1" l="1"/>
  <c r="AF266" i="1"/>
  <c r="AF264" i="1"/>
  <c r="AF270" i="1" l="1"/>
  <c r="AF267" i="1"/>
  <c r="AF268" i="1"/>
  <c r="AF274" i="1" l="1"/>
  <c r="AF272" i="1"/>
  <c r="AF271" i="1"/>
  <c r="AF276" i="1" l="1"/>
  <c r="AF275" i="1"/>
  <c r="AF278" i="1"/>
  <c r="AF279" i="1" l="1"/>
  <c r="AF282" i="1"/>
  <c r="AF280" i="1"/>
  <c r="AF283" i="1" l="1"/>
  <c r="AF286" i="1"/>
  <c r="AF284" i="1"/>
  <c r="AF288" i="1" l="1"/>
  <c r="AF290" i="1"/>
  <c r="AF287" i="1"/>
  <c r="AF292" i="1" l="1"/>
  <c r="AF291" i="1"/>
  <c r="AF294" i="1"/>
  <c r="AF298" i="1" l="1"/>
  <c r="AF295" i="1"/>
  <c r="AF296" i="1"/>
  <c r="AF302" i="1" l="1"/>
  <c r="AF299" i="1"/>
  <c r="AF300" i="1"/>
  <c r="AF303" i="1" l="1"/>
  <c r="AF306" i="1"/>
  <c r="AF304" i="1"/>
  <c r="AF308" i="1" l="1"/>
  <c r="AF307" i="1"/>
  <c r="AF310" i="1"/>
  <c r="AF312" i="1" l="1"/>
  <c r="AF311" i="1"/>
  <c r="AF314" i="1"/>
  <c r="AF316" i="1" l="1"/>
  <c r="AF315" i="1"/>
</calcChain>
</file>

<file path=xl/comments1.xml><?xml version="1.0" encoding="utf-8"?>
<comments xmlns="http://schemas.openxmlformats.org/spreadsheetml/2006/main">
  <authors>
    <author>ESE SERVICE</author>
    <author>ＥＳＥ　ＳＥＲＶＩＣＥ</author>
    <author>ＥＳＥ SERVICE</author>
  </authors>
  <commentList>
    <comment ref="L3" authorId="0">
      <text>
        <r>
          <rPr>
            <b/>
            <sz val="20"/>
            <color indexed="12"/>
            <rFont val="ＭＳ 明朝"/>
            <family val="1"/>
            <charset val="128"/>
          </rPr>
          <t xml:space="preserve">  </t>
        </r>
        <r>
          <rPr>
            <b/>
            <sz val="16"/>
            <color indexed="12"/>
            <rFont val="Times New Roman"/>
            <family val="1"/>
          </rPr>
          <t xml:space="preserve">It can use for the power transmission voltage at the
   time of regular of an independent trunk and a branch
   trunk, received voltage, load current, the check of
   power factor, the determination of series capacitor
   capacity, etc.
</t>
        </r>
        <r>
          <rPr>
            <b/>
            <sz val="16"/>
            <color indexed="12"/>
            <rFont val="ＭＳ 明朝"/>
            <family val="1"/>
            <charset val="128"/>
          </rPr>
          <t xml:space="preserve">
</t>
        </r>
        <r>
          <rPr>
            <b/>
            <sz val="11"/>
            <color indexed="81"/>
            <rFont val="ＭＳ 明朝"/>
            <family val="1"/>
            <charset val="128"/>
          </rPr>
          <t>　　 Comment</t>
        </r>
        <r>
          <rPr>
            <sz val="16"/>
            <color indexed="47"/>
            <rFont val="ＭＳ Ｐゴシック"/>
            <family val="3"/>
            <charset val="128"/>
          </rPr>
          <t>■</t>
        </r>
        <r>
          <rPr>
            <b/>
            <sz val="11"/>
            <color indexed="81"/>
            <rFont val="ＭＳ Ｐゴシック"/>
            <family val="3"/>
            <charset val="128"/>
          </rPr>
          <t xml:space="preserve"> i</t>
        </r>
        <r>
          <rPr>
            <b/>
            <sz val="11"/>
            <color indexed="81"/>
            <rFont val="ＭＳ Ｐ明朝"/>
            <family val="1"/>
            <charset val="128"/>
          </rPr>
          <t>s the object for cells which needs an input．</t>
        </r>
        <r>
          <rPr>
            <sz val="11"/>
            <color indexed="81"/>
            <rFont val="ＭＳ Ｐゴシック"/>
            <family val="3"/>
            <charset val="128"/>
          </rPr>
          <t xml:space="preserve">
</t>
        </r>
        <r>
          <rPr>
            <b/>
            <sz val="11"/>
            <color indexed="81"/>
            <rFont val="ＭＳ 明朝"/>
            <family val="1"/>
            <charset val="128"/>
          </rPr>
          <t xml:space="preserve">　          </t>
        </r>
        <r>
          <rPr>
            <sz val="16"/>
            <color indexed="26"/>
            <rFont val="ＭＳ Ｐゴシック"/>
            <family val="3"/>
            <charset val="128"/>
          </rPr>
          <t>■</t>
        </r>
        <r>
          <rPr>
            <sz val="11"/>
            <color indexed="43"/>
            <rFont val="ＭＳ Ｐゴシック"/>
            <family val="3"/>
            <charset val="128"/>
          </rPr>
          <t xml:space="preserve"> </t>
        </r>
        <r>
          <rPr>
            <b/>
            <sz val="11"/>
            <color indexed="81"/>
            <rFont val="ＭＳ Ｐゴシック"/>
            <family val="3"/>
            <charset val="128"/>
          </rPr>
          <t>i</t>
        </r>
        <r>
          <rPr>
            <b/>
            <sz val="11"/>
            <color indexed="81"/>
            <rFont val="ＭＳ Ｐ明朝"/>
            <family val="1"/>
            <charset val="128"/>
          </rPr>
          <t>s an explanatory note etc.</t>
        </r>
        <r>
          <rPr>
            <sz val="11"/>
            <color indexed="81"/>
            <rFont val="ＭＳ Ｐゴシック"/>
            <family val="3"/>
            <charset val="128"/>
          </rPr>
          <t xml:space="preserve">
</t>
        </r>
        <r>
          <rPr>
            <sz val="11"/>
            <color indexed="81"/>
            <rFont val="ＭＳ 明朝"/>
            <family val="1"/>
            <charset val="128"/>
          </rPr>
          <t xml:space="preserve"> </t>
        </r>
        <r>
          <rPr>
            <b/>
            <sz val="11"/>
            <color indexed="81"/>
            <rFont val="ＭＳ 明朝"/>
            <family val="1"/>
            <charset val="128"/>
          </rPr>
          <t xml:space="preserve">      Input cell</t>
        </r>
        <r>
          <rPr>
            <sz val="16"/>
            <color indexed="43"/>
            <rFont val="ＭＳ Ｐゴシック"/>
            <family val="3"/>
            <charset val="128"/>
          </rPr>
          <t>■</t>
        </r>
        <r>
          <rPr>
            <sz val="11"/>
            <color indexed="81"/>
            <rFont val="ＭＳ Ｐゴシック"/>
            <family val="3"/>
            <charset val="128"/>
          </rPr>
          <t xml:space="preserve"> </t>
        </r>
        <r>
          <rPr>
            <b/>
            <sz val="11"/>
            <color indexed="81"/>
            <rFont val="ＭＳ Ｐ明朝"/>
            <family val="1"/>
            <charset val="128"/>
          </rPr>
          <t>should input a required matter.</t>
        </r>
        <r>
          <rPr>
            <sz val="11"/>
            <color indexed="81"/>
            <rFont val="ＭＳ Ｐゴシック"/>
            <family val="3"/>
            <charset val="128"/>
          </rPr>
          <t xml:space="preserve">
</t>
        </r>
        <r>
          <rPr>
            <sz val="11"/>
            <color indexed="81"/>
            <rFont val="ＭＳ 明朝"/>
            <family val="1"/>
            <charset val="128"/>
          </rPr>
          <t xml:space="preserve"> </t>
        </r>
        <r>
          <rPr>
            <b/>
            <sz val="11"/>
            <color indexed="81"/>
            <rFont val="ＭＳ 明朝"/>
            <family val="1"/>
            <charset val="128"/>
          </rPr>
          <t>Calculation cell</t>
        </r>
        <r>
          <rPr>
            <sz val="16"/>
            <color indexed="9"/>
            <rFont val="ＭＳ Ｐゴシック"/>
            <family val="3"/>
            <charset val="128"/>
          </rPr>
          <t>■</t>
        </r>
        <r>
          <rPr>
            <sz val="11"/>
            <color indexed="81"/>
            <rFont val="ＭＳ Ｐゴシック"/>
            <family val="3"/>
            <charset val="128"/>
          </rPr>
          <t xml:space="preserve"> </t>
        </r>
        <r>
          <rPr>
            <b/>
            <sz val="11"/>
            <color indexed="81"/>
            <rFont val="ＭＳ Ｐ明朝"/>
            <family val="1"/>
            <charset val="128"/>
          </rPr>
          <t xml:space="preserve">is an automatic calculation cell, an input
</t>
        </r>
        <r>
          <rPr>
            <b/>
            <sz val="11"/>
            <color indexed="81"/>
            <rFont val="ＭＳ 明朝"/>
            <family val="1"/>
            <charset val="128"/>
          </rPr>
          <t xml:space="preserve">                </t>
        </r>
        <r>
          <rPr>
            <sz val="16"/>
            <color indexed="81"/>
            <rFont val="ＭＳ 明朝"/>
            <family val="1"/>
            <charset val="128"/>
          </rPr>
          <t>　</t>
        </r>
        <r>
          <rPr>
            <b/>
            <sz val="11"/>
            <color indexed="81"/>
            <rFont val="ＭＳ Ｐ明朝"/>
            <family val="1"/>
            <charset val="128"/>
          </rPr>
          <t xml:space="preserve">  is impossible.</t>
        </r>
      </text>
    </comment>
    <comment ref="N6" authorId="0">
      <text>
        <r>
          <rPr>
            <b/>
            <sz val="16"/>
            <color indexed="81"/>
            <rFont val="ＭＳ Ｐゴシック"/>
            <family val="3"/>
            <charset val="128"/>
          </rPr>
          <t xml:space="preserve">  </t>
        </r>
        <r>
          <rPr>
            <b/>
            <sz val="11"/>
            <color indexed="10"/>
            <rFont val="ＭＳ Ｐゴシック"/>
            <family val="3"/>
            <charset val="128"/>
          </rPr>
          <t>High-voltage Capacitor</t>
        </r>
        <r>
          <rPr>
            <sz val="10"/>
            <color indexed="12"/>
            <rFont val="ＭＳ Ｐゴシック"/>
            <family val="3"/>
            <charset val="128"/>
          </rPr>
          <t>［Nichicon Corp.1991.5］</t>
        </r>
        <r>
          <rPr>
            <b/>
            <sz val="9"/>
            <color indexed="81"/>
            <rFont val="ＭＳ Ｐゴシック"/>
            <family val="3"/>
            <charset val="128"/>
          </rPr>
          <t xml:space="preserve">
</t>
        </r>
        <r>
          <rPr>
            <b/>
            <sz val="2"/>
            <color indexed="81"/>
            <rFont val="ＭＳ Ｐゴシック"/>
            <family val="3"/>
            <charset val="128"/>
          </rPr>
          <t xml:space="preserve">
        </t>
        </r>
        <r>
          <rPr>
            <sz val="10"/>
            <color indexed="81"/>
            <rFont val="ＭＳ Ｐゴシック"/>
            <family val="3"/>
            <charset val="128"/>
          </rPr>
          <t>3300V，6600V-50Hz，60Hz（</t>
        </r>
        <r>
          <rPr>
            <sz val="9"/>
            <color indexed="14"/>
            <rFont val="ＭＳ Ｐゴシック"/>
            <family val="3"/>
            <charset val="128"/>
          </rPr>
          <t>no Series reactor</t>
        </r>
        <r>
          <rPr>
            <sz val="10"/>
            <color indexed="81"/>
            <rFont val="ＭＳ Ｐゴシック"/>
            <family val="3"/>
            <charset val="128"/>
          </rPr>
          <t>）</t>
        </r>
        <r>
          <rPr>
            <b/>
            <sz val="9"/>
            <color indexed="81"/>
            <rFont val="ＭＳ Ｐゴシック"/>
            <family val="3"/>
            <charset val="128"/>
          </rPr>
          <t xml:space="preserve">
</t>
        </r>
        <r>
          <rPr>
            <b/>
            <sz val="9"/>
            <color indexed="81"/>
            <rFont val="ＭＳ ゴシック"/>
            <family val="3"/>
            <charset val="128"/>
          </rPr>
          <t xml:space="preserve">     50, 75,100,150,200,250,300</t>
        </r>
        <r>
          <rPr>
            <b/>
            <sz val="9"/>
            <color indexed="81"/>
            <rFont val="ＭＳ Ｐゴシック"/>
            <family val="3"/>
            <charset val="128"/>
          </rPr>
          <t xml:space="preserve"> </t>
        </r>
        <r>
          <rPr>
            <sz val="10"/>
            <color indexed="81"/>
            <rFont val="ＭＳ Ｐゴシック"/>
            <family val="3"/>
            <charset val="128"/>
          </rPr>
          <t>[KVar]</t>
        </r>
        <r>
          <rPr>
            <b/>
            <sz val="9"/>
            <color indexed="81"/>
            <rFont val="ＭＳ Ｐゴシック"/>
            <family val="3"/>
            <charset val="128"/>
          </rPr>
          <t xml:space="preserve">
   </t>
        </r>
        <r>
          <rPr>
            <sz val="10"/>
            <color indexed="81"/>
            <rFont val="ＭＳ Ｐゴシック"/>
            <family val="3"/>
            <charset val="128"/>
          </rPr>
          <t>3300V，6600V-50Hz，60Hz（</t>
        </r>
        <r>
          <rPr>
            <sz val="10"/>
            <color indexed="14"/>
            <rFont val="ＭＳ Ｐゴシック"/>
            <family val="3"/>
            <charset val="128"/>
          </rPr>
          <t xml:space="preserve">Series reactor </t>
        </r>
        <r>
          <rPr>
            <sz val="10"/>
            <color indexed="10"/>
            <rFont val="ＭＳ Ｐゴシック"/>
            <family val="3"/>
            <charset val="128"/>
          </rPr>
          <t>6％</t>
        </r>
        <r>
          <rPr>
            <sz val="10"/>
            <color indexed="81"/>
            <rFont val="ＭＳ Ｐゴシック"/>
            <family val="3"/>
            <charset val="128"/>
          </rPr>
          <t>）</t>
        </r>
        <r>
          <rPr>
            <b/>
            <sz val="9"/>
            <color indexed="81"/>
            <rFont val="ＭＳ Ｐゴシック"/>
            <family val="3"/>
            <charset val="128"/>
          </rPr>
          <t xml:space="preserve">
</t>
        </r>
        <r>
          <rPr>
            <b/>
            <sz val="9"/>
            <color indexed="81"/>
            <rFont val="ＭＳ ゴシック"/>
            <family val="3"/>
            <charset val="128"/>
          </rPr>
          <t xml:space="preserve">     50, 75,100,150,200,250,300,400,500,600,
 　 </t>
        </r>
        <r>
          <rPr>
            <b/>
            <sz val="9"/>
            <color indexed="55"/>
            <rFont val="ＭＳ ゴシック"/>
            <family val="3"/>
            <charset val="128"/>
          </rPr>
          <t>700</t>
        </r>
        <r>
          <rPr>
            <b/>
            <sz val="9"/>
            <color indexed="81"/>
            <rFont val="ＭＳ ゴシック"/>
            <family val="3"/>
            <charset val="128"/>
          </rPr>
          <t>,750,</t>
        </r>
        <r>
          <rPr>
            <b/>
            <sz val="9"/>
            <color indexed="55"/>
            <rFont val="ＭＳ ゴシック"/>
            <family val="3"/>
            <charset val="128"/>
          </rPr>
          <t>800</t>
        </r>
        <r>
          <rPr>
            <b/>
            <sz val="9"/>
            <color indexed="81"/>
            <rFont val="ＭＳ ゴシック"/>
            <family val="3"/>
            <charset val="128"/>
          </rPr>
          <t>,</t>
        </r>
        <r>
          <rPr>
            <b/>
            <sz val="9"/>
            <color indexed="55"/>
            <rFont val="ＭＳ ゴシック"/>
            <family val="3"/>
            <charset val="128"/>
          </rPr>
          <t>900</t>
        </r>
        <r>
          <rPr>
            <b/>
            <sz val="9"/>
            <color indexed="81"/>
            <rFont val="ＭＳ ゴシック"/>
            <family val="3"/>
            <charset val="128"/>
          </rPr>
          <t>,1000</t>
        </r>
        <r>
          <rPr>
            <sz val="10"/>
            <color indexed="81"/>
            <rFont val="ＭＳ Ｐゴシック"/>
            <family val="3"/>
            <charset val="128"/>
          </rPr>
          <t>[KVar]</t>
        </r>
        <r>
          <rPr>
            <b/>
            <sz val="9"/>
            <color indexed="81"/>
            <rFont val="ＭＳ Ｐゴシック"/>
            <family val="3"/>
            <charset val="128"/>
          </rPr>
          <t xml:space="preserve">
  </t>
        </r>
        <r>
          <rPr>
            <sz val="10"/>
            <color indexed="81"/>
            <rFont val="ＭＳ Ｐゴシック"/>
            <family val="3"/>
            <charset val="128"/>
          </rPr>
          <t xml:space="preserve"> 3300V，6600V-50Hz，60Hz（</t>
        </r>
        <r>
          <rPr>
            <sz val="9"/>
            <color indexed="14"/>
            <rFont val="ＭＳ Ｐゴシック"/>
            <family val="3"/>
            <charset val="128"/>
          </rPr>
          <t xml:space="preserve">Series reactor </t>
        </r>
        <r>
          <rPr>
            <sz val="10"/>
            <color indexed="10"/>
            <rFont val="ＭＳ Ｐゴシック"/>
            <family val="3"/>
            <charset val="128"/>
          </rPr>
          <t>13％</t>
        </r>
        <r>
          <rPr>
            <sz val="9"/>
            <color indexed="81"/>
            <rFont val="ＭＳ Ｐゴシック"/>
            <family val="3"/>
            <charset val="128"/>
          </rPr>
          <t>）</t>
        </r>
        <r>
          <rPr>
            <b/>
            <sz val="9"/>
            <color indexed="81"/>
            <rFont val="ＭＳ Ｐゴシック"/>
            <family val="3"/>
            <charset val="128"/>
          </rPr>
          <t xml:space="preserve">
</t>
        </r>
        <r>
          <rPr>
            <b/>
            <sz val="9"/>
            <color indexed="81"/>
            <rFont val="ＭＳ ゴシック"/>
            <family val="3"/>
            <charset val="128"/>
          </rPr>
          <t xml:space="preserve">     50, 75,100,150,200,250,300,400,500</t>
        </r>
        <r>
          <rPr>
            <sz val="10"/>
            <color indexed="81"/>
            <rFont val="ＭＳ Ｐゴシック"/>
            <family val="3"/>
            <charset val="128"/>
          </rPr>
          <t>[KVar]</t>
        </r>
        <r>
          <rPr>
            <b/>
            <sz val="9"/>
            <color indexed="81"/>
            <rFont val="ＭＳ Ｐゴシック"/>
            <family val="3"/>
            <charset val="128"/>
          </rPr>
          <t xml:space="preserve">
 </t>
        </r>
      </text>
    </comment>
    <comment ref="N7" authorId="0">
      <text>
        <r>
          <rPr>
            <sz val="16"/>
            <color indexed="81"/>
            <rFont val="ＭＳ Ｐゴシック"/>
            <family val="3"/>
            <charset val="128"/>
          </rPr>
          <t xml:space="preserve">  </t>
        </r>
        <r>
          <rPr>
            <b/>
            <sz val="11"/>
            <color indexed="10"/>
            <rFont val="ＭＳ Ｐゴシック"/>
            <family val="3"/>
            <charset val="128"/>
          </rPr>
          <t>Low-voltage Capacitor</t>
        </r>
        <r>
          <rPr>
            <sz val="9"/>
            <color indexed="12"/>
            <rFont val="ＭＳ Ｐゴシック"/>
            <family val="3"/>
            <charset val="128"/>
          </rPr>
          <t>［Nichicon Corp.1991.5］</t>
        </r>
        <r>
          <rPr>
            <b/>
            <sz val="11"/>
            <color indexed="81"/>
            <rFont val="ＭＳ Ｐゴシック"/>
            <family val="3"/>
            <charset val="128"/>
          </rPr>
          <t xml:space="preserve">
</t>
        </r>
        <r>
          <rPr>
            <sz val="16"/>
            <color indexed="81"/>
            <rFont val="ＭＳ Ｐゴシック"/>
            <family val="3"/>
            <charset val="128"/>
          </rPr>
          <t xml:space="preserve"> </t>
        </r>
        <r>
          <rPr>
            <sz val="10"/>
            <color indexed="81"/>
            <rFont val="ＭＳ Ｐゴシック"/>
            <family val="3"/>
            <charset val="128"/>
          </rPr>
          <t>200V，220V-50Hz，60Hz（</t>
        </r>
        <r>
          <rPr>
            <sz val="9"/>
            <color indexed="14"/>
            <rFont val="ＭＳ Ｐゴシック"/>
            <family val="3"/>
            <charset val="128"/>
          </rPr>
          <t>no Series reactor</t>
        </r>
        <r>
          <rPr>
            <sz val="10"/>
            <color indexed="81"/>
            <rFont val="ＭＳ Ｐゴシック"/>
            <family val="3"/>
            <charset val="128"/>
          </rPr>
          <t xml:space="preserve">）
</t>
        </r>
        <r>
          <rPr>
            <b/>
            <sz val="9"/>
            <color indexed="81"/>
            <rFont val="ＭＳ ゴシック"/>
            <family val="3"/>
            <charset val="128"/>
          </rPr>
          <t xml:space="preserve">     10, 15, 20, 25, 30, 50</t>
        </r>
        <r>
          <rPr>
            <sz val="10"/>
            <color indexed="81"/>
            <rFont val="ＭＳ ゴシック"/>
            <family val="3"/>
            <charset val="128"/>
          </rPr>
          <t xml:space="preserve">[KVar]
 </t>
        </r>
        <r>
          <rPr>
            <sz val="10"/>
            <color indexed="81"/>
            <rFont val="ＭＳ Ｐゴシック"/>
            <family val="3"/>
            <charset val="128"/>
          </rPr>
          <t>200V，220V-50Hz，60Hz（</t>
        </r>
        <r>
          <rPr>
            <sz val="9"/>
            <color indexed="14"/>
            <rFont val="ＭＳ Ｐゴシック"/>
            <family val="3"/>
            <charset val="128"/>
          </rPr>
          <t xml:space="preserve">Series reactor </t>
        </r>
        <r>
          <rPr>
            <sz val="10"/>
            <color indexed="10"/>
            <rFont val="ＭＳ Ｐゴシック"/>
            <family val="3"/>
            <charset val="128"/>
          </rPr>
          <t>６％</t>
        </r>
        <r>
          <rPr>
            <sz val="10"/>
            <color indexed="81"/>
            <rFont val="ＭＳ Ｐゴシック"/>
            <family val="3"/>
            <charset val="128"/>
          </rPr>
          <t>）</t>
        </r>
        <r>
          <rPr>
            <sz val="10"/>
            <color indexed="81"/>
            <rFont val="ＭＳ ゴシック"/>
            <family val="3"/>
            <charset val="128"/>
          </rPr>
          <t xml:space="preserve">
 </t>
        </r>
        <r>
          <rPr>
            <b/>
            <sz val="9"/>
            <color indexed="81"/>
            <rFont val="ＭＳ ゴシック"/>
            <family val="3"/>
            <charset val="128"/>
          </rPr>
          <t>　  10, 15, 20, 25, 30, 40, 50, 75,100</t>
        </r>
        <r>
          <rPr>
            <sz val="10"/>
            <color indexed="81"/>
            <rFont val="ＭＳ ゴシック"/>
            <family val="3"/>
            <charset val="128"/>
          </rPr>
          <t xml:space="preserve">[KVar]
</t>
        </r>
        <r>
          <rPr>
            <sz val="10"/>
            <color indexed="81"/>
            <rFont val="ＭＳ Ｐゴシック"/>
            <family val="3"/>
            <charset val="128"/>
          </rPr>
          <t xml:space="preserve">  400，415，440，460V-50Hz，60Hz（</t>
        </r>
        <r>
          <rPr>
            <sz val="9"/>
            <color indexed="14"/>
            <rFont val="ＭＳ Ｐゴシック"/>
            <family val="3"/>
            <charset val="128"/>
          </rPr>
          <t>no Series reactor</t>
        </r>
        <r>
          <rPr>
            <sz val="10"/>
            <color indexed="81"/>
            <rFont val="ＭＳ Ｐゴシック"/>
            <family val="3"/>
            <charset val="128"/>
          </rPr>
          <t>）</t>
        </r>
        <r>
          <rPr>
            <sz val="10"/>
            <color indexed="81"/>
            <rFont val="ＭＳ ゴシック"/>
            <family val="3"/>
            <charset val="128"/>
          </rPr>
          <t xml:space="preserve">
</t>
        </r>
        <r>
          <rPr>
            <b/>
            <sz val="9"/>
            <color indexed="81"/>
            <rFont val="ＭＳ ゴシック"/>
            <family val="3"/>
            <charset val="128"/>
          </rPr>
          <t xml:space="preserve">     10, 15, 20, 25, 30, 50, 75,100,150</t>
        </r>
        <r>
          <rPr>
            <sz val="10"/>
            <color indexed="81"/>
            <rFont val="ＭＳ ゴシック"/>
            <family val="3"/>
            <charset val="128"/>
          </rPr>
          <t xml:space="preserve">[KVar]
</t>
        </r>
        <r>
          <rPr>
            <sz val="10"/>
            <color indexed="81"/>
            <rFont val="ＭＳ Ｐゴシック"/>
            <family val="3"/>
            <charset val="128"/>
          </rPr>
          <t xml:space="preserve">  400，415，440，460V-50Hz，60Hz（</t>
        </r>
        <r>
          <rPr>
            <sz val="9"/>
            <color indexed="14"/>
            <rFont val="ＭＳ Ｐゴシック"/>
            <family val="3"/>
            <charset val="128"/>
          </rPr>
          <t xml:space="preserve">Series reactor </t>
        </r>
        <r>
          <rPr>
            <sz val="10"/>
            <color indexed="10"/>
            <rFont val="ＭＳ Ｐゴシック"/>
            <family val="3"/>
            <charset val="128"/>
          </rPr>
          <t>6％</t>
        </r>
        <r>
          <rPr>
            <sz val="10"/>
            <color indexed="81"/>
            <rFont val="ＭＳ Ｐゴシック"/>
            <family val="3"/>
            <charset val="128"/>
          </rPr>
          <t>）</t>
        </r>
        <r>
          <rPr>
            <sz val="10"/>
            <color indexed="81"/>
            <rFont val="ＭＳ ゴシック"/>
            <family val="3"/>
            <charset val="128"/>
          </rPr>
          <t xml:space="preserve">
</t>
        </r>
        <r>
          <rPr>
            <b/>
            <sz val="9"/>
            <color indexed="81"/>
            <rFont val="ＭＳ ゴシック"/>
            <family val="3"/>
            <charset val="128"/>
          </rPr>
          <t xml:space="preserve">     10, 15, 20, 25, 30, 50, 75,100,150,200
    250,300</t>
        </r>
        <r>
          <rPr>
            <sz val="10"/>
            <color indexed="81"/>
            <rFont val="ＭＳ ゴシック"/>
            <family val="3"/>
            <charset val="128"/>
          </rPr>
          <t>[KVar]</t>
        </r>
      </text>
    </comment>
    <comment ref="C8" authorId="0">
      <text>
        <r>
          <rPr>
            <b/>
            <sz val="14"/>
            <color indexed="81"/>
            <rFont val="ＭＳ Ｐゴシック"/>
            <family val="3"/>
            <charset val="128"/>
          </rPr>
          <t>Printing range</t>
        </r>
      </text>
    </comment>
    <comment ref="N10" authorId="0">
      <text>
        <r>
          <rPr>
            <sz val="16"/>
            <color indexed="8"/>
            <rFont val="ＭＳ Ｐゴシック"/>
            <family val="3"/>
            <charset val="128"/>
          </rPr>
          <t xml:space="preserve">  　  </t>
        </r>
        <r>
          <rPr>
            <b/>
            <sz val="11"/>
            <color indexed="10"/>
            <rFont val="ＭＳ Ｐゴシック"/>
            <family val="3"/>
            <charset val="128"/>
          </rPr>
          <t>Ｓｅｒｉｅｓ ｐｏｗｅｒ ｃａｐａｃｉｔｏｒ</t>
        </r>
        <r>
          <rPr>
            <b/>
            <sz val="11"/>
            <color indexed="8"/>
            <rFont val="ＭＳ Ｐゴシック"/>
            <family val="3"/>
            <charset val="128"/>
          </rPr>
          <t xml:space="preserve">
</t>
        </r>
        <r>
          <rPr>
            <sz val="10"/>
            <color indexed="8"/>
            <rFont val="ＭＳ ゴシック"/>
            <family val="3"/>
            <charset val="128"/>
          </rPr>
          <t xml:space="preserve">  </t>
        </r>
        <r>
          <rPr>
            <b/>
            <sz val="10"/>
            <color indexed="12"/>
            <rFont val="ＭＳ Ｐ明朝"/>
            <family val="1"/>
            <charset val="128"/>
          </rPr>
          <t>When average power factor of total load
  is bad (delay), SC improves power factor,
  and it installs the electric power transfor-
  mer by the side of power distribution in
  order to operate efficiently.</t>
        </r>
      </text>
    </comment>
    <comment ref="O10" authorId="0">
      <text>
        <r>
          <rPr>
            <b/>
            <sz val="11"/>
            <color indexed="10"/>
            <rFont val="ＭＳ Ｐゴシック"/>
            <family val="3"/>
            <charset val="128"/>
          </rPr>
          <t>　When you perform accumulation calculation,</t>
        </r>
        <r>
          <rPr>
            <b/>
            <sz val="16"/>
            <color indexed="10"/>
            <rFont val="ＭＳ Ｐゴシック"/>
            <family val="3"/>
            <charset val="128"/>
          </rPr>
          <t>　</t>
        </r>
        <r>
          <rPr>
            <b/>
            <sz val="11"/>
            <color indexed="10"/>
            <rFont val="ＭＳ Ｐゴシック"/>
            <family val="3"/>
            <charset val="128"/>
          </rPr>
          <t xml:space="preserve">
　be careful of the following point.</t>
        </r>
        <r>
          <rPr>
            <sz val="9"/>
            <color indexed="81"/>
            <rFont val="ＭＳ Ｐゴシック"/>
            <family val="3"/>
            <charset val="128"/>
          </rPr>
          <t xml:space="preserve">
</t>
        </r>
        <r>
          <rPr>
            <sz val="9"/>
            <color indexed="12"/>
            <rFont val="ＭＳ Ｐゴシック"/>
            <family val="3"/>
            <charset val="128"/>
          </rPr>
          <t xml:space="preserve">
</t>
        </r>
        <r>
          <rPr>
            <sz val="10"/>
            <color indexed="12"/>
            <rFont val="ＭＳ Ｐゴシック"/>
            <family val="3"/>
            <charset val="128"/>
          </rPr>
          <t xml:space="preserve"> 　</t>
        </r>
        <r>
          <rPr>
            <b/>
            <sz val="10"/>
            <color indexed="12"/>
            <rFont val="ＭＳ Ｐ明朝"/>
            <family val="1"/>
            <charset val="128"/>
          </rPr>
          <t xml:space="preserve"> Trunk branch etc., when you accumulate the
   voltage drop value of each section, please use
   four lines each of a "cell" continuously.</t>
        </r>
        <r>
          <rPr>
            <sz val="10"/>
            <color indexed="12"/>
            <rFont val="ＭＳ Ｐゴシック"/>
            <family val="3"/>
            <charset val="128"/>
          </rPr>
          <t xml:space="preserve">
 　</t>
        </r>
        <r>
          <rPr>
            <b/>
            <sz val="10"/>
            <color indexed="12"/>
            <rFont val="ＭＳ Ｐ明朝"/>
            <family val="1"/>
            <charset val="128"/>
          </rPr>
          <t>When you move to independent trunk calculation
　 or next another calculation, four or more lines
　 should vacate and please be sure to input a cell</t>
        </r>
        <r>
          <rPr>
            <sz val="10"/>
            <color indexed="12"/>
            <rFont val="ＭＳ Ｐゴシック"/>
            <family val="3"/>
            <charset val="128"/>
          </rPr>
          <t>.</t>
        </r>
      </text>
    </comment>
    <comment ref="W10" authorId="0">
      <text>
        <r>
          <rPr>
            <sz val="16"/>
            <color indexed="8"/>
            <rFont val="ＭＳ Ｐゴシック"/>
            <family val="3"/>
            <charset val="128"/>
          </rPr>
          <t xml:space="preserve">  </t>
        </r>
        <r>
          <rPr>
            <b/>
            <sz val="11"/>
            <color indexed="10"/>
            <rFont val="ＭＳ Ｐゴシック"/>
            <family val="3"/>
            <charset val="128"/>
          </rPr>
          <t xml:space="preserve">Load side Series Power Capacitor 
</t>
        </r>
        <r>
          <rPr>
            <b/>
            <sz val="10"/>
            <color indexed="81"/>
            <rFont val="ＭＳ Ｐ明朝"/>
            <family val="1"/>
            <charset val="128"/>
          </rPr>
          <t xml:space="preserve"> </t>
        </r>
        <r>
          <rPr>
            <b/>
            <sz val="10"/>
            <color indexed="12"/>
            <rFont val="ＭＳ Ｐ明朝"/>
            <family val="1"/>
            <charset val="128"/>
          </rPr>
          <t>SC improves delay power factor of induc-
 tive load, reduces voltage drop of a trunk,
 and it installs it in order to prevent the
 fall of primary voltage.</t>
        </r>
      </text>
    </comment>
    <comment ref="AA10" authorId="0">
      <text>
        <r>
          <rPr>
            <sz val="14"/>
            <color indexed="81"/>
            <rFont val="ＭＳ Ｐゴシック"/>
            <family val="3"/>
            <charset val="128"/>
          </rPr>
          <t xml:space="preserve">  </t>
        </r>
        <r>
          <rPr>
            <b/>
            <sz val="11"/>
            <color indexed="81"/>
            <rFont val="ＭＳ Ｐゴシック"/>
            <family val="3"/>
            <charset val="128"/>
          </rPr>
          <t>Please choose out of
  a drop down list.</t>
        </r>
      </text>
    </comment>
    <comment ref="AE10" authorId="0">
      <text>
        <r>
          <rPr>
            <sz val="14"/>
            <color indexed="81"/>
            <rFont val="ＭＳ Ｐゴシック"/>
            <family val="3"/>
            <charset val="128"/>
          </rPr>
          <t xml:space="preserve">  </t>
        </r>
        <r>
          <rPr>
            <b/>
            <sz val="11"/>
            <color indexed="81"/>
            <rFont val="ＭＳ Ｐゴシック"/>
            <family val="3"/>
            <charset val="128"/>
          </rPr>
          <t>Please choose out of
  a drop down list.</t>
        </r>
      </text>
    </comment>
    <comment ref="AF10" authorId="1">
      <text>
        <r>
          <rPr>
            <b/>
            <sz val="11"/>
            <color indexed="12"/>
            <rFont val="ＭＳ Ｐ明朝"/>
            <family val="1"/>
            <charset val="128"/>
          </rPr>
          <t xml:space="preserve"> Secondary transformer</t>
        </r>
        <r>
          <rPr>
            <b/>
            <sz val="14"/>
            <color indexed="12"/>
            <rFont val="ＭＳ Ｐ明朝"/>
            <family val="1"/>
            <charset val="128"/>
          </rPr>
          <t xml:space="preserve"> </t>
        </r>
        <r>
          <rPr>
            <b/>
            <sz val="11"/>
            <color indexed="12"/>
            <rFont val="ＭＳ Ｐ明朝"/>
            <family val="1"/>
            <charset val="128"/>
          </rPr>
          <t xml:space="preserve">
 side voltage </t>
        </r>
        <r>
          <rPr>
            <b/>
            <sz val="10"/>
            <color indexed="12"/>
            <rFont val="ＭＳ Ｐゴシック"/>
            <family val="3"/>
            <charset val="128"/>
          </rPr>
          <t>［Ｖ］</t>
        </r>
      </text>
    </comment>
    <comment ref="L11" authorId="0">
      <text>
        <r>
          <rPr>
            <sz val="14"/>
            <color indexed="81"/>
            <rFont val="ＭＳ Ｐゴシック"/>
            <family val="3"/>
            <charset val="128"/>
          </rPr>
          <t xml:space="preserve"> </t>
        </r>
        <r>
          <rPr>
            <b/>
            <sz val="14"/>
            <color indexed="10"/>
            <rFont val="ＭＳ Ｐゴシック"/>
            <family val="3"/>
            <charset val="128"/>
          </rPr>
          <t>↓</t>
        </r>
        <r>
          <rPr>
            <b/>
            <sz val="11"/>
            <color indexed="81"/>
            <rFont val="ＭＳ Ｐゴシック"/>
            <family val="3"/>
            <charset val="128"/>
          </rPr>
          <t>Please choose out of a drop down list.</t>
        </r>
        <r>
          <rPr>
            <b/>
            <sz val="9"/>
            <color indexed="81"/>
            <rFont val="ＭＳ Ｐゴシック"/>
            <family val="3"/>
            <charset val="128"/>
          </rPr>
          <t xml:space="preserve">
 </t>
        </r>
        <r>
          <rPr>
            <sz val="14"/>
            <color indexed="81"/>
            <rFont val="ＭＳ Ｐゴシック"/>
            <family val="3"/>
            <charset val="128"/>
          </rPr>
          <t xml:space="preserve"> </t>
        </r>
        <r>
          <rPr>
            <b/>
            <sz val="10"/>
            <color indexed="12"/>
            <rFont val="ＭＳ Ｐゴシック"/>
            <family val="3"/>
            <charset val="128"/>
          </rPr>
          <t>When Liszt does not have [except oil cooled
  type and (F)-molded type],     please perform
  after inputting data into the "</t>
        </r>
        <r>
          <rPr>
            <b/>
            <sz val="10"/>
            <color indexed="10"/>
            <rFont val="ＭＳ Ｐゴシック"/>
            <family val="3"/>
            <charset val="128"/>
          </rPr>
          <t>transformer USER</t>
        </r>
        <r>
          <rPr>
            <b/>
            <sz val="10"/>
            <color indexed="12"/>
            <rFont val="ＭＳ Ｐゴシック"/>
            <family val="3"/>
            <charset val="128"/>
          </rPr>
          <t>"
  of DATA Table.</t>
        </r>
      </text>
    </comment>
    <comment ref="M11" authorId="0">
      <text>
        <r>
          <rPr>
            <b/>
            <sz val="10"/>
            <color indexed="81"/>
            <rFont val="ＭＳ Ｐ明朝"/>
            <family val="1"/>
            <charset val="128"/>
          </rPr>
          <t xml:space="preserve"> </t>
        </r>
        <r>
          <rPr>
            <b/>
            <sz val="10"/>
            <color indexed="12"/>
            <rFont val="ＭＳ Ｐ明朝"/>
            <family val="1"/>
            <charset val="128"/>
          </rPr>
          <t xml:space="preserve"> When a transformer is parallel</t>
        </r>
        <r>
          <rPr>
            <b/>
            <sz val="14"/>
            <color indexed="12"/>
            <rFont val="ＭＳ Ｐ明朝"/>
            <family val="1"/>
            <charset val="128"/>
          </rPr>
          <t xml:space="preserve"> </t>
        </r>
        <r>
          <rPr>
            <b/>
            <sz val="10"/>
            <color indexed="12"/>
            <rFont val="ＭＳ Ｐ明朝"/>
            <family val="1"/>
            <charset val="128"/>
          </rPr>
          <t xml:space="preserve">
  operation, please input the
  number of a parallel transformer</t>
        </r>
        <r>
          <rPr>
            <sz val="9"/>
            <color indexed="12"/>
            <rFont val="ＭＳ Ｐゴシック"/>
            <family val="3"/>
            <charset val="128"/>
          </rPr>
          <t>.</t>
        </r>
      </text>
    </comment>
    <comment ref="O11" authorId="0">
      <text>
        <r>
          <rPr>
            <sz val="14"/>
            <color indexed="81"/>
            <rFont val="ＭＳ Ｐゴシック"/>
            <family val="3"/>
            <charset val="128"/>
          </rPr>
          <t xml:space="preserve">  </t>
        </r>
        <r>
          <rPr>
            <b/>
            <sz val="11"/>
            <color indexed="81"/>
            <rFont val="ＭＳ Ｐゴシック"/>
            <family val="3"/>
            <charset val="128"/>
          </rPr>
          <t>Please choose out of
  a drop down list.</t>
        </r>
      </text>
    </comment>
    <comment ref="Q11" authorId="0">
      <text>
        <r>
          <rPr>
            <b/>
            <sz val="10"/>
            <color indexed="12"/>
            <rFont val="ＭＳ Ｐゴシック"/>
            <family val="3"/>
            <charset val="128"/>
          </rPr>
          <t xml:space="preserve">   In the case of induction</t>
        </r>
        <r>
          <rPr>
            <b/>
            <sz val="16"/>
            <color indexed="12"/>
            <rFont val="ＭＳ Ｐゴシック"/>
            <family val="3"/>
            <charset val="128"/>
          </rPr>
          <t xml:space="preserve"> </t>
        </r>
        <r>
          <rPr>
            <b/>
            <sz val="10"/>
            <color indexed="12"/>
            <rFont val="ＭＳ Ｐゴシック"/>
            <family val="3"/>
            <charset val="128"/>
          </rPr>
          <t xml:space="preserve">
  motor load, please input in
  the range of </t>
        </r>
        <r>
          <rPr>
            <b/>
            <sz val="10"/>
            <color indexed="10"/>
            <rFont val="ＭＳ Ｐゴシック"/>
            <family val="3"/>
            <charset val="128"/>
          </rPr>
          <t xml:space="preserve">０＜～１．０００
</t>
        </r>
        <r>
          <rPr>
            <sz val="10"/>
            <color indexed="81"/>
            <rFont val="ＭＳ Ｐゴシック"/>
            <family val="3"/>
            <charset val="128"/>
          </rPr>
          <t xml:space="preserve">
</t>
        </r>
        <r>
          <rPr>
            <b/>
            <sz val="10"/>
            <color indexed="81"/>
            <rFont val="ＭＳ Ｐゴシック"/>
            <family val="3"/>
            <charset val="128"/>
          </rPr>
          <t xml:space="preserve">  In the case of other loads,
  please input</t>
        </r>
        <r>
          <rPr>
            <sz val="10"/>
            <color indexed="14"/>
            <rFont val="ＭＳ Ｐゴシック"/>
            <family val="3"/>
            <charset val="128"/>
          </rPr>
          <t xml:space="preserve"> ”</t>
        </r>
        <r>
          <rPr>
            <b/>
            <sz val="10"/>
            <color indexed="10"/>
            <rFont val="ＭＳ Ｐゴシック"/>
            <family val="3"/>
            <charset val="128"/>
          </rPr>
          <t>１</t>
        </r>
        <r>
          <rPr>
            <sz val="10"/>
            <color indexed="14"/>
            <rFont val="ＭＳ Ｐゴシック"/>
            <family val="3"/>
            <charset val="128"/>
          </rPr>
          <t>”</t>
        </r>
      </text>
    </comment>
    <comment ref="R11" authorId="0">
      <text>
        <r>
          <rPr>
            <b/>
            <sz val="11"/>
            <color indexed="12"/>
            <rFont val="ＭＳ Ｐゴシック"/>
            <family val="3"/>
            <charset val="128"/>
          </rPr>
          <t xml:space="preserve">  Please input the value of</t>
        </r>
        <r>
          <rPr>
            <b/>
            <sz val="16"/>
            <color indexed="12"/>
            <rFont val="ＭＳ Ｐゴシック"/>
            <family val="3"/>
            <charset val="128"/>
          </rPr>
          <t xml:space="preserve">
</t>
        </r>
        <r>
          <rPr>
            <b/>
            <sz val="11"/>
            <color indexed="12"/>
            <rFont val="ＭＳ Ｐゴシック"/>
            <family val="3"/>
            <charset val="128"/>
          </rPr>
          <t xml:space="preserve">  the range of</t>
        </r>
        <r>
          <rPr>
            <b/>
            <sz val="11"/>
            <color indexed="10"/>
            <rFont val="ＭＳ Ｐゴシック"/>
            <family val="3"/>
            <charset val="128"/>
          </rPr>
          <t xml:space="preserve"> </t>
        </r>
        <r>
          <rPr>
            <b/>
            <sz val="10"/>
            <color indexed="10"/>
            <rFont val="ＭＳ Ｐゴシック"/>
            <family val="3"/>
            <charset val="128"/>
          </rPr>
          <t xml:space="preserve">０＜～１．０００
</t>
        </r>
      </text>
    </comment>
    <comment ref="S11" authorId="0">
      <text>
        <r>
          <rPr>
            <sz val="16"/>
            <color indexed="10"/>
            <rFont val="ＭＳ Ｐゴシック"/>
            <family val="3"/>
            <charset val="128"/>
          </rPr>
          <t xml:space="preserve">        　 </t>
        </r>
        <r>
          <rPr>
            <b/>
            <sz val="11"/>
            <color indexed="10"/>
            <rFont val="ＭＳ Ｐゴシック"/>
            <family val="3"/>
            <charset val="128"/>
          </rPr>
          <t xml:space="preserve">Iｎｐｕｔ </t>
        </r>
        <r>
          <rPr>
            <b/>
            <sz val="12"/>
            <color indexed="10"/>
            <rFont val="ＭＳ Ｐゴシック"/>
            <family val="3"/>
            <charset val="128"/>
          </rPr>
          <t>ＫＶＡ</t>
        </r>
        <r>
          <rPr>
            <sz val="9"/>
            <color indexed="81"/>
            <rFont val="ＭＳ Ｐゴシック"/>
            <family val="3"/>
            <charset val="128"/>
          </rPr>
          <t xml:space="preserve">
　</t>
        </r>
        <r>
          <rPr>
            <b/>
            <sz val="9"/>
            <color indexed="81"/>
            <rFont val="ＭＳ Ｐゴシック"/>
            <family val="3"/>
            <charset val="128"/>
          </rPr>
          <t>Input ＫＶＡ</t>
        </r>
        <r>
          <rPr>
            <sz val="10"/>
            <color indexed="81"/>
            <rFont val="ＭＳ Ｐゴシック"/>
            <family val="3"/>
            <charset val="128"/>
          </rPr>
          <t>＝</t>
        </r>
        <r>
          <rPr>
            <b/>
            <sz val="10"/>
            <color indexed="81"/>
            <rFont val="ＭＳ Ｐゴシック"/>
            <family val="3"/>
            <charset val="128"/>
          </rPr>
          <t>Output</t>
        </r>
        <r>
          <rPr>
            <sz val="10"/>
            <color indexed="81"/>
            <rFont val="ＭＳ Ｐゴシック"/>
            <family val="3"/>
            <charset val="128"/>
          </rPr>
          <t xml:space="preserve"> </t>
        </r>
        <r>
          <rPr>
            <b/>
            <sz val="9"/>
            <color indexed="81"/>
            <rFont val="ＭＳ Ｐゴシック"/>
            <family val="3"/>
            <charset val="128"/>
          </rPr>
          <t>ＫＷ</t>
        </r>
        <r>
          <rPr>
            <sz val="10"/>
            <color indexed="81"/>
            <rFont val="ＭＳ Ｐゴシック"/>
            <family val="3"/>
            <charset val="128"/>
          </rPr>
          <t>／（</t>
        </r>
        <r>
          <rPr>
            <b/>
            <sz val="9"/>
            <color indexed="81"/>
            <rFont val="ＭＳ Ｐゴシック"/>
            <family val="3"/>
            <charset val="128"/>
          </rPr>
          <t>ｃｏｓφ</t>
        </r>
        <r>
          <rPr>
            <sz val="10"/>
            <color indexed="81"/>
            <rFont val="ＭＳ Ｐゴシック"/>
            <family val="3"/>
            <charset val="128"/>
          </rPr>
          <t>ｘ</t>
        </r>
        <r>
          <rPr>
            <b/>
            <sz val="10"/>
            <color indexed="81"/>
            <rFont val="ＭＳ Ｐゴシック"/>
            <family val="3"/>
            <charset val="128"/>
          </rPr>
          <t>η</t>
        </r>
        <r>
          <rPr>
            <sz val="10"/>
            <color indexed="81"/>
            <rFont val="ＭＳ Ｐゴシック"/>
            <family val="3"/>
            <charset val="128"/>
          </rPr>
          <t xml:space="preserve">）
</t>
        </r>
        <r>
          <rPr>
            <b/>
            <sz val="10"/>
            <color indexed="81"/>
            <rFont val="ＭＳ Ｐ明朝"/>
            <family val="1"/>
            <charset val="128"/>
          </rPr>
          <t xml:space="preserve">    </t>
        </r>
        <r>
          <rPr>
            <b/>
            <sz val="10"/>
            <color indexed="12"/>
            <rFont val="ＭＳ Ｐ明朝"/>
            <family val="1"/>
            <charset val="128"/>
          </rPr>
          <t>cosφ ：Power factor of Load
      η   ：Efficiency of Load</t>
        </r>
      </text>
    </comment>
    <comment ref="X11" authorId="0">
      <text>
        <r>
          <rPr>
            <sz val="16"/>
            <color indexed="81"/>
            <rFont val="ＭＳ Ｐゴシック"/>
            <family val="3"/>
            <charset val="128"/>
          </rPr>
          <t xml:space="preserve">  </t>
        </r>
        <r>
          <rPr>
            <b/>
            <sz val="11"/>
            <color indexed="81"/>
            <rFont val="ＭＳ Ｐゴシック"/>
            <family val="3"/>
            <charset val="128"/>
          </rPr>
          <t>Please choose out of
  a drop down list.</t>
        </r>
        <r>
          <rPr>
            <sz val="9"/>
            <color indexed="81"/>
            <rFont val="ＭＳ Ｐゴシック"/>
            <family val="3"/>
            <charset val="128"/>
          </rPr>
          <t xml:space="preserve">
</t>
        </r>
        <r>
          <rPr>
            <b/>
            <sz val="10"/>
            <color indexed="14"/>
            <rFont val="ＭＳ Ｐ明朝"/>
            <family val="1"/>
            <charset val="128"/>
          </rPr>
          <t xml:space="preserve">  </t>
        </r>
        <r>
          <rPr>
            <b/>
            <sz val="10"/>
            <color indexed="12"/>
            <rFont val="ＭＳ Ｐ明朝"/>
            <family val="1"/>
            <charset val="128"/>
          </rPr>
          <t>In inputting the size which is not
  in a data table, please register R
  and X (</t>
        </r>
        <r>
          <rPr>
            <b/>
            <sz val="10"/>
            <color indexed="10"/>
            <rFont val="ＭＳ Ｐ明朝"/>
            <family val="1"/>
            <charset val="128"/>
          </rPr>
          <t>50</t>
        </r>
        <r>
          <rPr>
            <b/>
            <sz val="10"/>
            <color indexed="12"/>
            <rFont val="ＭＳ Ｐ明朝"/>
            <family val="1"/>
            <charset val="128"/>
          </rPr>
          <t>Hz) of the cable into a
  data table.</t>
        </r>
      </text>
    </comment>
    <comment ref="Z11" authorId="0">
      <text>
        <r>
          <rPr>
            <b/>
            <sz val="10"/>
            <color indexed="12"/>
            <rFont val="ＭＳ Ｐゴシック"/>
            <family val="3"/>
            <charset val="128"/>
          </rPr>
          <t xml:space="preserve">  </t>
        </r>
        <r>
          <rPr>
            <b/>
            <sz val="10"/>
            <color indexed="12"/>
            <rFont val="ＭＳ Ｐ明朝"/>
            <family val="1"/>
            <charset val="128"/>
          </rPr>
          <t>Please input the fruit length</t>
        </r>
        <r>
          <rPr>
            <b/>
            <sz val="14"/>
            <color indexed="12"/>
            <rFont val="ＭＳ Ｐ明朝"/>
            <family val="1"/>
            <charset val="128"/>
          </rPr>
          <t xml:space="preserve"> </t>
        </r>
        <r>
          <rPr>
            <b/>
            <sz val="10"/>
            <color indexed="12"/>
            <rFont val="ＭＳ Ｐ明朝"/>
            <family val="1"/>
            <charset val="128"/>
          </rPr>
          <t xml:space="preserve">
  meter of a cable</t>
        </r>
        <r>
          <rPr>
            <sz val="9"/>
            <color indexed="12"/>
            <rFont val="ＭＳ Ｐゴシック"/>
            <family val="3"/>
            <charset val="128"/>
          </rPr>
          <t>.</t>
        </r>
      </text>
    </comment>
    <comment ref="AB11" authorId="0">
      <text>
        <r>
          <rPr>
            <sz val="16"/>
            <color indexed="81"/>
            <rFont val="ＭＳ Ｐゴシック"/>
            <family val="3"/>
            <charset val="128"/>
          </rPr>
          <t xml:space="preserve">  </t>
        </r>
        <r>
          <rPr>
            <b/>
            <sz val="11"/>
            <color indexed="81"/>
            <rFont val="ＭＳ Ｐゴシック"/>
            <family val="3"/>
            <charset val="128"/>
          </rPr>
          <t>Please choose out of
  a drop down list.</t>
        </r>
        <r>
          <rPr>
            <sz val="9"/>
            <color indexed="81"/>
            <rFont val="ＭＳ Ｐゴシック"/>
            <family val="3"/>
            <charset val="128"/>
          </rPr>
          <t xml:space="preserve">
</t>
        </r>
        <r>
          <rPr>
            <b/>
            <sz val="10"/>
            <color indexed="14"/>
            <rFont val="ＭＳ Ｐ明朝"/>
            <family val="1"/>
            <charset val="128"/>
          </rPr>
          <t xml:space="preserve">  </t>
        </r>
        <r>
          <rPr>
            <b/>
            <sz val="10"/>
            <color indexed="12"/>
            <rFont val="ＭＳ Ｐ明朝"/>
            <family val="1"/>
            <charset val="128"/>
          </rPr>
          <t>In inputting the size which is not
  in a data table, please register R
  and X (</t>
        </r>
        <r>
          <rPr>
            <b/>
            <sz val="10"/>
            <color indexed="10"/>
            <rFont val="ＭＳ Ｐ明朝"/>
            <family val="1"/>
            <charset val="128"/>
          </rPr>
          <t>50</t>
        </r>
        <r>
          <rPr>
            <b/>
            <sz val="10"/>
            <color indexed="12"/>
            <rFont val="ＭＳ Ｐ明朝"/>
            <family val="1"/>
            <charset val="128"/>
          </rPr>
          <t>Hz) of the cable into a
  data table.</t>
        </r>
      </text>
    </comment>
    <comment ref="AD11" authorId="0">
      <text>
        <r>
          <rPr>
            <b/>
            <sz val="10"/>
            <color indexed="12"/>
            <rFont val="ＭＳ Ｐゴシック"/>
            <family val="3"/>
            <charset val="128"/>
          </rPr>
          <t xml:space="preserve">  </t>
        </r>
        <r>
          <rPr>
            <b/>
            <sz val="10"/>
            <color indexed="12"/>
            <rFont val="ＭＳ Ｐ明朝"/>
            <family val="1"/>
            <charset val="128"/>
          </rPr>
          <t>Please input the fruit length</t>
        </r>
        <r>
          <rPr>
            <b/>
            <sz val="14"/>
            <color indexed="12"/>
            <rFont val="ＭＳ Ｐ明朝"/>
            <family val="1"/>
            <charset val="128"/>
          </rPr>
          <t xml:space="preserve"> </t>
        </r>
        <r>
          <rPr>
            <b/>
            <sz val="10"/>
            <color indexed="12"/>
            <rFont val="ＭＳ Ｐ明朝"/>
            <family val="1"/>
            <charset val="128"/>
          </rPr>
          <t xml:space="preserve">
  meter of a cable</t>
        </r>
        <r>
          <rPr>
            <sz val="9"/>
            <color indexed="12"/>
            <rFont val="ＭＳ Ｐゴシック"/>
            <family val="3"/>
            <charset val="128"/>
          </rPr>
          <t>.</t>
        </r>
      </text>
    </comment>
    <comment ref="AG11" authorId="0">
      <text>
        <r>
          <rPr>
            <b/>
            <sz val="11"/>
            <color indexed="12"/>
            <rFont val="ＭＳ Ｐゴシック"/>
            <family val="3"/>
            <charset val="128"/>
          </rPr>
          <t xml:space="preserve">  </t>
        </r>
        <r>
          <rPr>
            <b/>
            <sz val="11"/>
            <color indexed="12"/>
            <rFont val="ＭＳ Ｐ明朝"/>
            <family val="1"/>
            <charset val="128"/>
          </rPr>
          <t>Percent to power
  supply voltage</t>
        </r>
        <r>
          <rPr>
            <b/>
            <sz val="12"/>
            <color indexed="12"/>
            <rFont val="ＭＳ Ｐ明朝"/>
            <family val="1"/>
            <charset val="128"/>
          </rPr>
          <t xml:space="preserve"> </t>
        </r>
        <r>
          <rPr>
            <b/>
            <sz val="10"/>
            <color indexed="12"/>
            <rFont val="ＭＳ Ｐ明朝"/>
            <family val="1"/>
            <charset val="128"/>
          </rPr>
          <t>[％]</t>
        </r>
        <r>
          <rPr>
            <sz val="9"/>
            <color indexed="81"/>
            <rFont val="ＭＳ Ｐゴシック"/>
            <family val="3"/>
            <charset val="128"/>
          </rPr>
          <t xml:space="preserve">
</t>
        </r>
      </text>
    </comment>
    <comment ref="AJ11" authorId="0">
      <text>
        <r>
          <rPr>
            <sz val="18"/>
            <color indexed="81"/>
            <rFont val="ＭＳ Ｐゴシック"/>
            <family val="3"/>
            <charset val="128"/>
          </rPr>
          <t xml:space="preserve">  </t>
        </r>
        <r>
          <rPr>
            <b/>
            <sz val="12"/>
            <color indexed="10"/>
            <rFont val="ＭＳ Ｐゴシック"/>
            <family val="3"/>
            <charset val="128"/>
          </rPr>
          <t>↓</t>
        </r>
        <r>
          <rPr>
            <b/>
            <sz val="11"/>
            <color indexed="81"/>
            <rFont val="ＭＳ Ｐゴシック"/>
            <family val="3"/>
            <charset val="128"/>
          </rPr>
          <t>Please choose out of a drop down list.</t>
        </r>
        <r>
          <rPr>
            <b/>
            <sz val="11"/>
            <color indexed="10"/>
            <rFont val="ＭＳ Ｐゴシック"/>
            <family val="3"/>
            <charset val="128"/>
          </rPr>
          <t xml:space="preserve">
</t>
        </r>
        <r>
          <rPr>
            <b/>
            <sz val="11"/>
            <color indexed="81"/>
            <rFont val="ＭＳ Ｐゴシック"/>
            <family val="3"/>
            <charset val="128"/>
          </rPr>
          <t xml:space="preserve">  </t>
        </r>
        <r>
          <rPr>
            <b/>
            <sz val="11"/>
            <color indexed="12"/>
            <rFont val="ＭＳ Ｐゴシック"/>
            <family val="3"/>
            <charset val="128"/>
          </rPr>
          <t>The important matter about selection of
  the frame / trip value of MCCB</t>
        </r>
        <r>
          <rPr>
            <b/>
            <sz val="10"/>
            <color indexed="12"/>
            <rFont val="ＭＳ Ｐゴシック"/>
            <family val="3"/>
            <charset val="128"/>
          </rPr>
          <t xml:space="preserve">  </t>
        </r>
        <r>
          <rPr>
            <b/>
            <sz val="10"/>
            <color indexed="81"/>
            <rFont val="ＭＳ Ｐゴシック"/>
            <family val="3"/>
            <charset val="128"/>
          </rPr>
          <t xml:space="preserve">
</t>
        </r>
        <r>
          <rPr>
            <b/>
            <sz val="10"/>
            <color indexed="81"/>
            <rFont val="ＭＳ Ｐ明朝"/>
            <family val="1"/>
            <charset val="128"/>
          </rPr>
          <t>　　１） The check of interception capacity 
  　２） The characteristic and the temperature
         conditions of MCCB
    ３） Grasp of the real load current which took
         into consideration the demand factor, load
         factor, divercity factor,voltage regulation
         rate of transformer,  unbalance factor, etc.
         at the time of regular operation of a motor,
         at the time of starting of a motor.</t>
        </r>
        <r>
          <rPr>
            <sz val="11"/>
            <color indexed="81"/>
            <rFont val="ＭＳ Ｐゴシック"/>
            <family val="3"/>
            <charset val="128"/>
          </rPr>
          <t xml:space="preserve">
</t>
        </r>
        <r>
          <rPr>
            <sz val="9"/>
            <color indexed="81"/>
            <rFont val="ＭＳ Ｐゴシック"/>
            <family val="3"/>
            <charset val="128"/>
          </rPr>
          <t xml:space="preserve">
　</t>
        </r>
        <r>
          <rPr>
            <sz val="9"/>
            <color indexed="81"/>
            <rFont val="ＭＳ Ｐ明朝"/>
            <family val="1"/>
            <charset val="128"/>
          </rPr>
          <t xml:space="preserve"> </t>
        </r>
        <r>
          <rPr>
            <b/>
            <sz val="11"/>
            <color indexed="12"/>
            <rFont val="ＭＳ Ｐ明朝"/>
            <family val="1"/>
            <charset val="128"/>
          </rPr>
          <t>Frame value [A] of MCCB</t>
        </r>
        <r>
          <rPr>
            <sz val="9"/>
            <color indexed="14"/>
            <rFont val="ＭＳ Ｐゴシック"/>
            <family val="3"/>
            <charset val="128"/>
          </rPr>
          <t xml:space="preserve">（Ｍｏｌｄｅｄ ｃａｓｅ ｃｉｒｃｕｉｔ
                                                   ｂｒｅａｋｅｒ）
</t>
        </r>
        <r>
          <rPr>
            <sz val="9"/>
            <color indexed="81"/>
            <rFont val="ＭＳ Ｐゴシック"/>
            <family val="3"/>
            <charset val="128"/>
          </rPr>
          <t xml:space="preserve">  　 　 </t>
        </r>
        <r>
          <rPr>
            <sz val="11"/>
            <color indexed="81"/>
            <rFont val="ＭＳ Ｐゴシック"/>
            <family val="3"/>
            <charset val="128"/>
          </rPr>
          <t>　</t>
        </r>
        <r>
          <rPr>
            <b/>
            <sz val="11"/>
            <color indexed="81"/>
            <rFont val="ＭＳ Ｐゴシック"/>
            <family val="3"/>
            <charset val="128"/>
          </rPr>
          <t xml:space="preserve">３０，　　５０，　　６０，　１００，　２２５，
 　   ２５０，　４００，　６００，　８００，１０００，
    １２００，１６００，２０００，２５００，３０００，
    ３２００，４０００
  </t>
        </r>
        <r>
          <rPr>
            <b/>
            <sz val="11"/>
            <color indexed="12"/>
            <rFont val="ＭＳ Ｐ明朝"/>
            <family val="1"/>
            <charset val="128"/>
          </rPr>
          <t>Frame value [A] of</t>
        </r>
        <r>
          <rPr>
            <b/>
            <sz val="11"/>
            <color indexed="81"/>
            <rFont val="ＭＳ Ｐゴシック"/>
            <family val="3"/>
            <charset val="128"/>
          </rPr>
          <t xml:space="preserve"> </t>
        </r>
        <r>
          <rPr>
            <b/>
            <sz val="11"/>
            <color indexed="12"/>
            <rFont val="ＭＳ Ｐゴシック"/>
            <family val="3"/>
            <charset val="128"/>
          </rPr>
          <t>ＡＣＢ</t>
        </r>
        <r>
          <rPr>
            <sz val="9"/>
            <color indexed="14"/>
            <rFont val="ＭＳ Ｐゴシック"/>
            <family val="3"/>
            <charset val="128"/>
          </rPr>
          <t>（Ａｉｒ ｃｉｒｃｕｉｔ ｂｒｅａｋｅｒ）</t>
        </r>
        <r>
          <rPr>
            <sz val="10"/>
            <color indexed="14"/>
            <rFont val="ＭＳ Ｐゴシック"/>
            <family val="3"/>
            <charset val="128"/>
          </rPr>
          <t xml:space="preserve"> </t>
        </r>
        <r>
          <rPr>
            <b/>
            <sz val="11"/>
            <color indexed="81"/>
            <rFont val="ＭＳ Ｐゴシック"/>
            <family val="3"/>
            <charset val="128"/>
          </rPr>
          <t xml:space="preserve">
   　　６３０，１０００，１２５０，１６００，２０００，</t>
        </r>
        <r>
          <rPr>
            <b/>
            <sz val="14"/>
            <color indexed="81"/>
            <rFont val="ＭＳ Ｐゴシック"/>
            <family val="3"/>
            <charset val="128"/>
          </rPr>
          <t xml:space="preserve"> </t>
        </r>
        <r>
          <rPr>
            <b/>
            <sz val="11"/>
            <color indexed="81"/>
            <rFont val="ＭＳ Ｐゴシック"/>
            <family val="3"/>
            <charset val="128"/>
          </rPr>
          <t xml:space="preserve">
　   ２５００，３２００，４０００，５０００，６３００  </t>
        </r>
      </text>
    </comment>
    <comment ref="B12" authorId="0">
      <text>
        <r>
          <rPr>
            <sz val="16"/>
            <color indexed="8"/>
            <rFont val="ＭＳ Ｐゴシック"/>
            <family val="3"/>
            <charset val="128"/>
          </rPr>
          <t xml:space="preserve">  　     </t>
        </r>
        <r>
          <rPr>
            <b/>
            <sz val="11"/>
            <color indexed="10"/>
            <rFont val="ＭＳ Ｐゴシック"/>
            <family val="3"/>
            <charset val="128"/>
          </rPr>
          <t>Drop  down LIST</t>
        </r>
        <r>
          <rPr>
            <b/>
            <sz val="11"/>
            <color indexed="8"/>
            <rFont val="ＭＳ Ｐゴシック"/>
            <family val="3"/>
            <charset val="128"/>
          </rPr>
          <t xml:space="preserve">
</t>
        </r>
        <r>
          <rPr>
            <sz val="10"/>
            <color indexed="8"/>
            <rFont val="ＭＳ ゴシック"/>
            <family val="3"/>
            <charset val="128"/>
          </rPr>
          <t xml:space="preserve">  </t>
        </r>
        <r>
          <rPr>
            <b/>
            <sz val="10"/>
            <color indexed="12"/>
            <rFont val="ＭＳ Ｐ明朝"/>
            <family val="1"/>
            <charset val="128"/>
          </rPr>
          <t>An addition, change, and deletion
   can do this registration cell.</t>
        </r>
      </text>
    </comment>
    <comment ref="AG12" authorId="0">
      <text>
        <r>
          <rPr>
            <b/>
            <sz val="11"/>
            <color indexed="12"/>
            <rFont val="ＭＳ Ｐゴシック"/>
            <family val="3"/>
            <charset val="128"/>
          </rPr>
          <t xml:space="preserve">  </t>
        </r>
        <r>
          <rPr>
            <b/>
            <sz val="11"/>
            <color indexed="12"/>
            <rFont val="ＭＳ Ｐ明朝"/>
            <family val="1"/>
            <charset val="128"/>
          </rPr>
          <t>Percent of line voltage</t>
        </r>
        <r>
          <rPr>
            <b/>
            <sz val="16"/>
            <color indexed="12"/>
            <rFont val="ＭＳ Ｐ明朝"/>
            <family val="1"/>
            <charset val="128"/>
          </rPr>
          <t xml:space="preserve"> </t>
        </r>
        <r>
          <rPr>
            <b/>
            <sz val="11"/>
            <color indexed="12"/>
            <rFont val="ＭＳ Ｐ明朝"/>
            <family val="1"/>
            <charset val="128"/>
          </rPr>
          <t xml:space="preserve">
  drop to power supply
  voltage </t>
        </r>
        <r>
          <rPr>
            <b/>
            <sz val="10"/>
            <color indexed="12"/>
            <rFont val="ＭＳ Ｐゴシック"/>
            <family val="3"/>
            <charset val="128"/>
          </rPr>
          <t>[％]</t>
        </r>
        <r>
          <rPr>
            <sz val="9"/>
            <color indexed="81"/>
            <rFont val="ＭＳ Ｐゴシック"/>
            <family val="3"/>
            <charset val="128"/>
          </rPr>
          <t xml:space="preserve">
</t>
        </r>
      </text>
    </comment>
    <comment ref="AJ12" authorId="0">
      <text>
        <r>
          <rPr>
            <sz val="14"/>
            <color indexed="81"/>
            <rFont val="ＭＳ Ｐゴシック"/>
            <family val="3"/>
            <charset val="128"/>
          </rPr>
          <t xml:space="preserve">  </t>
        </r>
        <r>
          <rPr>
            <b/>
            <sz val="11"/>
            <color indexed="81"/>
            <rFont val="ＭＳ Ｐゴシック"/>
            <family val="3"/>
            <charset val="128"/>
          </rPr>
          <t>Please choose out of
  a drop down list.</t>
        </r>
      </text>
    </comment>
    <comment ref="F13" authorId="0">
      <text>
        <r>
          <rPr>
            <sz val="16"/>
            <color indexed="81"/>
            <rFont val="ＭＳ Ｐゴシック"/>
            <family val="3"/>
            <charset val="128"/>
          </rPr>
          <t xml:space="preserve">   </t>
        </r>
        <r>
          <rPr>
            <b/>
            <sz val="11"/>
            <color indexed="81"/>
            <rFont val="ＭＳ Ｐゴシック"/>
            <family val="3"/>
            <charset val="128"/>
          </rPr>
          <t>Please input the temperature of
　 conductor for calculation. 
　　　　 　　　(Each line)</t>
        </r>
        <r>
          <rPr>
            <sz val="9"/>
            <color indexed="81"/>
            <rFont val="ＭＳ Ｐゴシック"/>
            <family val="3"/>
            <charset val="128"/>
          </rPr>
          <t xml:space="preserve">
       　  　　  </t>
        </r>
        <r>
          <rPr>
            <sz val="9"/>
            <color indexed="12"/>
            <rFont val="ＭＳ Ｐゴシック"/>
            <family val="3"/>
            <charset val="128"/>
          </rPr>
          <t>-100[℃] ～ +300[℃]</t>
        </r>
        <r>
          <rPr>
            <sz val="9"/>
            <color indexed="81"/>
            <rFont val="ＭＳ Ｐゴシック"/>
            <family val="3"/>
            <charset val="128"/>
          </rPr>
          <t xml:space="preserve">
　</t>
        </r>
        <r>
          <rPr>
            <b/>
            <sz val="10"/>
            <color indexed="14"/>
            <rFont val="ＭＳ Ｐゴシック"/>
            <family val="3"/>
            <charset val="128"/>
          </rPr>
          <t>Attention:</t>
        </r>
        <r>
          <rPr>
            <sz val="10"/>
            <color indexed="14"/>
            <rFont val="ＭＳ Ｐゴシック"/>
            <family val="3"/>
            <charset val="128"/>
          </rPr>
          <t xml:space="preserve">
　 </t>
        </r>
        <r>
          <rPr>
            <b/>
            <sz val="9"/>
            <color indexed="14"/>
            <rFont val="ＭＳ Ｐゴシック"/>
            <family val="3"/>
            <charset val="128"/>
          </rPr>
          <t>It calculates by 0[℃]  if it does not input.</t>
        </r>
        <r>
          <rPr>
            <sz val="9"/>
            <color indexed="81"/>
            <rFont val="ＭＳ Ｐゴシック"/>
            <family val="3"/>
            <charset val="128"/>
          </rPr>
          <t xml:space="preserve">
</t>
        </r>
        <r>
          <rPr>
            <sz val="16"/>
            <color indexed="81"/>
            <rFont val="ＭＳ Ｐゴシック"/>
            <family val="3"/>
            <charset val="128"/>
          </rPr>
          <t xml:space="preserve">  </t>
        </r>
        <r>
          <rPr>
            <b/>
            <sz val="10"/>
            <color indexed="12"/>
            <rFont val="ＭＳ Ｐゴシック"/>
            <family val="3"/>
            <charset val="128"/>
          </rPr>
          <t>Ａｂｏｕｔ ｔｈｅ ｔｅｍｐｅｒａｔｕｒｅ ｏｆ ｃｏｎｄｕｃｔｏｒ</t>
        </r>
        <r>
          <rPr>
            <sz val="9"/>
            <color indexed="81"/>
            <rFont val="ＭＳ Ｐゴシック"/>
            <family val="3"/>
            <charset val="128"/>
          </rPr>
          <t xml:space="preserve">
　　</t>
        </r>
        <r>
          <rPr>
            <sz val="10"/>
            <color indexed="12"/>
            <rFont val="ＭＳ Ｐゴシック"/>
            <family val="3"/>
            <charset val="128"/>
          </rPr>
          <t>The degree 20[℃] is standard temperature.
    Generally, this temperature is 50-60 [℃]
    except for a cold district.   Please decide on
    reference by carrying out the maximum per-
    mission temperature of a conductor.</t>
        </r>
      </text>
    </comment>
    <comment ref="L13" authorId="0">
      <text>
        <r>
          <rPr>
            <b/>
            <sz val="11"/>
            <color indexed="81"/>
            <rFont val="ＭＳ Ｐゴシック"/>
            <family val="3"/>
            <charset val="128"/>
          </rPr>
          <t xml:space="preserve">  </t>
        </r>
        <r>
          <rPr>
            <b/>
            <sz val="11"/>
            <color indexed="81"/>
            <rFont val="ＭＳ Ｐ明朝"/>
            <family val="1"/>
            <charset val="128"/>
          </rPr>
          <t>Following transformer data is</t>
        </r>
        <r>
          <rPr>
            <b/>
            <sz val="14"/>
            <color indexed="81"/>
            <rFont val="ＭＳ Ｐ明朝"/>
            <family val="1"/>
            <charset val="128"/>
          </rPr>
          <t xml:space="preserve">  </t>
        </r>
        <r>
          <rPr>
            <b/>
            <sz val="10"/>
            <color indexed="81"/>
            <rFont val="ＭＳ Ｐ明朝"/>
            <family val="1"/>
            <charset val="128"/>
          </rPr>
          <t xml:space="preserve">
</t>
        </r>
        <r>
          <rPr>
            <b/>
            <sz val="11"/>
            <color indexed="81"/>
            <rFont val="ＭＳ Ｐ明朝"/>
            <family val="1"/>
            <charset val="128"/>
          </rPr>
          <t xml:space="preserve">  registered into DATA Table.</t>
        </r>
        <r>
          <rPr>
            <b/>
            <sz val="10"/>
            <color indexed="81"/>
            <rFont val="ＭＳ Ｐ明朝"/>
            <family val="1"/>
            <charset val="128"/>
          </rPr>
          <t xml:space="preserve">
           　   </t>
        </r>
        <r>
          <rPr>
            <sz val="10"/>
            <color indexed="12"/>
            <rFont val="ＭＳ Ｐ明朝"/>
            <family val="1"/>
            <charset val="128"/>
          </rPr>
          <t>（50/60Hz）</t>
        </r>
        <r>
          <rPr>
            <sz val="11"/>
            <color indexed="81"/>
            <rFont val="ＭＳ Ｐ明朝"/>
            <family val="1"/>
            <charset val="128"/>
          </rPr>
          <t xml:space="preserve">
</t>
        </r>
        <r>
          <rPr>
            <sz val="10"/>
            <color indexed="81"/>
            <rFont val="ＭＳ Ｐ明朝"/>
            <family val="1"/>
            <charset val="128"/>
          </rPr>
          <t xml:space="preserve">
   </t>
        </r>
        <r>
          <rPr>
            <b/>
            <sz val="9"/>
            <color indexed="81"/>
            <rFont val="ＭＳ Ｐ明朝"/>
            <family val="1"/>
            <charset val="128"/>
          </rPr>
          <t xml:space="preserve">  ３φ３Ｗ</t>
        </r>
        <r>
          <rPr>
            <sz val="9"/>
            <color indexed="81"/>
            <rFont val="ＭＳ Ｐ明朝"/>
            <family val="1"/>
            <charset val="128"/>
          </rPr>
          <t>－</t>
        </r>
        <r>
          <rPr>
            <b/>
            <sz val="9"/>
            <color indexed="81"/>
            <rFont val="ＭＳ Ｐ明朝"/>
            <family val="1"/>
            <charset val="128"/>
          </rPr>
          <t>２０　～　１０００</t>
        </r>
        <r>
          <rPr>
            <sz val="9"/>
            <color indexed="81"/>
            <rFont val="ＭＳ Ｐ明朝"/>
            <family val="1"/>
            <charset val="128"/>
          </rPr>
          <t xml:space="preserve">［ＫＶＡ］
　　 </t>
        </r>
        <r>
          <rPr>
            <b/>
            <sz val="9"/>
            <color indexed="81"/>
            <rFont val="ＭＳ Ｐ明朝"/>
            <family val="1"/>
            <charset val="128"/>
          </rPr>
          <t>１φ３Ｗ</t>
        </r>
        <r>
          <rPr>
            <sz val="9"/>
            <color indexed="81"/>
            <rFont val="ＭＳ Ｐ明朝"/>
            <family val="1"/>
            <charset val="128"/>
          </rPr>
          <t>－</t>
        </r>
        <r>
          <rPr>
            <b/>
            <sz val="9"/>
            <color indexed="81"/>
            <rFont val="ＭＳ Ｐ明朝"/>
            <family val="1"/>
            <charset val="128"/>
          </rPr>
          <t>１０　～　  ５００</t>
        </r>
        <r>
          <rPr>
            <sz val="9"/>
            <color indexed="81"/>
            <rFont val="ＭＳ Ｐ明朝"/>
            <family val="1"/>
            <charset val="128"/>
          </rPr>
          <t>［ＫＶＡ］</t>
        </r>
        <r>
          <rPr>
            <b/>
            <sz val="9"/>
            <color indexed="81"/>
            <rFont val="ＭＳ Ｐ明朝"/>
            <family val="1"/>
            <charset val="128"/>
          </rPr>
          <t xml:space="preserve">
</t>
        </r>
        <r>
          <rPr>
            <sz val="9"/>
            <color indexed="81"/>
            <rFont val="ＭＳ Ｐ明朝"/>
            <family val="1"/>
            <charset val="128"/>
          </rPr>
          <t xml:space="preserve">
    </t>
        </r>
        <r>
          <rPr>
            <b/>
            <sz val="10"/>
            <color indexed="12"/>
            <rFont val="ＭＳ Ｐ明朝"/>
            <family val="1"/>
            <charset val="128"/>
          </rPr>
          <t xml:space="preserve">An exact value will be calculated
  if the change correction of the %R
  and %X of an adoption transformer
  is made by DATA Table.
</t>
        </r>
        <r>
          <rPr>
            <b/>
            <sz val="10"/>
            <color indexed="81"/>
            <rFont val="ＭＳ Ｐ明朝"/>
            <family val="1"/>
            <charset val="128"/>
          </rPr>
          <t xml:space="preserve">  Calculation of transformer rated
  current is depended below.
</t>
        </r>
        <r>
          <rPr>
            <sz val="10"/>
            <color indexed="81"/>
            <rFont val="ＭＳ Ｐ明朝"/>
            <family val="1"/>
            <charset val="128"/>
          </rPr>
          <t xml:space="preserve">  In the case of ３φ：</t>
        </r>
        <r>
          <rPr>
            <b/>
            <sz val="10"/>
            <color indexed="81"/>
            <rFont val="ＭＳ Ｐゴシック"/>
            <family val="3"/>
            <charset val="128"/>
          </rPr>
          <t>TR</t>
        </r>
        <r>
          <rPr>
            <b/>
            <sz val="10"/>
            <color indexed="81"/>
            <rFont val="ＭＳ ゴシック"/>
            <family val="3"/>
            <charset val="128"/>
          </rPr>
          <t>cap</t>
        </r>
        <r>
          <rPr>
            <b/>
            <sz val="10"/>
            <color indexed="81"/>
            <rFont val="ＭＳ Ｐゴシック"/>
            <family val="3"/>
            <charset val="128"/>
          </rPr>
          <t xml:space="preserve">／(√3 x Es)
</t>
        </r>
        <r>
          <rPr>
            <sz val="10"/>
            <color indexed="81"/>
            <rFont val="ＭＳ Ｐゴシック"/>
            <family val="3"/>
            <charset val="128"/>
          </rPr>
          <t xml:space="preserve"> </t>
        </r>
        <r>
          <rPr>
            <sz val="10"/>
            <color indexed="81"/>
            <rFont val="ＭＳ Ｐ明朝"/>
            <family val="1"/>
            <charset val="128"/>
          </rPr>
          <t xml:space="preserve"> In the case of １φ：</t>
        </r>
        <r>
          <rPr>
            <b/>
            <sz val="10"/>
            <color indexed="81"/>
            <rFont val="ＭＳ Ｐゴシック"/>
            <family val="3"/>
            <charset val="128"/>
          </rPr>
          <t>TR</t>
        </r>
        <r>
          <rPr>
            <b/>
            <sz val="10"/>
            <color indexed="81"/>
            <rFont val="ＭＳ ゴシック"/>
            <family val="3"/>
            <charset val="128"/>
          </rPr>
          <t>cap</t>
        </r>
        <r>
          <rPr>
            <b/>
            <sz val="10"/>
            <color indexed="81"/>
            <rFont val="ＭＳ Ｐゴシック"/>
            <family val="3"/>
            <charset val="128"/>
          </rPr>
          <t>／ Es
  TR</t>
        </r>
        <r>
          <rPr>
            <b/>
            <sz val="10"/>
            <color indexed="81"/>
            <rFont val="ＭＳ ゴシック"/>
            <family val="3"/>
            <charset val="128"/>
          </rPr>
          <t>cap</t>
        </r>
        <r>
          <rPr>
            <b/>
            <sz val="10"/>
            <color indexed="81"/>
            <rFont val="ＭＳ Ｐゴシック"/>
            <family val="3"/>
            <charset val="128"/>
          </rPr>
          <t>：</t>
        </r>
        <r>
          <rPr>
            <b/>
            <sz val="10"/>
            <color indexed="81"/>
            <rFont val="ＭＳ Ｐ明朝"/>
            <family val="1"/>
            <charset val="128"/>
          </rPr>
          <t xml:space="preserve">Capacity of TR.
</t>
        </r>
        <r>
          <rPr>
            <b/>
            <sz val="10"/>
            <color indexed="81"/>
            <rFont val="ＭＳ Ｐゴシック"/>
            <family val="3"/>
            <charset val="128"/>
          </rPr>
          <t xml:space="preserve">     </t>
        </r>
        <r>
          <rPr>
            <b/>
            <sz val="10"/>
            <color indexed="81"/>
            <rFont val="ＭＳ Ｐ明朝"/>
            <family val="1"/>
            <charset val="128"/>
          </rPr>
          <t xml:space="preserve"> </t>
        </r>
        <r>
          <rPr>
            <b/>
            <sz val="10"/>
            <color indexed="81"/>
            <rFont val="ＭＳ ゴシック"/>
            <family val="3"/>
            <charset val="128"/>
          </rPr>
          <t xml:space="preserve"> Es</t>
        </r>
        <r>
          <rPr>
            <b/>
            <sz val="10"/>
            <color indexed="81"/>
            <rFont val="ＭＳ Ｐゴシック"/>
            <family val="3"/>
            <charset val="128"/>
          </rPr>
          <t>：</t>
        </r>
        <r>
          <rPr>
            <b/>
            <sz val="10"/>
            <color indexed="81"/>
            <rFont val="ＭＳ Ｐ明朝"/>
            <family val="1"/>
            <charset val="128"/>
          </rPr>
          <t>Secondary voltage of TR.</t>
        </r>
      </text>
    </comment>
    <comment ref="AF13" authorId="0">
      <text>
        <r>
          <rPr>
            <b/>
            <sz val="11"/>
            <color indexed="12"/>
            <rFont val="ＭＳ Ｐゴシック"/>
            <family val="3"/>
            <charset val="128"/>
          </rPr>
          <t xml:space="preserve"> </t>
        </r>
        <r>
          <rPr>
            <b/>
            <sz val="11"/>
            <color indexed="12"/>
            <rFont val="ＭＳ Ｐ明朝"/>
            <family val="1"/>
            <charset val="128"/>
          </rPr>
          <t>Voltage of the circuit
 diagram E</t>
        </r>
        <r>
          <rPr>
            <b/>
            <sz val="8"/>
            <color indexed="12"/>
            <rFont val="ＭＳ Ｐ明朝"/>
            <family val="1"/>
            <charset val="128"/>
          </rPr>
          <t>B</t>
        </r>
        <r>
          <rPr>
            <b/>
            <sz val="11"/>
            <color indexed="12"/>
            <rFont val="ＭＳ Ｐ明朝"/>
            <family val="1"/>
            <charset val="128"/>
          </rPr>
          <t xml:space="preserve"> section</t>
        </r>
        <r>
          <rPr>
            <b/>
            <sz val="10"/>
            <color indexed="12"/>
            <rFont val="ＭＳ Ｐゴシック"/>
            <family val="3"/>
            <charset val="128"/>
          </rPr>
          <t xml:space="preserve"> ［Ｖ］</t>
        </r>
      </text>
    </comment>
    <comment ref="AJ13" authorId="0">
      <text>
        <r>
          <rPr>
            <sz val="14"/>
            <color indexed="81"/>
            <rFont val="ＭＳ Ｐゴシック"/>
            <family val="3"/>
            <charset val="128"/>
          </rPr>
          <t xml:space="preserve">  </t>
        </r>
        <r>
          <rPr>
            <b/>
            <sz val="11"/>
            <color indexed="81"/>
            <rFont val="ＭＳ Ｐゴシック"/>
            <family val="3"/>
            <charset val="128"/>
          </rPr>
          <t>Please choose out of
  a drop down list.</t>
        </r>
      </text>
    </comment>
    <comment ref="B46" authorId="0">
      <text>
        <r>
          <rPr>
            <sz val="16"/>
            <color indexed="8"/>
            <rFont val="ＭＳ Ｐゴシック"/>
            <family val="3"/>
            <charset val="128"/>
          </rPr>
          <t xml:space="preserve">  　     </t>
        </r>
        <r>
          <rPr>
            <b/>
            <sz val="11"/>
            <color indexed="10"/>
            <rFont val="ＭＳ Ｐゴシック"/>
            <family val="3"/>
            <charset val="128"/>
          </rPr>
          <t>Drop  down LIST</t>
        </r>
        <r>
          <rPr>
            <b/>
            <sz val="11"/>
            <color indexed="8"/>
            <rFont val="ＭＳ Ｐゴシック"/>
            <family val="3"/>
            <charset val="128"/>
          </rPr>
          <t xml:space="preserve">
</t>
        </r>
        <r>
          <rPr>
            <sz val="10"/>
            <color indexed="8"/>
            <rFont val="ＭＳ ゴシック"/>
            <family val="3"/>
            <charset val="128"/>
          </rPr>
          <t xml:space="preserve">  </t>
        </r>
        <r>
          <rPr>
            <b/>
            <sz val="10"/>
            <color indexed="12"/>
            <rFont val="ＭＳ Ｐ明朝"/>
            <family val="1"/>
            <charset val="128"/>
          </rPr>
          <t>An addition, change, and deletion
   can do this registration cell.</t>
        </r>
      </text>
    </comment>
    <comment ref="BC324" authorId="2">
      <text>
        <r>
          <rPr>
            <sz val="11"/>
            <color indexed="81"/>
            <rFont val="ＭＳ 明朝"/>
            <family val="1"/>
            <charset val="128"/>
          </rPr>
          <t>　　</t>
        </r>
        <r>
          <rPr>
            <sz val="11"/>
            <color indexed="81"/>
            <rFont val="ＭＳ Ｐ明朝"/>
            <family val="1"/>
            <charset val="128"/>
          </rPr>
          <t xml:space="preserve">  </t>
        </r>
        <r>
          <rPr>
            <sz val="11"/>
            <color indexed="81"/>
            <rFont val="ＭＳ 明朝"/>
            <family val="1"/>
            <charset val="128"/>
          </rPr>
          <t>　</t>
        </r>
        <r>
          <rPr>
            <sz val="11"/>
            <color indexed="81"/>
            <rFont val="ＭＳ Ｐ明朝"/>
            <family val="1"/>
            <charset val="128"/>
          </rPr>
          <t xml:space="preserve">   </t>
        </r>
        <r>
          <rPr>
            <b/>
            <sz val="14"/>
            <color indexed="53"/>
            <rFont val="ＭＳ Ｐ明朝"/>
            <family val="1"/>
            <charset val="128"/>
          </rPr>
          <t>Note Mind</t>
        </r>
        <r>
          <rPr>
            <b/>
            <sz val="12"/>
            <color indexed="53"/>
            <rFont val="ＭＳ Ｐ明朝"/>
            <family val="1"/>
            <charset val="128"/>
          </rPr>
          <t xml:space="preserve"> </t>
        </r>
        <r>
          <rPr>
            <sz val="16"/>
            <color indexed="12"/>
            <rFont val="ＭＳ 明朝"/>
            <family val="1"/>
            <charset val="128"/>
          </rPr>
          <t>　</t>
        </r>
        <r>
          <rPr>
            <sz val="11"/>
            <color indexed="81"/>
            <rFont val="ＭＳ 明朝"/>
            <family val="1"/>
            <charset val="128"/>
          </rPr>
          <t xml:space="preserve">
</t>
        </r>
        <r>
          <rPr>
            <sz val="11"/>
            <color indexed="81"/>
            <rFont val="ＭＳ Ｐ明朝"/>
            <family val="1"/>
            <charset val="128"/>
          </rPr>
          <t xml:space="preserve"> </t>
        </r>
        <r>
          <rPr>
            <b/>
            <sz val="11"/>
            <color indexed="81"/>
            <rFont val="ＭＳ Ｐ明朝"/>
            <family val="1"/>
            <charset val="128"/>
          </rPr>
          <t xml:space="preserve">  When there is no specification, 
    ② load side apparatus
    ③ yard cable
   are considered as a correctable
   block (data free-lancer). </t>
        </r>
        <r>
          <rPr>
            <sz val="11"/>
            <color indexed="81"/>
            <rFont val="ＭＳ 明朝"/>
            <family val="1"/>
            <charset val="128"/>
          </rPr>
          <t xml:space="preserve">
</t>
        </r>
      </text>
    </comment>
  </commentList>
</comments>
</file>

<file path=xl/comments2.xml><?xml version="1.0" encoding="utf-8"?>
<comments xmlns="http://schemas.openxmlformats.org/spreadsheetml/2006/main">
  <authors>
    <author>佐海 恭三</author>
  </authors>
  <commentList>
    <comment ref="B1" authorId="0">
      <text>
        <r>
          <rPr>
            <b/>
            <sz val="20"/>
            <color indexed="81"/>
            <rFont val="ＭＳ Ｐゴシック"/>
            <family val="3"/>
            <charset val="128"/>
          </rPr>
          <t>this --   Protection of DATA Table and a cell is not carried out.   Management of DＡTA   Be careful enough.</t>
        </r>
      </text>
    </comment>
    <comment ref="AB23" authorId="0">
      <text>
        <r>
          <rPr>
            <b/>
            <sz val="12"/>
            <color indexed="10"/>
            <rFont val="ＭＳ Ｐゴシック"/>
            <family val="3"/>
            <charset val="128"/>
          </rPr>
          <t>For USER registration</t>
        </r>
      </text>
    </comment>
    <comment ref="E36" authorId="0">
      <text>
        <r>
          <rPr>
            <b/>
            <sz val="12"/>
            <color indexed="10"/>
            <rFont val="ＭＳ Ｐゴシック"/>
            <family val="3"/>
            <charset val="128"/>
          </rPr>
          <t>For USER registration</t>
        </r>
      </text>
    </comment>
    <comment ref="J36" authorId="0">
      <text>
        <r>
          <rPr>
            <b/>
            <sz val="12"/>
            <color indexed="10"/>
            <rFont val="ＭＳ Ｐゴシック"/>
            <family val="3"/>
            <charset val="128"/>
          </rPr>
          <t>For USER registration</t>
        </r>
      </text>
    </comment>
  </commentList>
</comments>
</file>

<file path=xl/sharedStrings.xml><?xml version="1.0" encoding="utf-8"?>
<sst xmlns="http://schemas.openxmlformats.org/spreadsheetml/2006/main" count="275" uniqueCount="175">
  <si>
    <t>　 　   ⇒</t>
    <phoneticPr fontId="5"/>
  </si>
  <si>
    <t>High volt. Capacitor</t>
    <phoneticPr fontId="5"/>
  </si>
  <si>
    <t>Trunk
number</t>
    <phoneticPr fontId="5"/>
  </si>
  <si>
    <t>Application　section</t>
    <phoneticPr fontId="5"/>
  </si>
  <si>
    <t>Electric system</t>
    <phoneticPr fontId="5"/>
  </si>
  <si>
    <t>Distribution side apparatus</t>
    <phoneticPr fontId="5"/>
  </si>
  <si>
    <t>Load side apparatus</t>
    <phoneticPr fontId="5"/>
  </si>
  <si>
    <t>Selection-1 (Branch trunk)</t>
    <phoneticPr fontId="5"/>
  </si>
  <si>
    <t>Selection-2 (Trunk)</t>
    <phoneticPr fontId="5"/>
  </si>
  <si>
    <t>Transmission</t>
    <phoneticPr fontId="5"/>
  </si>
  <si>
    <t>Reception</t>
    <phoneticPr fontId="5"/>
  </si>
  <si>
    <t>Distribution</t>
    <phoneticPr fontId="5"/>
  </si>
  <si>
    <t>Note</t>
    <phoneticPr fontId="5"/>
  </si>
  <si>
    <t>Power transformer</t>
    <phoneticPr fontId="5"/>
  </si>
  <si>
    <t>Load equipment capacity</t>
    <phoneticPr fontId="5"/>
  </si>
  <si>
    <t>Cable  name</t>
    <phoneticPr fontId="5"/>
  </si>
  <si>
    <t>Construct</t>
    <phoneticPr fontId="5"/>
  </si>
  <si>
    <t>φ</t>
    <phoneticPr fontId="5"/>
  </si>
  <si>
    <t>W</t>
    <phoneticPr fontId="5"/>
  </si>
  <si>
    <t>V</t>
    <phoneticPr fontId="5"/>
  </si>
  <si>
    <t>Form</t>
    <phoneticPr fontId="5"/>
  </si>
  <si>
    <t>Number</t>
    <phoneticPr fontId="5"/>
  </si>
  <si>
    <t>Effici-
ency</t>
    <phoneticPr fontId="5"/>
  </si>
  <si>
    <t>Power
factor</t>
    <phoneticPr fontId="5"/>
  </si>
  <si>
    <t>Input</t>
    <phoneticPr fontId="5"/>
  </si>
  <si>
    <t>Load
current</t>
    <phoneticPr fontId="5"/>
  </si>
  <si>
    <t>Cross</t>
    <phoneticPr fontId="5"/>
  </si>
  <si>
    <t>No.</t>
    <phoneticPr fontId="5"/>
  </si>
  <si>
    <t>Cable</t>
    <phoneticPr fontId="5"/>
  </si>
  <si>
    <t>Frequency [Hz]</t>
    <phoneticPr fontId="5"/>
  </si>
  <si>
    <t>[Kvar]</t>
    <phoneticPr fontId="5"/>
  </si>
  <si>
    <t>Name</t>
    <phoneticPr fontId="5"/>
  </si>
  <si>
    <t>Septic tank</t>
  </si>
  <si>
    <t xml:space="preserve">  </t>
    <phoneticPr fontId="3"/>
  </si>
  <si>
    <t>　</t>
    <phoneticPr fontId="3"/>
  </si>
  <si>
    <r>
      <t>L</t>
    </r>
    <r>
      <rPr>
        <sz val="11"/>
        <rFont val="ＭＳ Ｐゴシック"/>
        <family val="3"/>
        <charset val="128"/>
      </rPr>
      <t>ow</t>
    </r>
    <r>
      <rPr>
        <sz val="11"/>
        <rFont val="ＭＳ Ｐゴシック"/>
        <family val="3"/>
        <charset val="128"/>
      </rPr>
      <t xml:space="preserve"> volt. Capacitor</t>
    </r>
    <phoneticPr fontId="5"/>
  </si>
  <si>
    <r>
      <t>Sec. voltage</t>
    </r>
    <r>
      <rPr>
        <sz val="9"/>
        <rFont val="ＭＳ Ｐ明朝"/>
        <family val="1"/>
        <charset val="128"/>
      </rPr>
      <t xml:space="preserve"> </t>
    </r>
    <r>
      <rPr>
        <sz val="9"/>
        <rFont val="ＭＳ Ｐゴシック"/>
        <family val="3"/>
        <charset val="128"/>
      </rPr>
      <t>E</t>
    </r>
    <r>
      <rPr>
        <sz val="7"/>
        <rFont val="ＭＳ Ｐゴシック"/>
        <family val="3"/>
        <charset val="128"/>
      </rPr>
      <t>S</t>
    </r>
    <r>
      <rPr>
        <sz val="9"/>
        <rFont val="ＭＳ Ｐ明朝"/>
        <family val="1"/>
        <charset val="128"/>
      </rPr>
      <t>[V]</t>
    </r>
    <phoneticPr fontId="5"/>
  </si>
  <si>
    <r>
      <t>SC</t>
    </r>
    <r>
      <rPr>
        <sz val="6"/>
        <rFont val="ＭＳ Ｐゴシック"/>
        <family val="3"/>
        <charset val="128"/>
      </rPr>
      <t>S</t>
    </r>
    <r>
      <rPr>
        <sz val="6"/>
        <rFont val="ＭＳ Ｐ明朝"/>
        <family val="1"/>
        <charset val="128"/>
      </rPr>
      <t xml:space="preserve">
</t>
    </r>
    <r>
      <rPr>
        <sz val="9"/>
        <rFont val="ＭＳ Ｐ明朝"/>
        <family val="1"/>
        <charset val="128"/>
      </rPr>
      <t>Capacity</t>
    </r>
    <phoneticPr fontId="5"/>
  </si>
  <si>
    <r>
      <t>SC</t>
    </r>
    <r>
      <rPr>
        <sz val="8"/>
        <rFont val="ＭＳ Ｐゴシック"/>
        <family val="3"/>
        <charset val="128"/>
      </rPr>
      <t>L</t>
    </r>
    <r>
      <rPr>
        <sz val="10"/>
        <rFont val="ＭＳ Ｐゴシック"/>
        <family val="3"/>
        <charset val="128"/>
      </rPr>
      <t xml:space="preserve">
</t>
    </r>
    <r>
      <rPr>
        <b/>
        <sz val="8"/>
        <rFont val="ＭＳ Ｐ明朝"/>
        <family val="1"/>
        <charset val="128"/>
      </rPr>
      <t>Capacity</t>
    </r>
    <phoneticPr fontId="5"/>
  </si>
  <si>
    <r>
      <t>Voltage</t>
    </r>
    <r>
      <rPr>
        <sz val="9"/>
        <rFont val="ＭＳ Ｐゴシック"/>
        <family val="3"/>
        <charset val="128"/>
      </rPr>
      <t xml:space="preserve"> E</t>
    </r>
    <r>
      <rPr>
        <sz val="7"/>
        <rFont val="ＭＳ Ｐゴシック"/>
        <family val="3"/>
        <charset val="128"/>
      </rPr>
      <t>R</t>
    </r>
    <r>
      <rPr>
        <sz val="9"/>
        <rFont val="ＭＳ Ｐ明朝"/>
        <family val="1"/>
        <charset val="128"/>
      </rPr>
      <t xml:space="preserve"> [</t>
    </r>
    <r>
      <rPr>
        <sz val="9"/>
        <rFont val="ＭＳ Ｐゴシック"/>
        <family val="3"/>
        <charset val="128"/>
      </rPr>
      <t>V</t>
    </r>
    <r>
      <rPr>
        <sz val="9"/>
        <rFont val="ＭＳ Ｐ明朝"/>
        <family val="1"/>
        <charset val="128"/>
      </rPr>
      <t>]</t>
    </r>
    <phoneticPr fontId="5"/>
  </si>
  <si>
    <r>
      <t>Voltage</t>
    </r>
    <r>
      <rPr>
        <sz val="9"/>
        <rFont val="ＭＳ Ｐゴシック"/>
        <family val="3"/>
        <charset val="128"/>
      </rPr>
      <t xml:space="preserve"> </t>
    </r>
    <r>
      <rPr>
        <b/>
        <sz val="9"/>
        <rFont val="ＭＳ Ｐゴシック"/>
        <family val="3"/>
        <charset val="128"/>
      </rPr>
      <t>Ｅ</t>
    </r>
    <r>
      <rPr>
        <sz val="7"/>
        <rFont val="ＭＳ Ｐゴシック"/>
        <family val="3"/>
        <charset val="128"/>
      </rPr>
      <t>Ｌ</t>
    </r>
    <r>
      <rPr>
        <sz val="9"/>
        <rFont val="ＭＳ Ｐ明朝"/>
        <family val="1"/>
        <charset val="128"/>
      </rPr>
      <t>[</t>
    </r>
    <r>
      <rPr>
        <sz val="9"/>
        <rFont val="ＭＳ Ｐゴシック"/>
        <family val="3"/>
        <charset val="128"/>
      </rPr>
      <t>V</t>
    </r>
    <r>
      <rPr>
        <sz val="9"/>
        <rFont val="ＭＳ Ｐ明朝"/>
        <family val="1"/>
        <charset val="128"/>
      </rPr>
      <t>]</t>
    </r>
    <phoneticPr fontId="5"/>
  </si>
  <si>
    <r>
      <t>C</t>
    </r>
    <r>
      <rPr>
        <b/>
        <sz val="9"/>
        <rFont val="ＭＳ Ｐ明朝"/>
        <family val="1"/>
        <charset val="128"/>
      </rPr>
      <t>urrent</t>
    </r>
    <r>
      <rPr>
        <sz val="9"/>
        <rFont val="ＭＳ Ｐゴシック"/>
        <family val="3"/>
        <charset val="128"/>
      </rPr>
      <t xml:space="preserve"> I</t>
    </r>
    <r>
      <rPr>
        <sz val="7"/>
        <rFont val="ＭＳ Ｐゴシック"/>
        <family val="3"/>
        <charset val="128"/>
      </rPr>
      <t xml:space="preserve">L </t>
    </r>
    <r>
      <rPr>
        <sz val="9"/>
        <rFont val="ＭＳ Ｐ明朝"/>
        <family val="1"/>
        <charset val="128"/>
      </rPr>
      <t>[</t>
    </r>
    <r>
      <rPr>
        <sz val="9"/>
        <rFont val="ＭＳ Ｐゴシック"/>
        <family val="3"/>
        <charset val="128"/>
      </rPr>
      <t>A</t>
    </r>
    <r>
      <rPr>
        <sz val="9"/>
        <rFont val="ＭＳ Ｐ明朝"/>
        <family val="1"/>
        <charset val="128"/>
      </rPr>
      <t xml:space="preserve">] </t>
    </r>
    <phoneticPr fontId="5"/>
  </si>
  <si>
    <t>side</t>
    <phoneticPr fontId="3"/>
  </si>
  <si>
    <r>
      <t>Load</t>
    </r>
    <r>
      <rPr>
        <sz val="9"/>
        <rFont val="ＭＳ Ｐ明朝"/>
        <family val="1"/>
        <charset val="128"/>
      </rPr>
      <t xml:space="preserve">
classification</t>
    </r>
    <phoneticPr fontId="5"/>
  </si>
  <si>
    <t>Output</t>
    <phoneticPr fontId="3"/>
  </si>
  <si>
    <r>
      <t>Demand</t>
    </r>
    <r>
      <rPr>
        <b/>
        <sz val="8"/>
        <rFont val="ＭＳ Ｐ明朝"/>
        <family val="1"/>
        <charset val="128"/>
      </rPr>
      <t xml:space="preserve">
factor</t>
    </r>
    <phoneticPr fontId="3"/>
  </si>
  <si>
    <r>
      <t>Ｚ</t>
    </r>
    <r>
      <rPr>
        <sz val="6"/>
        <rFont val="ＭＳ Ｐゴシック"/>
        <family val="3"/>
        <charset val="128"/>
      </rPr>
      <t xml:space="preserve"> Ｌ</t>
    </r>
    <r>
      <rPr>
        <sz val="10"/>
        <rFont val="ＭＳ Ｐ明朝"/>
        <family val="1"/>
        <charset val="128"/>
      </rPr>
      <t xml:space="preserve"> [Ω]</t>
    </r>
    <phoneticPr fontId="5"/>
  </si>
  <si>
    <r>
      <t>Permission
current[</t>
    </r>
    <r>
      <rPr>
        <sz val="9"/>
        <rFont val="ＭＳ Ｐゴシック"/>
        <family val="3"/>
        <charset val="128"/>
      </rPr>
      <t>A</t>
    </r>
    <r>
      <rPr>
        <sz val="9"/>
        <rFont val="ＭＳ Ｐ明朝"/>
        <family val="1"/>
        <charset val="128"/>
      </rPr>
      <t>]</t>
    </r>
    <phoneticPr fontId="5"/>
  </si>
  <si>
    <r>
      <t>All load</t>
    </r>
    <r>
      <rPr>
        <sz val="9"/>
        <rFont val="ＭＳ Ｐゴシック"/>
        <family val="3"/>
        <charset val="128"/>
      </rPr>
      <t xml:space="preserve"> [A]</t>
    </r>
    <phoneticPr fontId="5"/>
  </si>
  <si>
    <r>
      <t>Ｅ</t>
    </r>
    <r>
      <rPr>
        <sz val="6"/>
        <rFont val="ＭＳ Ｐゴシック"/>
        <family val="3"/>
        <charset val="128"/>
      </rPr>
      <t>Ｌ</t>
    </r>
    <r>
      <rPr>
        <sz val="10"/>
        <rFont val="ＭＳ Ｐ明朝"/>
        <family val="1"/>
        <charset val="128"/>
      </rPr>
      <t>／</t>
    </r>
    <r>
      <rPr>
        <b/>
        <sz val="10"/>
        <rFont val="ＭＳ Ｐゴシック"/>
        <family val="3"/>
        <charset val="128"/>
      </rPr>
      <t>Ｅ</t>
    </r>
    <r>
      <rPr>
        <sz val="10"/>
        <rFont val="ＭＳ Ｐ明朝"/>
        <family val="1"/>
        <charset val="128"/>
      </rPr>
      <t>[％]</t>
    </r>
    <phoneticPr fontId="5"/>
  </si>
  <si>
    <r>
      <t>Current</t>
    </r>
    <r>
      <rPr>
        <sz val="9"/>
        <rFont val="ＭＳ Ｐゴシック"/>
        <family val="3"/>
        <charset val="128"/>
      </rPr>
      <t xml:space="preserve"> I</t>
    </r>
    <r>
      <rPr>
        <sz val="7"/>
        <rFont val="ＭＳ Ｐゴシック"/>
        <family val="3"/>
        <charset val="128"/>
      </rPr>
      <t>C</t>
    </r>
    <r>
      <rPr>
        <sz val="9"/>
        <rFont val="ＭＳ Ｐゴシック"/>
        <family val="3"/>
        <charset val="128"/>
      </rPr>
      <t xml:space="preserve"> </t>
    </r>
    <r>
      <rPr>
        <sz val="9"/>
        <rFont val="ＭＳ Ｐ明朝"/>
        <family val="1"/>
        <charset val="128"/>
      </rPr>
      <t>[</t>
    </r>
    <r>
      <rPr>
        <sz val="9"/>
        <rFont val="ＭＳ Ｐゴシック"/>
        <family val="3"/>
        <charset val="128"/>
      </rPr>
      <t>A</t>
    </r>
    <r>
      <rPr>
        <sz val="9"/>
        <rFont val="ＭＳ Ｐ明朝"/>
        <family val="1"/>
        <charset val="128"/>
      </rPr>
      <t>]</t>
    </r>
    <phoneticPr fontId="5"/>
  </si>
  <si>
    <t>Breaker</t>
    <phoneticPr fontId="3"/>
  </si>
  <si>
    <t>Drop down LIST</t>
    <phoneticPr fontId="3"/>
  </si>
  <si>
    <r>
      <t xml:space="preserve">％ </t>
    </r>
    <r>
      <rPr>
        <sz val="10"/>
        <rFont val="ＭＳ ゴシック"/>
        <family val="3"/>
        <charset val="128"/>
      </rPr>
      <t>Z</t>
    </r>
    <phoneticPr fontId="5"/>
  </si>
  <si>
    <r>
      <t>Ｒ</t>
    </r>
    <r>
      <rPr>
        <sz val="6"/>
        <rFont val="ＭＳ Ｐゴシック"/>
        <family val="3"/>
        <charset val="128"/>
      </rPr>
      <t xml:space="preserve"> Ｌ</t>
    </r>
    <r>
      <rPr>
        <sz val="10"/>
        <rFont val="ＭＳ Ｐ明朝"/>
        <family val="1"/>
        <charset val="128"/>
      </rPr>
      <t xml:space="preserve"> [Ω]</t>
    </r>
    <phoneticPr fontId="5"/>
  </si>
  <si>
    <t>section</t>
    <phoneticPr fontId="3"/>
  </si>
  <si>
    <t>span</t>
    <phoneticPr fontId="3"/>
  </si>
  <si>
    <r>
      <t>TR curren</t>
    </r>
    <r>
      <rPr>
        <sz val="9"/>
        <rFont val="ＭＳ Ｐゴシック"/>
        <family val="3"/>
        <charset val="128"/>
      </rPr>
      <t xml:space="preserve">t </t>
    </r>
    <r>
      <rPr>
        <sz val="9"/>
        <rFont val="ＭＳ Ｐ明朝"/>
        <family val="1"/>
        <charset val="128"/>
      </rPr>
      <t>[</t>
    </r>
    <r>
      <rPr>
        <sz val="9"/>
        <rFont val="ＭＳ Ｐゴシック"/>
        <family val="3"/>
        <charset val="128"/>
      </rPr>
      <t>A</t>
    </r>
    <r>
      <rPr>
        <sz val="9"/>
        <rFont val="ＭＳ Ｐ明朝"/>
        <family val="1"/>
        <charset val="128"/>
      </rPr>
      <t>]</t>
    </r>
    <phoneticPr fontId="5"/>
  </si>
  <si>
    <r>
      <t>(</t>
    </r>
    <r>
      <rPr>
        <b/>
        <sz val="10"/>
        <rFont val="ＭＳ Ｐゴシック"/>
        <family val="3"/>
        <charset val="128"/>
      </rPr>
      <t>Ｅ</t>
    </r>
    <r>
      <rPr>
        <sz val="10"/>
        <rFont val="ＭＳ Ｐ明朝"/>
        <family val="1"/>
        <charset val="128"/>
      </rPr>
      <t>-</t>
    </r>
    <r>
      <rPr>
        <b/>
        <sz val="10"/>
        <rFont val="ＭＳ Ｐゴシック"/>
        <family val="3"/>
        <charset val="128"/>
      </rPr>
      <t>Ｅ</t>
    </r>
    <r>
      <rPr>
        <sz val="6"/>
        <rFont val="ＭＳ Ｐゴシック"/>
        <family val="3"/>
        <charset val="128"/>
      </rPr>
      <t>Ｌ</t>
    </r>
    <r>
      <rPr>
        <sz val="10"/>
        <rFont val="ＭＳ Ｐ明朝"/>
        <family val="1"/>
        <charset val="128"/>
      </rPr>
      <t>)／</t>
    </r>
    <r>
      <rPr>
        <b/>
        <sz val="10"/>
        <rFont val="ＭＳ Ｐゴシック"/>
        <family val="3"/>
        <charset val="128"/>
      </rPr>
      <t>Ｅ</t>
    </r>
    <r>
      <rPr>
        <sz val="10"/>
        <rFont val="ＭＳ Ｐ明朝"/>
        <family val="1"/>
        <charset val="128"/>
      </rPr>
      <t>[％]</t>
    </r>
    <phoneticPr fontId="5"/>
  </si>
  <si>
    <t>(Total)</t>
    <phoneticPr fontId="3"/>
  </si>
  <si>
    <t>Prod. power</t>
    <phoneticPr fontId="3"/>
  </si>
  <si>
    <t>Experimental eq.</t>
    <phoneticPr fontId="3"/>
  </si>
  <si>
    <t>AC M/C</t>
    <phoneticPr fontId="3"/>
  </si>
  <si>
    <t>Supply fan</t>
    <phoneticPr fontId="3"/>
  </si>
  <si>
    <t>Exhaust fan</t>
    <phoneticPr fontId="3"/>
  </si>
  <si>
    <t>Sanitation</t>
    <phoneticPr fontId="3"/>
  </si>
  <si>
    <t>Existing load</t>
    <phoneticPr fontId="3"/>
  </si>
  <si>
    <t>Lighting Load</t>
    <phoneticPr fontId="3"/>
  </si>
  <si>
    <t>Wall socket</t>
    <phoneticPr fontId="3"/>
  </si>
  <si>
    <t>construction of cable</t>
    <phoneticPr fontId="3"/>
  </si>
  <si>
    <t>Cabletray</t>
    <phoneticPr fontId="3"/>
  </si>
  <si>
    <t>Subter-   ranean</t>
    <phoneticPr fontId="3"/>
  </si>
  <si>
    <t>Under  drain</t>
    <phoneticPr fontId="3"/>
  </si>
  <si>
    <t>Openpit</t>
    <phoneticPr fontId="3"/>
  </si>
  <si>
    <t>Exposure  piping</t>
    <phoneticPr fontId="3"/>
  </si>
  <si>
    <t>Conceal.   piping</t>
    <phoneticPr fontId="3"/>
  </si>
  <si>
    <t xml:space="preserve"> Please input a building name. </t>
    <phoneticPr fontId="3"/>
  </si>
  <si>
    <t>Exchange circuit analysis calculation-VD4
Electro  Systems  Engineering  Service</t>
    <phoneticPr fontId="5"/>
  </si>
  <si>
    <t xml:space="preserve">Please input a person-in-charge name. </t>
    <phoneticPr fontId="3"/>
  </si>
  <si>
    <r>
      <t>Terminal voltage-nn</t>
    </r>
    <r>
      <rPr>
        <sz val="10"/>
        <rFont val="ＭＳ 明朝"/>
        <family val="1"/>
        <charset val="128"/>
      </rPr>
      <t xml:space="preserve">
</t>
    </r>
    <r>
      <rPr>
        <b/>
        <sz val="12"/>
        <rFont val="Times New Roman"/>
        <family val="1"/>
      </rPr>
      <t>Received voltage</t>
    </r>
    <phoneticPr fontId="5"/>
  </si>
  <si>
    <t>yyyy/mm/dd  Ver n.nn</t>
    <phoneticPr fontId="3"/>
  </si>
  <si>
    <r>
      <t xml:space="preserve">　Data free-lancer
Please input a block. </t>
    </r>
    <r>
      <rPr>
        <b/>
        <sz val="11"/>
        <color indexed="10"/>
        <rFont val="ＭＳ Ｐ明朝"/>
        <family val="1"/>
        <charset val="128"/>
      </rPr>
      <t xml:space="preserve">
</t>
    </r>
    <r>
      <rPr>
        <b/>
        <sz val="11"/>
        <color indexed="12"/>
        <rFont val="ＭＳ Ｐ明朝"/>
        <family val="1"/>
        <charset val="128"/>
      </rPr>
      <t xml:space="preserve">Drop down list </t>
    </r>
    <phoneticPr fontId="99"/>
  </si>
  <si>
    <t>②Load side apparatus 　③Yard cable</t>
    <phoneticPr fontId="3"/>
  </si>
  <si>
    <t>①The application section-power transmission side apparatus
③Yard cable</t>
    <phoneticPr fontId="3"/>
  </si>
  <si>
    <t xml:space="preserve">①The application section-power transmission side apparatus
②Load side apparatus </t>
    <phoneticPr fontId="3"/>
  </si>
  <si>
    <r>
      <t xml:space="preserve">Attention </t>
    </r>
    <r>
      <rPr>
        <b/>
        <sz val="14"/>
        <color indexed="10"/>
        <rFont val="ＭＳ Ｐゴシック"/>
        <family val="3"/>
        <charset val="128"/>
      </rPr>
      <t>⇒</t>
    </r>
    <phoneticPr fontId="5"/>
  </si>
  <si>
    <t>TR</t>
    <phoneticPr fontId="5"/>
  </si>
  <si>
    <t>1φ oil cooled-50Hz</t>
    <phoneticPr fontId="5"/>
  </si>
  <si>
    <t>1φ molded-50Hz</t>
    <phoneticPr fontId="5"/>
  </si>
  <si>
    <t>1φ oil cooled-60Hz</t>
    <phoneticPr fontId="5"/>
  </si>
  <si>
    <t>1φ molded-60Hz</t>
    <phoneticPr fontId="5"/>
  </si>
  <si>
    <t>IV (Piping)</t>
    <phoneticPr fontId="5"/>
  </si>
  <si>
    <t>Capa.</t>
    <phoneticPr fontId="5"/>
  </si>
  <si>
    <t>％ R</t>
    <phoneticPr fontId="5"/>
  </si>
  <si>
    <t>％ X</t>
    <phoneticPr fontId="5"/>
  </si>
  <si>
    <t>％ Z</t>
    <phoneticPr fontId="5"/>
  </si>
  <si>
    <t>Cross</t>
    <phoneticPr fontId="5"/>
  </si>
  <si>
    <t>Resistance</t>
    <phoneticPr fontId="5"/>
  </si>
  <si>
    <t>Reactance</t>
    <phoneticPr fontId="5"/>
  </si>
  <si>
    <t>section</t>
    <phoneticPr fontId="5"/>
  </si>
  <si>
    <t>[60℃]</t>
    <phoneticPr fontId="5"/>
  </si>
  <si>
    <t>[50Hz]</t>
    <phoneticPr fontId="5"/>
  </si>
  <si>
    <t>[90℃]</t>
    <phoneticPr fontId="5"/>
  </si>
  <si>
    <t>[Ω/Km]</t>
    <phoneticPr fontId="5"/>
  </si>
  <si>
    <t>3φ oil cooled-50Hz</t>
    <phoneticPr fontId="5"/>
  </si>
  <si>
    <t>3φ molded-50Hz</t>
    <phoneticPr fontId="5"/>
  </si>
  <si>
    <t>3φ oil cooled-60Hz</t>
    <phoneticPr fontId="5"/>
  </si>
  <si>
    <t>3φ molded-60Hz</t>
    <phoneticPr fontId="5"/>
  </si>
  <si>
    <t>600V CV-2C/3C</t>
    <phoneticPr fontId="5"/>
  </si>
  <si>
    <t>USER</t>
    <phoneticPr fontId="5"/>
  </si>
  <si>
    <t>　　　⇒</t>
    <phoneticPr fontId="5"/>
  </si>
  <si>
    <t>3φ User-50Hz</t>
    <phoneticPr fontId="5"/>
  </si>
  <si>
    <r>
      <t>Data Sheet［</t>
    </r>
    <r>
      <rPr>
        <sz val="22"/>
        <rFont val="ＤＨＰ特太ゴシック体"/>
        <family val="3"/>
        <charset val="128"/>
      </rPr>
      <t>ＶＤ４</t>
    </r>
    <r>
      <rPr>
        <sz val="22"/>
        <rFont val="ＭＳ Ｐゴシック"/>
        <family val="3"/>
        <charset val="128"/>
      </rPr>
      <t>］</t>
    </r>
    <phoneticPr fontId="5"/>
  </si>
  <si>
    <t xml:space="preserve">Please input a company name. </t>
    <phoneticPr fontId="3"/>
  </si>
  <si>
    <t/>
  </si>
  <si>
    <t>ACG</t>
    <phoneticPr fontId="5"/>
  </si>
  <si>
    <t>600V CV-T</t>
    <phoneticPr fontId="5"/>
  </si>
  <si>
    <r>
      <t>1</t>
    </r>
    <r>
      <rPr>
        <sz val="11"/>
        <rFont val="ＭＳ Ｐゴシック"/>
        <family val="3"/>
        <charset val="128"/>
      </rPr>
      <t>φ</t>
    </r>
    <r>
      <rPr>
        <sz val="11"/>
        <rFont val="ＭＳ Ｐゴシック"/>
        <family val="3"/>
        <charset val="128"/>
      </rPr>
      <t>-R</t>
    </r>
    <phoneticPr fontId="5"/>
  </si>
  <si>
    <r>
      <t>User</t>
    </r>
    <r>
      <rPr>
        <sz val="11"/>
        <rFont val="ＭＳ Ｐゴシック"/>
        <family val="3"/>
        <charset val="128"/>
      </rPr>
      <t>-R</t>
    </r>
    <phoneticPr fontId="5"/>
  </si>
  <si>
    <r>
      <t>SC</t>
    </r>
    <r>
      <rPr>
        <sz val="8"/>
        <rFont val="ＭＳ Ｐゴシック"/>
        <family val="3"/>
        <charset val="128"/>
      </rPr>
      <t>S</t>
    </r>
    <phoneticPr fontId="5"/>
  </si>
  <si>
    <t>ｎφｎW-1</t>
    <phoneticPr fontId="5"/>
  </si>
  <si>
    <r>
      <t>R-</t>
    </r>
    <r>
      <rPr>
        <sz val="8"/>
        <rFont val="ＭＳ Ｐゴシック"/>
        <family val="3"/>
        <charset val="128"/>
      </rPr>
      <t>C1n</t>
    </r>
    <phoneticPr fontId="5"/>
  </si>
  <si>
    <r>
      <t>Ｒ-</t>
    </r>
    <r>
      <rPr>
        <sz val="8"/>
        <rFont val="ＭＳ Ｐゴシック"/>
        <family val="3"/>
        <charset val="128"/>
      </rPr>
      <t>ｎ２</t>
    </r>
    <phoneticPr fontId="5"/>
  </si>
  <si>
    <r>
      <t>Ｒ-</t>
    </r>
    <r>
      <rPr>
        <sz val="8"/>
        <rFont val="ＭＳ Ｐゴシック"/>
        <family val="3"/>
        <charset val="128"/>
      </rPr>
      <t>ｎ４</t>
    </r>
    <phoneticPr fontId="5"/>
  </si>
  <si>
    <r>
      <t>Ｒ-</t>
    </r>
    <r>
      <rPr>
        <sz val="8"/>
        <rFont val="ＭＳ Ｐゴシック"/>
        <family val="3"/>
        <charset val="128"/>
      </rPr>
      <t>０１</t>
    </r>
    <phoneticPr fontId="5"/>
  </si>
  <si>
    <r>
      <t>Ｅ-</t>
    </r>
    <r>
      <rPr>
        <sz val="8"/>
        <rFont val="ＭＳ Ｐゴシック"/>
        <family val="3"/>
        <charset val="128"/>
      </rPr>
      <t>Ｃｎ</t>
    </r>
    <phoneticPr fontId="5"/>
  </si>
  <si>
    <t>φ-G20</t>
    <phoneticPr fontId="5"/>
  </si>
  <si>
    <t>負荷種別</t>
    <rPh sb="0" eb="2">
      <t>フカ</t>
    </rPh>
    <rPh sb="2" eb="4">
      <t>シュベツ</t>
    </rPh>
    <phoneticPr fontId="5"/>
  </si>
  <si>
    <r>
      <t>1φ</t>
    </r>
    <r>
      <rPr>
        <sz val="11"/>
        <rFont val="ＭＳ Ｐゴシック"/>
        <family val="3"/>
        <charset val="128"/>
      </rPr>
      <t>-X</t>
    </r>
    <phoneticPr fontId="5"/>
  </si>
  <si>
    <r>
      <t>User</t>
    </r>
    <r>
      <rPr>
        <sz val="11"/>
        <rFont val="ＭＳ Ｐゴシック"/>
        <family val="3"/>
        <charset val="128"/>
      </rPr>
      <t>-X</t>
    </r>
    <phoneticPr fontId="5"/>
  </si>
  <si>
    <r>
      <t>SC</t>
    </r>
    <r>
      <rPr>
        <sz val="8"/>
        <rFont val="ＭＳ Ｐゴシック"/>
        <family val="3"/>
        <charset val="128"/>
      </rPr>
      <t>Load</t>
    </r>
    <phoneticPr fontId="5"/>
  </si>
  <si>
    <t>ｎφｎW-2</t>
    <phoneticPr fontId="5"/>
  </si>
  <si>
    <r>
      <t>X-</t>
    </r>
    <r>
      <rPr>
        <sz val="8"/>
        <rFont val="ＭＳ Ｐゴシック"/>
        <family val="3"/>
        <charset val="128"/>
      </rPr>
      <t>C1n</t>
    </r>
    <phoneticPr fontId="5"/>
  </si>
  <si>
    <r>
      <t>Ｘ-</t>
    </r>
    <r>
      <rPr>
        <sz val="8"/>
        <rFont val="ＭＳ Ｐゴシック"/>
        <family val="3"/>
        <charset val="128"/>
      </rPr>
      <t>ｎ２</t>
    </r>
    <phoneticPr fontId="5"/>
  </si>
  <si>
    <r>
      <t>Ｘ-</t>
    </r>
    <r>
      <rPr>
        <sz val="8"/>
        <rFont val="ＭＳ Ｐゴシック"/>
        <family val="3"/>
        <charset val="128"/>
      </rPr>
      <t>ｎ４</t>
    </r>
    <phoneticPr fontId="5"/>
  </si>
  <si>
    <r>
      <t>Ｘ-</t>
    </r>
    <r>
      <rPr>
        <sz val="8"/>
        <rFont val="ＭＳ Ｐゴシック"/>
        <family val="3"/>
        <charset val="128"/>
      </rPr>
      <t>０１</t>
    </r>
    <phoneticPr fontId="5"/>
  </si>
  <si>
    <t>ｗ-Ｉ20</t>
    <phoneticPr fontId="5"/>
  </si>
  <si>
    <r>
      <t>3</t>
    </r>
    <r>
      <rPr>
        <sz val="11"/>
        <rFont val="ＭＳ Ｐゴシック"/>
        <family val="3"/>
        <charset val="128"/>
      </rPr>
      <t>φ</t>
    </r>
    <r>
      <rPr>
        <sz val="11"/>
        <rFont val="ＭＳ Ｐゴシック"/>
        <family val="3"/>
        <charset val="128"/>
      </rPr>
      <t>-R</t>
    </r>
    <phoneticPr fontId="5"/>
  </si>
  <si>
    <r>
      <t>Ｒ-</t>
    </r>
    <r>
      <rPr>
        <sz val="8"/>
        <rFont val="ＭＳ Ｐゴシック"/>
        <family val="3"/>
        <charset val="128"/>
      </rPr>
      <t>ＴＲ</t>
    </r>
    <phoneticPr fontId="5"/>
  </si>
  <si>
    <r>
      <t>Ｒ-</t>
    </r>
    <r>
      <rPr>
        <sz val="8"/>
        <rFont val="ＭＳ Ｐゴシック"/>
        <family val="3"/>
        <charset val="128"/>
      </rPr>
      <t>ｎ１</t>
    </r>
    <phoneticPr fontId="5"/>
  </si>
  <si>
    <r>
      <t>Ｒ-</t>
    </r>
    <r>
      <rPr>
        <sz val="8"/>
        <rFont val="ＭＳ Ｐゴシック"/>
        <family val="3"/>
        <charset val="128"/>
      </rPr>
      <t>ｎ１’</t>
    </r>
    <phoneticPr fontId="5"/>
  </si>
  <si>
    <r>
      <t>R-</t>
    </r>
    <r>
      <rPr>
        <sz val="8"/>
        <rFont val="ＭＳ Ｐゴシック"/>
        <family val="3"/>
        <charset val="128"/>
      </rPr>
      <t>C2n</t>
    </r>
    <phoneticPr fontId="5"/>
  </si>
  <si>
    <r>
      <t>Ｒ-</t>
    </r>
    <r>
      <rPr>
        <sz val="8"/>
        <rFont val="ＭＳ Ｐゴシック"/>
        <family val="3"/>
        <charset val="128"/>
      </rPr>
      <t>ｎ３</t>
    </r>
    <phoneticPr fontId="5"/>
  </si>
  <si>
    <r>
      <t>Ｒ-</t>
    </r>
    <r>
      <rPr>
        <sz val="8"/>
        <rFont val="ＭＳ Ｐゴシック"/>
        <family val="3"/>
        <charset val="128"/>
      </rPr>
      <t>ｎ４</t>
    </r>
    <r>
      <rPr>
        <sz val="10"/>
        <rFont val="ＭＳ Ｐゴシック"/>
        <family val="3"/>
        <charset val="128"/>
      </rPr>
      <t>’</t>
    </r>
    <phoneticPr fontId="5"/>
  </si>
  <si>
    <r>
      <t>Ｒ-</t>
    </r>
    <r>
      <rPr>
        <sz val="8"/>
        <rFont val="ＭＳ Ｐゴシック"/>
        <family val="3"/>
        <charset val="128"/>
      </rPr>
      <t>０２</t>
    </r>
    <phoneticPr fontId="5"/>
  </si>
  <si>
    <r>
      <t>Ｅ</t>
    </r>
    <r>
      <rPr>
        <sz val="8"/>
        <rFont val="ＭＳ Ｐゴシック"/>
        <family val="3"/>
        <charset val="128"/>
      </rPr>
      <t>S</t>
    </r>
    <phoneticPr fontId="5"/>
  </si>
  <si>
    <t>Ｅ-K20</t>
    <phoneticPr fontId="5"/>
  </si>
  <si>
    <r>
      <t>Load</t>
    </r>
    <r>
      <rPr>
        <sz val="11"/>
        <rFont val="ＭＳ Ｐ明朝"/>
        <family val="1"/>
        <charset val="128"/>
      </rPr>
      <t xml:space="preserve"> Classification</t>
    </r>
    <phoneticPr fontId="3"/>
  </si>
  <si>
    <t>Calculation temp.</t>
    <phoneticPr fontId="5"/>
  </si>
  <si>
    <t>Capacity/Rated current</t>
    <phoneticPr fontId="5"/>
  </si>
  <si>
    <t>[Kvar]</t>
    <phoneticPr fontId="3"/>
  </si>
  <si>
    <t>[KW]</t>
    <phoneticPr fontId="5"/>
  </si>
  <si>
    <t>η</t>
    <phoneticPr fontId="5"/>
  </si>
  <si>
    <t>cosφ</t>
    <phoneticPr fontId="5"/>
  </si>
  <si>
    <t>[KVA]</t>
    <phoneticPr fontId="5"/>
  </si>
  <si>
    <t>Df</t>
    <phoneticPr fontId="5"/>
  </si>
  <si>
    <t>[A]</t>
    <phoneticPr fontId="5"/>
  </si>
  <si>
    <r>
      <t>Ｘ</t>
    </r>
    <r>
      <rPr>
        <sz val="6"/>
        <rFont val="ＭＳ Ｐゴシック"/>
        <family val="3"/>
        <charset val="128"/>
      </rPr>
      <t xml:space="preserve"> Ｌ</t>
    </r>
    <r>
      <rPr>
        <sz val="10"/>
        <rFont val="ＭＳ Ｐ明朝"/>
        <family val="1"/>
        <charset val="128"/>
      </rPr>
      <t xml:space="preserve"> [Ω]</t>
    </r>
    <phoneticPr fontId="5"/>
  </si>
  <si>
    <r>
      <t xml:space="preserve">Avrg. </t>
    </r>
    <r>
      <rPr>
        <sz val="10"/>
        <rFont val="ＭＳ Ｐゴシック"/>
        <family val="3"/>
        <charset val="128"/>
      </rPr>
      <t>PF</t>
    </r>
    <phoneticPr fontId="5"/>
  </si>
  <si>
    <r>
      <t>Ｚ</t>
    </r>
    <r>
      <rPr>
        <sz val="6"/>
        <rFont val="ＭＳ Ｐ明朝"/>
        <family val="1"/>
        <charset val="128"/>
      </rPr>
      <t xml:space="preserve"> </t>
    </r>
    <r>
      <rPr>
        <sz val="6"/>
        <rFont val="ＭＳ Ｐゴシック"/>
        <family val="3"/>
        <charset val="128"/>
      </rPr>
      <t>Ｃ１</t>
    </r>
    <r>
      <rPr>
        <sz val="10"/>
        <rFont val="ＭＳ Ｐ明朝"/>
        <family val="1"/>
        <charset val="128"/>
      </rPr>
      <t xml:space="preserve"> </t>
    </r>
    <r>
      <rPr>
        <b/>
        <sz val="10"/>
        <rFont val="ＭＳ Ｐ明朝"/>
        <family val="1"/>
        <charset val="128"/>
      </rPr>
      <t>(Trunk)</t>
    </r>
    <phoneticPr fontId="5"/>
  </si>
  <si>
    <r>
      <t>Ｚ</t>
    </r>
    <r>
      <rPr>
        <sz val="6"/>
        <rFont val="ＭＳ Ｐゴシック"/>
        <family val="3"/>
        <charset val="128"/>
      </rPr>
      <t xml:space="preserve"> Ｃ２</t>
    </r>
    <r>
      <rPr>
        <sz val="10"/>
        <rFont val="ＭＳ Ｐゴシック"/>
        <family val="3"/>
        <charset val="128"/>
      </rPr>
      <t xml:space="preserve"> </t>
    </r>
    <r>
      <rPr>
        <b/>
        <sz val="10"/>
        <rFont val="ＭＳ Ｐゴシック"/>
        <family val="3"/>
        <charset val="128"/>
      </rPr>
      <t>(Branch trunk)</t>
    </r>
    <phoneticPr fontId="5"/>
  </si>
  <si>
    <r>
      <t>Branch part</t>
    </r>
    <r>
      <rPr>
        <sz val="9"/>
        <rFont val="ＭＳ Ｐ明朝"/>
        <family val="1"/>
        <charset val="128"/>
      </rPr>
      <t xml:space="preserve"> [</t>
    </r>
    <r>
      <rPr>
        <sz val="9"/>
        <rFont val="ＭＳ Ｐゴシック"/>
        <family val="3"/>
        <charset val="128"/>
      </rPr>
      <t>V</t>
    </r>
    <r>
      <rPr>
        <sz val="9"/>
        <rFont val="ＭＳ Ｐ明朝"/>
        <family val="1"/>
        <charset val="128"/>
      </rPr>
      <t>]</t>
    </r>
    <phoneticPr fontId="5"/>
  </si>
  <si>
    <r>
      <t>Z</t>
    </r>
    <r>
      <rPr>
        <sz val="6"/>
        <rFont val="ＭＳ Ｐゴシック"/>
        <family val="3"/>
        <charset val="128"/>
      </rPr>
      <t>ｎ１</t>
    </r>
    <r>
      <rPr>
        <sz val="10"/>
        <rFont val="ＭＳ Ｐゴシック"/>
        <family val="3"/>
        <charset val="128"/>
      </rPr>
      <t>（</t>
    </r>
    <r>
      <rPr>
        <b/>
        <sz val="10"/>
        <rFont val="ＭＳ Ｐゴシック"/>
        <family val="3"/>
        <charset val="128"/>
      </rPr>
      <t>Ｌ</t>
    </r>
    <r>
      <rPr>
        <sz val="6"/>
        <rFont val="ＭＳ Ｐゴシック"/>
        <family val="3"/>
        <charset val="128"/>
      </rPr>
      <t>ｎ</t>
    </r>
    <r>
      <rPr>
        <sz val="10"/>
        <rFont val="ＭＳ Ｐゴシック"/>
        <family val="3"/>
        <charset val="128"/>
      </rPr>
      <t>＋</t>
    </r>
    <r>
      <rPr>
        <b/>
        <sz val="10"/>
        <rFont val="ＭＳ Ｐゴシック"/>
        <family val="3"/>
        <charset val="128"/>
      </rPr>
      <t>Ｃ</t>
    </r>
    <r>
      <rPr>
        <sz val="6"/>
        <rFont val="ＭＳ Ｐゴシック"/>
        <family val="3"/>
        <charset val="128"/>
      </rPr>
      <t>Ｌ１</t>
    </r>
    <r>
      <rPr>
        <sz val="10"/>
        <rFont val="ＭＳ Ｐゴシック"/>
        <family val="3"/>
        <charset val="128"/>
      </rPr>
      <t>）</t>
    </r>
    <phoneticPr fontId="5"/>
  </si>
  <si>
    <t>-AF</t>
    <phoneticPr fontId="5"/>
  </si>
  <si>
    <t>-AT</t>
    <phoneticPr fontId="5"/>
  </si>
  <si>
    <r>
      <t>3</t>
    </r>
    <r>
      <rPr>
        <sz val="11"/>
        <rFont val="ＭＳ Ｐゴシック"/>
        <family val="3"/>
        <charset val="128"/>
      </rPr>
      <t>φ</t>
    </r>
    <r>
      <rPr>
        <sz val="11"/>
        <rFont val="ＭＳ Ｐゴシック"/>
        <family val="3"/>
        <charset val="128"/>
      </rPr>
      <t>-X</t>
    </r>
    <phoneticPr fontId="5"/>
  </si>
  <si>
    <r>
      <t>Ｘ-</t>
    </r>
    <r>
      <rPr>
        <sz val="8"/>
        <rFont val="ＭＳ Ｐゴシック"/>
        <family val="3"/>
        <charset val="128"/>
      </rPr>
      <t>ＴＲ</t>
    </r>
    <phoneticPr fontId="5"/>
  </si>
  <si>
    <r>
      <t>Ｘ-</t>
    </r>
    <r>
      <rPr>
        <sz val="8"/>
        <rFont val="ＭＳ Ｐゴシック"/>
        <family val="3"/>
        <charset val="128"/>
      </rPr>
      <t>ｎ１</t>
    </r>
    <phoneticPr fontId="5"/>
  </si>
  <si>
    <r>
      <t>Ｘ-</t>
    </r>
    <r>
      <rPr>
        <sz val="8"/>
        <rFont val="ＭＳ Ｐゴシック"/>
        <family val="3"/>
        <charset val="128"/>
      </rPr>
      <t>ｎ１’</t>
    </r>
    <phoneticPr fontId="5"/>
  </si>
  <si>
    <r>
      <t>X-</t>
    </r>
    <r>
      <rPr>
        <sz val="8"/>
        <rFont val="ＭＳ Ｐゴシック"/>
        <family val="3"/>
        <charset val="128"/>
      </rPr>
      <t>C2n</t>
    </r>
    <phoneticPr fontId="5"/>
  </si>
  <si>
    <r>
      <t>Ｘ-</t>
    </r>
    <r>
      <rPr>
        <sz val="8"/>
        <rFont val="ＭＳ Ｐゴシック"/>
        <family val="3"/>
        <charset val="128"/>
      </rPr>
      <t>ｎ３</t>
    </r>
    <phoneticPr fontId="5"/>
  </si>
  <si>
    <r>
      <t>Ｘ-</t>
    </r>
    <r>
      <rPr>
        <sz val="8"/>
        <rFont val="ＭＳ Ｐゴシック"/>
        <family val="3"/>
        <charset val="128"/>
      </rPr>
      <t>ｎ４</t>
    </r>
    <r>
      <rPr>
        <sz val="10"/>
        <rFont val="ＭＳ Ｐゴシック"/>
        <family val="3"/>
        <charset val="128"/>
      </rPr>
      <t>’</t>
    </r>
    <phoneticPr fontId="5"/>
  </si>
  <si>
    <r>
      <t>Ｘ-</t>
    </r>
    <r>
      <rPr>
        <sz val="8"/>
        <rFont val="ＭＳ Ｐゴシック"/>
        <family val="3"/>
        <charset val="128"/>
      </rPr>
      <t>０２</t>
    </r>
    <phoneticPr fontId="5"/>
  </si>
  <si>
    <t>Hz-G22</t>
    <phoneticPr fontId="5"/>
  </si>
  <si>
    <t>Load factor of Main TR</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</si>
</sst>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176" formatCode="0.00_ "/>
    <numFmt numFmtId="177" formatCode="0.0000_ "/>
    <numFmt numFmtId="178" formatCode="0_);[Red]\(0\)"/>
    <numFmt numFmtId="179" formatCode="0;[Red]0"/>
    <numFmt numFmtId="180" formatCode="0_ ;[Red]\-0\ "/>
    <numFmt numFmtId="181" formatCode="0.0_ ;[Red]\-0.0\ "/>
    <numFmt numFmtId="182" formatCode="0.00;[Red]0.00"/>
    <numFmt numFmtId="183" formatCode="0.000;[Red]0.000"/>
    <numFmt numFmtId="184" formatCode="0.00000;[Red]0.00000"/>
    <numFmt numFmtId="185" formatCode="####&quot;[℃]&quot;"/>
    <numFmt numFmtId="186" formatCode="0.00_ ;[Red]\-0.00\ "/>
    <numFmt numFmtId="187" formatCode="0.0000;[Red]0.0000"/>
    <numFmt numFmtId="188" formatCode="0.0;[Red]0.0"/>
    <numFmt numFmtId="189" formatCode="0.0000_ ;[Red]\-0.0000\ "/>
    <numFmt numFmtId="190" formatCode="0.000_ ;[Red]\-0.000\ "/>
    <numFmt numFmtId="191" formatCode="#.#0\ &quot;[Hz]&quot;"/>
    <numFmt numFmtId="192" formatCode="#.#0\ \ &quot;[KVA]&quot;"/>
    <numFmt numFmtId="193" formatCode="0.0000\ &quot;[mΩ]&quot;"/>
    <numFmt numFmtId="194" formatCode="0.0&quot;[m]&quot;"/>
    <numFmt numFmtId="195" formatCode="0\ &quot;[A] &quot;"/>
    <numFmt numFmtId="196" formatCode="#.#\ &quot;[A]　&quot;"/>
    <numFmt numFmtId="197" formatCode="0.0000_);[Red]\(0.0000\)"/>
    <numFmt numFmtId="198" formatCode="#.#0\ &quot;[A]　&quot;"/>
    <numFmt numFmtId="199" formatCode="###.#0\ &quot;[℃]&quot;;[Red]\-###.#0\ &quot;[℃]&quot;"/>
    <numFmt numFmtId="200" formatCode="#.#0\ &quot;[V]　&quot;"/>
    <numFmt numFmtId="201" formatCode="0.###0\ &quot;[％]&quot;"/>
    <numFmt numFmtId="202" formatCode="0.###0\ &quot;+ j&quot;"/>
    <numFmt numFmtId="203" formatCode="0.0000\ &quot;[Ω] &quot;"/>
  </numFmts>
  <fonts count="116">
    <font>
      <sz val="11"/>
      <name val="ＭＳ Ｐゴシック"/>
      <family val="3"/>
      <charset val="128"/>
    </font>
    <font>
      <sz val="11"/>
      <name val="ＭＳ Ｐゴシック"/>
      <family val="3"/>
      <charset val="128"/>
    </font>
    <font>
      <u/>
      <sz val="11"/>
      <color indexed="12"/>
      <name val="ＭＳ Ｐゴシック"/>
      <family val="3"/>
      <charset val="128"/>
    </font>
    <font>
      <b/>
      <vertAlign val="superscript"/>
      <sz val="16"/>
      <name val="ＭＳ Ｐゴシック"/>
      <family val="3"/>
      <charset val="128"/>
    </font>
    <font>
      <sz val="11"/>
      <color indexed="55"/>
      <name val="ＭＳ Ｐゴシック"/>
      <family val="3"/>
      <charset val="128"/>
    </font>
    <font>
      <sz val="6"/>
      <name val="ＭＳ Ｐゴシック"/>
      <family val="3"/>
      <charset val="128"/>
    </font>
    <font>
      <sz val="11"/>
      <color indexed="12"/>
      <name val="ＭＳ Ｐゴシック"/>
      <family val="3"/>
      <charset val="128"/>
    </font>
    <font>
      <sz val="9"/>
      <name val="ＭＳ Ｐゴシック"/>
      <family val="3"/>
      <charset val="128"/>
    </font>
    <font>
      <sz val="10"/>
      <name val="ＭＳ 明朝"/>
      <family val="1"/>
      <charset val="128"/>
    </font>
    <font>
      <sz val="12"/>
      <color indexed="9"/>
      <name val="ＭＳ Ｐゴシック"/>
      <family val="3"/>
      <charset val="128"/>
    </font>
    <font>
      <sz val="12"/>
      <color indexed="9"/>
      <name val="ＭＳ Ｐ明朝"/>
      <family val="1"/>
      <charset val="128"/>
    </font>
    <font>
      <sz val="10"/>
      <name val="ＭＳ Ｐゴシック"/>
      <family val="3"/>
      <charset val="128"/>
    </font>
    <font>
      <b/>
      <sz val="11"/>
      <name val="ＭＳ Ｐ明朝"/>
      <family val="1"/>
      <charset val="128"/>
    </font>
    <font>
      <b/>
      <sz val="9"/>
      <name val="ＭＳ Ｐ明朝"/>
      <family val="1"/>
      <charset val="128"/>
    </font>
    <font>
      <b/>
      <sz val="10"/>
      <name val="ＭＳ Ｐ明朝"/>
      <family val="1"/>
      <charset val="128"/>
    </font>
    <font>
      <sz val="9"/>
      <name val="ＭＳ Ｐ明朝"/>
      <family val="1"/>
      <charset val="128"/>
    </font>
    <font>
      <sz val="7"/>
      <name val="ＭＳ Ｐゴシック"/>
      <family val="3"/>
      <charset val="128"/>
    </font>
    <font>
      <sz val="6"/>
      <name val="ＭＳ Ｐ明朝"/>
      <family val="1"/>
      <charset val="128"/>
    </font>
    <font>
      <sz val="8"/>
      <name val="ＭＳ Ｐゴシック"/>
      <family val="3"/>
      <charset val="128"/>
    </font>
    <font>
      <b/>
      <sz val="8"/>
      <name val="ＭＳ Ｐ明朝"/>
      <family val="1"/>
      <charset val="128"/>
    </font>
    <font>
      <b/>
      <sz val="10"/>
      <name val="ＭＳ Ｐゴシック"/>
      <family val="3"/>
      <charset val="128"/>
    </font>
    <font>
      <b/>
      <sz val="9"/>
      <name val="ＭＳ Ｐゴシック"/>
      <family val="3"/>
      <charset val="128"/>
    </font>
    <font>
      <sz val="9"/>
      <name val="ＭＳ 明朝"/>
      <family val="1"/>
      <charset val="128"/>
    </font>
    <font>
      <sz val="11"/>
      <name val="ＭＳ Ｐ明朝"/>
      <family val="1"/>
      <charset val="128"/>
    </font>
    <font>
      <sz val="10"/>
      <name val="ＭＳ Ｐ明朝"/>
      <family val="1"/>
      <charset val="128"/>
    </font>
    <font>
      <b/>
      <sz val="7.5"/>
      <name val="ＭＳ Ｐ明朝"/>
      <family val="1"/>
      <charset val="128"/>
    </font>
    <font>
      <sz val="10"/>
      <name val="ＭＳ ゴシック"/>
      <family val="3"/>
      <charset val="128"/>
    </font>
    <font>
      <sz val="10"/>
      <color indexed="12"/>
      <name val="ＭＳ ゴシック"/>
      <family val="3"/>
      <charset val="128"/>
    </font>
    <font>
      <sz val="10"/>
      <color indexed="12"/>
      <name val="ＭＳ Ｐゴシック"/>
      <family val="3"/>
      <charset val="128"/>
    </font>
    <font>
      <sz val="9"/>
      <color indexed="12"/>
      <name val="ＭＳ Ｐゴシック"/>
      <family val="3"/>
      <charset val="128"/>
    </font>
    <font>
      <sz val="10"/>
      <color indexed="12"/>
      <name val="ＭＳ 明朝"/>
      <family val="1"/>
      <charset val="128"/>
    </font>
    <font>
      <sz val="10"/>
      <color indexed="12"/>
      <name val="ＭＳ Ｐ明朝"/>
      <family val="1"/>
      <charset val="128"/>
    </font>
    <font>
      <b/>
      <sz val="20"/>
      <color indexed="10"/>
      <name val="ＭＳ Ｐ明朝"/>
      <family val="1"/>
      <charset val="128"/>
    </font>
    <font>
      <b/>
      <sz val="16"/>
      <name val="ＭＳ Ｐ明朝"/>
      <family val="1"/>
      <charset val="128"/>
    </font>
    <font>
      <b/>
      <sz val="11"/>
      <name val="Times New Roman"/>
      <family val="1"/>
    </font>
    <font>
      <b/>
      <sz val="14"/>
      <name val="ＭＳ ゴシック"/>
      <family val="3"/>
      <charset val="128"/>
    </font>
    <font>
      <b/>
      <sz val="12"/>
      <name val="Times New Roman"/>
      <family val="1"/>
    </font>
    <font>
      <b/>
      <i/>
      <sz val="12"/>
      <name val="ＭＳ Ｐ明朝"/>
      <family val="1"/>
      <charset val="128"/>
    </font>
    <font>
      <b/>
      <i/>
      <sz val="11"/>
      <color indexed="10"/>
      <name val="ＭＳ Ｐ明朝"/>
      <family val="1"/>
      <charset val="128"/>
    </font>
    <font>
      <b/>
      <sz val="14"/>
      <name val="Times New Roman"/>
      <family val="1"/>
    </font>
    <font>
      <sz val="16"/>
      <color indexed="81"/>
      <name val="ＭＳ Ｐゴシック"/>
      <family val="3"/>
      <charset val="128"/>
    </font>
    <font>
      <b/>
      <sz val="11"/>
      <color indexed="10"/>
      <name val="ＭＳ Ｐゴシック"/>
      <family val="3"/>
      <charset val="128"/>
    </font>
    <font>
      <b/>
      <sz val="11"/>
      <color indexed="81"/>
      <name val="ＭＳ Ｐゴシック"/>
      <family val="3"/>
      <charset val="128"/>
    </font>
    <font>
      <sz val="10"/>
      <color indexed="81"/>
      <name val="ＭＳ Ｐゴシック"/>
      <family val="3"/>
      <charset val="128"/>
    </font>
    <font>
      <sz val="9"/>
      <color indexed="14"/>
      <name val="ＭＳ Ｐゴシック"/>
      <family val="3"/>
      <charset val="128"/>
    </font>
    <font>
      <b/>
      <sz val="9"/>
      <color indexed="81"/>
      <name val="ＭＳ ゴシック"/>
      <family val="3"/>
      <charset val="128"/>
    </font>
    <font>
      <sz val="10"/>
      <color indexed="81"/>
      <name val="ＭＳ ゴシック"/>
      <family val="3"/>
      <charset val="128"/>
    </font>
    <font>
      <sz val="10"/>
      <color indexed="10"/>
      <name val="ＭＳ Ｐゴシック"/>
      <family val="3"/>
      <charset val="128"/>
    </font>
    <font>
      <b/>
      <sz val="16"/>
      <color indexed="81"/>
      <name val="ＭＳ Ｐゴシック"/>
      <family val="3"/>
      <charset val="128"/>
    </font>
    <font>
      <b/>
      <sz val="9"/>
      <color indexed="81"/>
      <name val="ＭＳ Ｐゴシック"/>
      <family val="3"/>
      <charset val="128"/>
    </font>
    <font>
      <b/>
      <sz val="2"/>
      <color indexed="81"/>
      <name val="ＭＳ Ｐゴシック"/>
      <family val="3"/>
      <charset val="128"/>
    </font>
    <font>
      <sz val="10"/>
      <color indexed="14"/>
      <name val="ＭＳ Ｐゴシック"/>
      <family val="3"/>
      <charset val="128"/>
    </font>
    <font>
      <b/>
      <sz val="9"/>
      <color indexed="55"/>
      <name val="ＭＳ ゴシック"/>
      <family val="3"/>
      <charset val="128"/>
    </font>
    <font>
      <sz val="9"/>
      <color indexed="81"/>
      <name val="ＭＳ Ｐゴシック"/>
      <family val="3"/>
      <charset val="128"/>
    </font>
    <font>
      <b/>
      <sz val="14"/>
      <color indexed="81"/>
      <name val="ＭＳ Ｐゴシック"/>
      <family val="3"/>
      <charset val="128"/>
    </font>
    <font>
      <b/>
      <sz val="12"/>
      <color indexed="10"/>
      <name val="ＭＳ Ｐゴシック"/>
      <family val="3"/>
      <charset val="128"/>
    </font>
    <font>
      <b/>
      <sz val="10"/>
      <color indexed="81"/>
      <name val="ＭＳ Ｐ明朝"/>
      <family val="1"/>
      <charset val="128"/>
    </font>
    <font>
      <b/>
      <sz val="10"/>
      <color indexed="12"/>
      <name val="ＭＳ Ｐ明朝"/>
      <family val="1"/>
      <charset val="128"/>
    </font>
    <font>
      <b/>
      <sz val="14"/>
      <color indexed="12"/>
      <name val="ＭＳ Ｐ明朝"/>
      <family val="1"/>
      <charset val="128"/>
    </font>
    <font>
      <sz val="14"/>
      <color indexed="81"/>
      <name val="ＭＳ Ｐゴシック"/>
      <family val="3"/>
      <charset val="128"/>
    </font>
    <font>
      <b/>
      <sz val="14"/>
      <color indexed="10"/>
      <name val="ＭＳ Ｐゴシック"/>
      <family val="3"/>
      <charset val="128"/>
    </font>
    <font>
      <b/>
      <sz val="10"/>
      <color indexed="12"/>
      <name val="ＭＳ Ｐゴシック"/>
      <family val="3"/>
      <charset val="128"/>
    </font>
    <font>
      <b/>
      <sz val="10"/>
      <color indexed="10"/>
      <name val="ＭＳ Ｐゴシック"/>
      <family val="3"/>
      <charset val="128"/>
    </font>
    <font>
      <sz val="16"/>
      <color indexed="8"/>
      <name val="ＭＳ Ｐゴシック"/>
      <family val="3"/>
      <charset val="128"/>
    </font>
    <font>
      <b/>
      <sz val="11"/>
      <color indexed="8"/>
      <name val="ＭＳ Ｐゴシック"/>
      <family val="3"/>
      <charset val="128"/>
    </font>
    <font>
      <sz val="10"/>
      <color indexed="8"/>
      <name val="ＭＳ ゴシック"/>
      <family val="3"/>
      <charset val="128"/>
    </font>
    <font>
      <b/>
      <sz val="16"/>
      <color indexed="12"/>
      <name val="ＭＳ Ｐゴシック"/>
      <family val="3"/>
      <charset val="128"/>
    </font>
    <font>
      <b/>
      <sz val="10"/>
      <color indexed="81"/>
      <name val="ＭＳ Ｐゴシック"/>
      <family val="3"/>
      <charset val="128"/>
    </font>
    <font>
      <b/>
      <sz val="11"/>
      <color indexed="12"/>
      <name val="ＭＳ Ｐゴシック"/>
      <family val="3"/>
      <charset val="128"/>
    </font>
    <font>
      <sz val="16"/>
      <color indexed="10"/>
      <name val="ＭＳ Ｐゴシック"/>
      <family val="3"/>
      <charset val="128"/>
    </font>
    <font>
      <b/>
      <sz val="10"/>
      <color indexed="14"/>
      <name val="ＭＳ Ｐ明朝"/>
      <family val="1"/>
      <charset val="128"/>
    </font>
    <font>
      <b/>
      <sz val="10"/>
      <color indexed="10"/>
      <name val="ＭＳ Ｐ明朝"/>
      <family val="1"/>
      <charset val="128"/>
    </font>
    <font>
      <b/>
      <sz val="11"/>
      <color indexed="12"/>
      <name val="ＭＳ Ｐ明朝"/>
      <family val="1"/>
      <charset val="128"/>
    </font>
    <font>
      <b/>
      <sz val="12"/>
      <color indexed="12"/>
      <name val="ＭＳ Ｐ明朝"/>
      <family val="1"/>
      <charset val="128"/>
    </font>
    <font>
      <b/>
      <sz val="16"/>
      <color indexed="12"/>
      <name val="ＭＳ Ｐ明朝"/>
      <family val="1"/>
      <charset val="128"/>
    </font>
    <font>
      <sz val="18"/>
      <color indexed="81"/>
      <name val="ＭＳ Ｐゴシック"/>
      <family val="3"/>
      <charset val="128"/>
    </font>
    <font>
      <sz val="11"/>
      <color indexed="81"/>
      <name val="ＭＳ Ｐゴシック"/>
      <family val="3"/>
      <charset val="128"/>
    </font>
    <font>
      <sz val="9"/>
      <color indexed="81"/>
      <name val="ＭＳ Ｐ明朝"/>
      <family val="1"/>
      <charset val="128"/>
    </font>
    <font>
      <b/>
      <sz val="16"/>
      <color indexed="10"/>
      <name val="ＭＳ Ｐゴシック"/>
      <family val="3"/>
      <charset val="128"/>
    </font>
    <font>
      <b/>
      <sz val="20"/>
      <color indexed="12"/>
      <name val="ＭＳ 明朝"/>
      <family val="1"/>
      <charset val="128"/>
    </font>
    <font>
      <b/>
      <sz val="16"/>
      <color indexed="12"/>
      <name val="Times New Roman"/>
      <family val="1"/>
    </font>
    <font>
      <b/>
      <sz val="16"/>
      <color indexed="12"/>
      <name val="ＭＳ 明朝"/>
      <family val="1"/>
      <charset val="128"/>
    </font>
    <font>
      <sz val="11"/>
      <color indexed="81"/>
      <name val="ＭＳ Ｐ明朝"/>
      <family val="1"/>
      <charset val="128"/>
    </font>
    <font>
      <b/>
      <sz val="11"/>
      <color indexed="81"/>
      <name val="ＭＳ Ｐ明朝"/>
      <family val="1"/>
      <charset val="128"/>
    </font>
    <font>
      <sz val="16"/>
      <color indexed="47"/>
      <name val="ＭＳ Ｐゴシック"/>
      <family val="3"/>
      <charset val="128"/>
    </font>
    <font>
      <sz val="16"/>
      <color indexed="26"/>
      <name val="ＭＳ Ｐゴシック"/>
      <family val="3"/>
      <charset val="128"/>
    </font>
    <font>
      <sz val="11"/>
      <color indexed="43"/>
      <name val="ＭＳ Ｐゴシック"/>
      <family val="3"/>
      <charset val="128"/>
    </font>
    <font>
      <sz val="16"/>
      <color indexed="43"/>
      <name val="ＭＳ Ｐゴシック"/>
      <family val="3"/>
      <charset val="128"/>
    </font>
    <font>
      <sz val="16"/>
      <color indexed="9"/>
      <name val="ＭＳ Ｐゴシック"/>
      <family val="3"/>
      <charset val="128"/>
    </font>
    <font>
      <b/>
      <sz val="11"/>
      <name val="ＭＳ Ｐゴシック"/>
      <family val="3"/>
      <charset val="128"/>
    </font>
    <font>
      <b/>
      <sz val="10"/>
      <color indexed="14"/>
      <name val="ＭＳ Ｐゴシック"/>
      <family val="3"/>
      <charset val="128"/>
    </font>
    <font>
      <b/>
      <sz val="9"/>
      <color indexed="14"/>
      <name val="ＭＳ Ｐゴシック"/>
      <family val="3"/>
      <charset val="128"/>
    </font>
    <font>
      <b/>
      <sz val="14"/>
      <color indexed="81"/>
      <name val="ＭＳ Ｐ明朝"/>
      <family val="1"/>
      <charset val="128"/>
    </font>
    <font>
      <sz val="10"/>
      <color indexed="81"/>
      <name val="ＭＳ Ｐ明朝"/>
      <family val="1"/>
      <charset val="128"/>
    </font>
    <font>
      <b/>
      <sz val="9"/>
      <color indexed="81"/>
      <name val="ＭＳ Ｐ明朝"/>
      <family val="1"/>
      <charset val="128"/>
    </font>
    <font>
      <b/>
      <sz val="10"/>
      <color indexed="81"/>
      <name val="ＭＳ ゴシック"/>
      <family val="3"/>
      <charset val="128"/>
    </font>
    <font>
      <b/>
      <sz val="8"/>
      <color indexed="12"/>
      <name val="ＭＳ Ｐ明朝"/>
      <family val="1"/>
      <charset val="128"/>
    </font>
    <font>
      <b/>
      <sz val="14"/>
      <color indexed="10"/>
      <name val="Times New Roman"/>
      <family val="1"/>
    </font>
    <font>
      <b/>
      <sz val="11"/>
      <color indexed="10"/>
      <name val="ＭＳ Ｐ明朝"/>
      <family val="1"/>
      <charset val="128"/>
    </font>
    <font>
      <sz val="12"/>
      <name val="ＭＳ Ｐゴシック"/>
      <family val="3"/>
      <charset val="128"/>
    </font>
    <font>
      <b/>
      <sz val="16"/>
      <color indexed="10"/>
      <name val="ＭＳ Ｐ明朝"/>
      <family val="1"/>
      <charset val="128"/>
    </font>
    <font>
      <sz val="11"/>
      <color indexed="81"/>
      <name val="ＭＳ 明朝"/>
      <family val="1"/>
      <charset val="128"/>
    </font>
    <font>
      <b/>
      <sz val="12"/>
      <color indexed="53"/>
      <name val="ＭＳ Ｐ明朝"/>
      <family val="1"/>
      <charset val="128"/>
    </font>
    <font>
      <sz val="16"/>
      <color indexed="12"/>
      <name val="ＭＳ 明朝"/>
      <family val="1"/>
      <charset val="128"/>
    </font>
    <font>
      <b/>
      <sz val="14"/>
      <color indexed="53"/>
      <name val="ＭＳ Ｐ明朝"/>
      <family val="1"/>
      <charset val="128"/>
    </font>
    <font>
      <b/>
      <sz val="9"/>
      <name val="ＭＳ 明朝"/>
      <family val="1"/>
      <charset val="128"/>
    </font>
    <font>
      <sz val="1"/>
      <color indexed="55"/>
      <name val="ＭＳ Ｐゴシック"/>
      <family val="3"/>
      <charset val="128"/>
    </font>
    <font>
      <sz val="14"/>
      <name val="ＭＳ Ｐゴシック"/>
      <family val="3"/>
      <charset val="128"/>
    </font>
    <font>
      <sz val="12"/>
      <color indexed="12"/>
      <name val="ＭＳ Ｐゴシック"/>
      <family val="3"/>
      <charset val="128"/>
    </font>
    <font>
      <sz val="14"/>
      <color indexed="10"/>
      <name val="ＭＳ Ｐゴシック"/>
      <family val="3"/>
      <charset val="128"/>
    </font>
    <font>
      <sz val="22"/>
      <name val="ＤＨＰ特太ゴシック体"/>
      <family val="3"/>
      <charset val="128"/>
    </font>
    <font>
      <sz val="22"/>
      <name val="ＭＳ Ｐゴシック"/>
      <family val="3"/>
      <charset val="128"/>
    </font>
    <font>
      <b/>
      <sz val="20"/>
      <color indexed="81"/>
      <name val="ＭＳ Ｐゴシック"/>
      <family val="3"/>
      <charset val="128"/>
    </font>
    <font>
      <b/>
      <sz val="11"/>
      <color indexed="81"/>
      <name val="ＭＳ 明朝"/>
      <family val="1"/>
      <charset val="128"/>
    </font>
    <font>
      <sz val="16"/>
      <color indexed="81"/>
      <name val="ＭＳ 明朝"/>
      <family val="1"/>
      <charset val="128"/>
    </font>
    <font>
      <sz val="11"/>
      <color indexed="10"/>
      <name val="ＭＳ Ｐゴシック"/>
      <family val="3"/>
      <charset val="128"/>
    </font>
  </fonts>
  <fills count="9">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indexed="26"/>
        <bgColor indexed="64"/>
      </patternFill>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indexed="11"/>
        <bgColor indexed="64"/>
      </patternFill>
    </fill>
  </fills>
  <borders count="90">
    <border>
      <left/>
      <right/>
      <top/>
      <bottom/>
      <diagonal/>
    </border>
    <border>
      <left/>
      <right/>
      <top/>
      <bottom style="medium">
        <color indexed="64"/>
      </bottom>
      <diagonal/>
    </border>
    <border>
      <left style="thin">
        <color indexed="64"/>
      </left>
      <right style="thin">
        <color indexed="64"/>
      </right>
      <top style="medium">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style="hair">
        <color indexed="64"/>
      </left>
      <right style="thin">
        <color indexed="64"/>
      </right>
      <top style="hair">
        <color indexed="64"/>
      </top>
      <bottom/>
      <diagonal/>
    </border>
    <border>
      <left style="thin">
        <color indexed="64"/>
      </left>
      <right style="medium">
        <color indexed="64"/>
      </right>
      <top/>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top/>
      <bottom/>
      <diagonal/>
    </border>
    <border>
      <left style="hair">
        <color indexed="64"/>
      </left>
      <right style="thin">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bottom/>
      <diagonal/>
    </border>
    <border>
      <left/>
      <right/>
      <top/>
      <bottom style="hair">
        <color indexed="64"/>
      </bottom>
      <diagonal/>
    </border>
    <border>
      <left style="thin">
        <color indexed="64"/>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right/>
      <top style="thin">
        <color indexed="64"/>
      </top>
      <bottom/>
      <diagonal/>
    </border>
    <border>
      <left style="medium">
        <color indexed="64"/>
      </left>
      <right style="hair">
        <color indexed="64"/>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s>
  <cellStyleXfs count="6">
    <xf numFmtId="0" fontId="0" fillId="0" borderId="0"/>
    <xf numFmtId="0" fontId="2"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cellStyleXfs>
  <cellXfs count="420">
    <xf numFmtId="0" fontId="0" fillId="0" borderId="0" xfId="0"/>
    <xf numFmtId="0" fontId="0" fillId="2" borderId="0" xfId="0" applyFill="1"/>
    <xf numFmtId="182" fontId="0" fillId="2" borderId="0" xfId="0" applyNumberFormat="1" applyFill="1"/>
    <xf numFmtId="0" fontId="0" fillId="2" borderId="0" xfId="0" applyFill="1" applyProtection="1">
      <protection hidden="1"/>
    </xf>
    <xf numFmtId="0" fontId="4" fillId="2" borderId="0" xfId="0" applyFont="1" applyFill="1"/>
    <xf numFmtId="188" fontId="0" fillId="2" borderId="0" xfId="0" applyNumberFormat="1" applyFill="1"/>
    <xf numFmtId="182" fontId="0" fillId="2" borderId="0" xfId="0" applyNumberFormat="1" applyFill="1" applyProtection="1">
      <protection hidden="1"/>
    </xf>
    <xf numFmtId="0" fontId="3" fillId="2" borderId="0" xfId="0" applyFont="1" applyFill="1" applyBorder="1" applyAlignment="1" applyProtection="1">
      <alignment horizontal="left" vertical="center"/>
      <protection hidden="1"/>
    </xf>
    <xf numFmtId="0" fontId="6" fillId="2" borderId="0" xfId="0" applyFont="1" applyFill="1"/>
    <xf numFmtId="0" fontId="2" fillId="2" borderId="0" xfId="1" applyFont="1" applyFill="1" applyAlignment="1" applyProtection="1"/>
    <xf numFmtId="0" fontId="1" fillId="2" borderId="0" xfId="0" applyFont="1" applyFill="1" applyBorder="1" applyAlignment="1" applyProtection="1">
      <alignment horizontal="center" vertical="center"/>
      <protection hidden="1"/>
    </xf>
    <xf numFmtId="180" fontId="0" fillId="2" borderId="0" xfId="0" applyNumberFormat="1" applyFill="1"/>
    <xf numFmtId="0" fontId="7" fillId="2" borderId="0" xfId="0" applyFont="1" applyFill="1"/>
    <xf numFmtId="176" fontId="8" fillId="2" borderId="0" xfId="0" applyNumberFormat="1" applyFont="1" applyFill="1" applyBorder="1" applyAlignment="1" applyProtection="1">
      <protection hidden="1"/>
    </xf>
    <xf numFmtId="182" fontId="8" fillId="2" borderId="0" xfId="0" applyNumberFormat="1" applyFont="1" applyFill="1" applyBorder="1" applyAlignment="1" applyProtection="1">
      <alignment horizontal="right"/>
      <protection hidden="1"/>
    </xf>
    <xf numFmtId="176" fontId="8" fillId="2" borderId="0" xfId="0" applyNumberFormat="1" applyFont="1" applyFill="1" applyBorder="1" applyAlignment="1" applyProtection="1">
      <alignment wrapText="1"/>
      <protection hidden="1"/>
    </xf>
    <xf numFmtId="0" fontId="0" fillId="2" borderId="0" xfId="0" applyFill="1" applyAlignment="1">
      <alignment wrapText="1"/>
    </xf>
    <xf numFmtId="0" fontId="8" fillId="2" borderId="0" xfId="0" applyNumberFormat="1" applyFont="1" applyFill="1" applyBorder="1" applyProtection="1">
      <protection locked="0"/>
    </xf>
    <xf numFmtId="181" fontId="0" fillId="2" borderId="0" xfId="0" applyNumberFormat="1" applyFill="1"/>
    <xf numFmtId="0" fontId="0" fillId="2" borderId="0" xfId="0" applyFill="1" applyBorder="1" applyProtection="1">
      <protection hidden="1"/>
    </xf>
    <xf numFmtId="0" fontId="9" fillId="2" borderId="0" xfId="0" applyFont="1" applyFill="1" applyAlignment="1">
      <alignment horizontal="center"/>
    </xf>
    <xf numFmtId="0" fontId="10" fillId="2" borderId="0" xfId="0" applyFont="1" applyFill="1" applyAlignment="1">
      <alignment horizontal="center"/>
    </xf>
    <xf numFmtId="0" fontId="9" fillId="2" borderId="0" xfId="0" applyFont="1" applyFill="1" applyAlignment="1">
      <alignment horizontal="left"/>
    </xf>
    <xf numFmtId="0" fontId="1" fillId="2" borderId="0" xfId="0" applyFont="1" applyFill="1"/>
    <xf numFmtId="0" fontId="0" fillId="3" borderId="1" xfId="0" applyFill="1" applyBorder="1" applyAlignment="1">
      <alignment horizontal="center"/>
    </xf>
    <xf numFmtId="0" fontId="0" fillId="3" borderId="0" xfId="0" applyFill="1" applyBorder="1" applyAlignment="1">
      <alignment horizontal="center"/>
    </xf>
    <xf numFmtId="49" fontId="11" fillId="4" borderId="0" xfId="0" applyNumberFormat="1" applyFont="1" applyFill="1" applyBorder="1" applyAlignment="1" applyProtection="1">
      <alignment horizontal="right" vertical="center"/>
      <protection locked="0"/>
    </xf>
    <xf numFmtId="0" fontId="13" fillId="3" borderId="2" xfId="0" applyNumberFormat="1" applyFont="1" applyFill="1" applyBorder="1" applyAlignment="1" applyProtection="1">
      <alignment horizontal="center" vertical="center" shrinkToFit="1"/>
      <protection hidden="1"/>
    </xf>
    <xf numFmtId="0" fontId="1" fillId="2" borderId="0" xfId="0" applyFont="1" applyFill="1" applyProtection="1">
      <protection hidden="1"/>
    </xf>
    <xf numFmtId="0" fontId="13" fillId="3" borderId="3" xfId="0" applyFont="1" applyFill="1" applyBorder="1" applyAlignment="1" applyProtection="1">
      <alignment horizontal="center" vertical="center" shrinkToFit="1"/>
      <protection hidden="1"/>
    </xf>
    <xf numFmtId="185" fontId="13" fillId="3" borderId="4" xfId="0" applyNumberFormat="1" applyFont="1" applyFill="1" applyBorder="1" applyAlignment="1" applyProtection="1">
      <alignment horizontal="right" vertical="center" shrinkToFit="1"/>
      <protection hidden="1"/>
    </xf>
    <xf numFmtId="185" fontId="21" fillId="3" borderId="5" xfId="0" applyNumberFormat="1" applyFont="1" applyFill="1" applyBorder="1" applyAlignment="1" applyProtection="1">
      <alignment horizontal="center" vertical="center" shrinkToFit="1"/>
      <protection hidden="1"/>
    </xf>
    <xf numFmtId="0" fontId="1" fillId="3" borderId="6" xfId="0" applyFont="1" applyFill="1" applyBorder="1" applyAlignment="1" applyProtection="1">
      <alignment horizontal="center" vertical="center"/>
      <protection hidden="1"/>
    </xf>
    <xf numFmtId="0" fontId="24" fillId="3" borderId="3" xfId="0" applyFont="1" applyFill="1" applyBorder="1" applyAlignment="1" applyProtection="1">
      <alignment horizontal="center" vertical="center" shrinkToFit="1"/>
      <protection hidden="1"/>
    </xf>
    <xf numFmtId="0" fontId="11" fillId="3" borderId="7" xfId="0" applyFont="1" applyFill="1" applyBorder="1" applyAlignment="1" applyProtection="1">
      <alignment horizontal="center" vertical="center" shrinkToFit="1"/>
      <protection hidden="1"/>
    </xf>
    <xf numFmtId="0" fontId="13" fillId="3" borderId="8" xfId="0" applyFont="1" applyFill="1" applyBorder="1" applyAlignment="1" applyProtection="1">
      <alignment horizontal="center" shrinkToFit="1"/>
      <protection hidden="1"/>
    </xf>
    <xf numFmtId="0" fontId="14" fillId="3" borderId="3" xfId="0" applyFont="1" applyFill="1" applyBorder="1" applyAlignment="1" applyProtection="1">
      <alignment horizontal="center" shrinkToFit="1"/>
      <protection hidden="1"/>
    </xf>
    <xf numFmtId="0" fontId="13" fillId="3" borderId="9" xfId="0" applyFont="1" applyFill="1" applyBorder="1" applyAlignment="1" applyProtection="1">
      <alignment horizontal="center" shrinkToFit="1"/>
      <protection hidden="1"/>
    </xf>
    <xf numFmtId="185" fontId="13" fillId="3" borderId="10" xfId="0" applyNumberFormat="1" applyFont="1" applyFill="1" applyBorder="1" applyAlignment="1" applyProtection="1">
      <alignment horizontal="right" vertical="center" shrinkToFit="1"/>
      <protection hidden="1"/>
    </xf>
    <xf numFmtId="185" fontId="21" fillId="3" borderId="5" xfId="0" applyNumberFormat="1" applyFont="1" applyFill="1" applyBorder="1" applyAlignment="1" applyProtection="1">
      <alignment horizontal="center" shrinkToFit="1"/>
      <protection hidden="1"/>
    </xf>
    <xf numFmtId="49" fontId="12" fillId="5" borderId="11" xfId="0" applyNumberFormat="1" applyFont="1" applyFill="1" applyBorder="1" applyAlignment="1" applyProtection="1">
      <alignment horizontal="center" vertical="center" shrinkToFit="1"/>
      <protection hidden="1"/>
    </xf>
    <xf numFmtId="0" fontId="8" fillId="3" borderId="3" xfId="0" applyFont="1" applyFill="1" applyBorder="1" applyAlignment="1" applyProtection="1">
      <alignment horizontal="center" vertical="center" shrinkToFit="1"/>
      <protection hidden="1"/>
    </xf>
    <xf numFmtId="0" fontId="11" fillId="3" borderId="12" xfId="0" applyFont="1" applyFill="1" applyBorder="1" applyAlignment="1" applyProtection="1">
      <alignment horizontal="center" vertical="center" shrinkToFit="1"/>
      <protection hidden="1"/>
    </xf>
    <xf numFmtId="0" fontId="15" fillId="3" borderId="13" xfId="0" applyFont="1" applyFill="1" applyBorder="1" applyAlignment="1" applyProtection="1">
      <alignment horizontal="center" vertical="top" shrinkToFit="1"/>
      <protection hidden="1"/>
    </xf>
    <xf numFmtId="0" fontId="13" fillId="3" borderId="14" xfId="0" applyFont="1" applyFill="1" applyBorder="1" applyAlignment="1" applyProtection="1">
      <alignment horizontal="center" vertical="top" shrinkToFit="1"/>
      <protection hidden="1"/>
    </xf>
    <xf numFmtId="0" fontId="13" fillId="3" borderId="15" xfId="0" applyFont="1" applyFill="1" applyBorder="1" applyAlignment="1" applyProtection="1">
      <alignment horizontal="center" vertical="top" shrinkToFit="1"/>
      <protection hidden="1"/>
    </xf>
    <xf numFmtId="0" fontId="13" fillId="3" borderId="16" xfId="0" applyFont="1" applyFill="1" applyBorder="1" applyAlignment="1" applyProtection="1">
      <alignment horizontal="center" vertical="top" shrinkToFit="1"/>
      <protection hidden="1"/>
    </xf>
    <xf numFmtId="185" fontId="15" fillId="3" borderId="13" xfId="0" applyNumberFormat="1" applyFont="1" applyFill="1" applyBorder="1" applyAlignment="1" applyProtection="1">
      <alignment horizontal="center" vertical="top" shrinkToFit="1"/>
      <protection hidden="1"/>
    </xf>
    <xf numFmtId="0" fontId="24" fillId="3" borderId="17" xfId="0" applyFont="1" applyFill="1" applyBorder="1" applyAlignment="1" applyProtection="1">
      <alignment horizontal="center" vertical="center"/>
      <protection hidden="1"/>
    </xf>
    <xf numFmtId="0" fontId="24" fillId="3" borderId="18" xfId="0" applyFont="1" applyFill="1" applyBorder="1" applyAlignment="1" applyProtection="1">
      <alignment horizontal="center" vertical="center" shrinkToFit="1"/>
      <protection hidden="1"/>
    </xf>
    <xf numFmtId="0" fontId="14" fillId="3" borderId="18" xfId="0" applyFont="1" applyFill="1" applyBorder="1" applyAlignment="1" applyProtection="1">
      <alignment horizontal="center" vertical="top"/>
      <protection hidden="1"/>
    </xf>
    <xf numFmtId="0" fontId="15" fillId="3" borderId="19" xfId="0" applyFont="1" applyFill="1" applyBorder="1" applyAlignment="1" applyProtection="1">
      <alignment horizontal="center" vertical="center"/>
      <protection hidden="1"/>
    </xf>
    <xf numFmtId="0" fontId="14" fillId="3" borderId="19" xfId="0" applyFont="1" applyFill="1" applyBorder="1" applyAlignment="1" applyProtection="1">
      <alignment horizontal="center" vertical="center" shrinkToFit="1"/>
      <protection hidden="1"/>
    </xf>
    <xf numFmtId="0" fontId="24" fillId="3" borderId="18" xfId="0" applyFont="1" applyFill="1" applyBorder="1" applyAlignment="1" applyProtection="1">
      <alignment horizontal="center" vertical="center"/>
      <protection hidden="1"/>
    </xf>
    <xf numFmtId="0" fontId="11" fillId="3" borderId="20" xfId="0" applyFont="1" applyFill="1" applyBorder="1" applyAlignment="1" applyProtection="1">
      <alignment horizontal="center" vertical="center" shrinkToFit="1"/>
      <protection hidden="1"/>
    </xf>
    <xf numFmtId="0" fontId="24" fillId="3" borderId="21" xfId="0" applyFont="1" applyFill="1" applyBorder="1" applyAlignment="1" applyProtection="1">
      <alignment horizontal="center" vertical="center" shrinkToFit="1"/>
      <protection hidden="1"/>
    </xf>
    <xf numFmtId="185" fontId="13" fillId="3" borderId="22" xfId="0" applyNumberFormat="1" applyFont="1" applyFill="1" applyBorder="1" applyAlignment="1" applyProtection="1">
      <alignment horizontal="right" vertical="center" shrinkToFit="1"/>
      <protection hidden="1"/>
    </xf>
    <xf numFmtId="0" fontId="13" fillId="3" borderId="18" xfId="0" applyFont="1" applyFill="1" applyBorder="1" applyAlignment="1" applyProtection="1">
      <alignment horizontal="center" vertical="center" shrinkToFit="1"/>
      <protection hidden="1"/>
    </xf>
    <xf numFmtId="0" fontId="13" fillId="3" borderId="17" xfId="0" applyFont="1" applyFill="1" applyBorder="1" applyAlignment="1" applyProtection="1">
      <alignment horizontal="center" vertical="center" shrinkToFit="1"/>
      <protection hidden="1"/>
    </xf>
    <xf numFmtId="0" fontId="1" fillId="3" borderId="23" xfId="0" applyFont="1" applyFill="1" applyBorder="1" applyAlignment="1" applyProtection="1">
      <alignment horizontal="center" vertical="center" wrapText="1"/>
      <protection hidden="1"/>
    </xf>
    <xf numFmtId="0" fontId="1" fillId="3" borderId="24" xfId="0" applyFont="1" applyFill="1" applyBorder="1" applyAlignment="1" applyProtection="1">
      <alignment horizontal="center" vertical="center" wrapText="1"/>
      <protection hidden="1"/>
    </xf>
    <xf numFmtId="185" fontId="11" fillId="3" borderId="24" xfId="0" applyNumberFormat="1" applyFont="1" applyFill="1" applyBorder="1" applyAlignment="1" applyProtection="1">
      <alignment horizontal="center" vertical="center" shrinkToFit="1"/>
      <protection hidden="1"/>
    </xf>
    <xf numFmtId="185" fontId="11" fillId="3" borderId="0" xfId="0" applyNumberFormat="1" applyFont="1" applyFill="1" applyBorder="1" applyAlignment="1" applyProtection="1">
      <alignment horizontal="center" vertical="center" shrinkToFit="1"/>
      <protection hidden="1"/>
    </xf>
    <xf numFmtId="185" fontId="11" fillId="3" borderId="25" xfId="0" applyNumberFormat="1" applyFont="1" applyFill="1" applyBorder="1" applyAlignment="1" applyProtection="1">
      <alignment horizontal="center" vertical="center" shrinkToFit="1"/>
      <protection hidden="1"/>
    </xf>
    <xf numFmtId="0" fontId="24" fillId="3" borderId="26" xfId="0" applyFont="1" applyFill="1" applyBorder="1" applyAlignment="1" applyProtection="1">
      <alignment horizontal="right" vertical="center" shrinkToFit="1"/>
      <protection hidden="1"/>
    </xf>
    <xf numFmtId="0" fontId="24" fillId="3" borderId="16" xfId="0" applyFont="1" applyFill="1" applyBorder="1" applyAlignment="1" applyProtection="1">
      <alignment horizontal="center" vertical="center" shrinkToFit="1"/>
      <protection hidden="1"/>
    </xf>
    <xf numFmtId="0" fontId="11" fillId="3" borderId="27" xfId="0" applyFont="1" applyFill="1" applyBorder="1" applyAlignment="1" applyProtection="1">
      <alignment horizontal="center" vertical="center"/>
      <protection hidden="1"/>
    </xf>
    <xf numFmtId="0" fontId="15" fillId="3" borderId="16" xfId="0" applyFont="1" applyFill="1" applyBorder="1" applyAlignment="1" applyProtection="1">
      <alignment horizontal="center" vertical="center" shrinkToFit="1"/>
      <protection hidden="1"/>
    </xf>
    <xf numFmtId="0" fontId="24" fillId="3" borderId="15" xfId="0" applyFont="1" applyFill="1" applyBorder="1" applyAlignment="1" applyProtection="1">
      <alignment horizontal="center" vertical="center" shrinkToFit="1"/>
      <protection hidden="1"/>
    </xf>
    <xf numFmtId="0" fontId="14" fillId="3" borderId="15" xfId="0" applyFont="1" applyFill="1" applyBorder="1" applyAlignment="1" applyProtection="1">
      <alignment horizontal="center" vertical="top"/>
      <protection hidden="1"/>
    </xf>
    <xf numFmtId="0" fontId="24" fillId="3" borderId="24" xfId="0" applyFont="1" applyFill="1" applyBorder="1" applyAlignment="1" applyProtection="1">
      <alignment horizontal="center" vertical="center"/>
      <protection hidden="1"/>
    </xf>
    <xf numFmtId="0" fontId="14" fillId="3" borderId="24" xfId="0" applyFont="1" applyFill="1" applyBorder="1" applyAlignment="1" applyProtection="1">
      <alignment horizontal="center" vertical="center" shrinkToFit="1"/>
      <protection hidden="1"/>
    </xf>
    <xf numFmtId="0" fontId="24" fillId="3" borderId="16" xfId="0" applyFont="1" applyFill="1" applyBorder="1" applyAlignment="1" applyProtection="1">
      <alignment horizontal="center" vertical="center"/>
      <protection hidden="1"/>
    </xf>
    <xf numFmtId="0" fontId="11" fillId="3" borderId="16" xfId="0" applyFont="1" applyFill="1" applyBorder="1" applyAlignment="1" applyProtection="1">
      <alignment horizontal="center" vertical="center" shrinkToFit="1"/>
      <protection hidden="1"/>
    </xf>
    <xf numFmtId="0" fontId="24" fillId="3" borderId="27" xfId="0" applyFont="1" applyFill="1" applyBorder="1" applyAlignment="1" applyProtection="1">
      <alignment horizontal="center" vertical="center" shrinkToFit="1"/>
      <protection hidden="1"/>
    </xf>
    <xf numFmtId="0" fontId="20" fillId="3" borderId="26" xfId="0" applyFont="1" applyFill="1" applyBorder="1" applyAlignment="1" applyProtection="1">
      <alignment horizontal="center" vertical="center"/>
      <protection hidden="1"/>
    </xf>
    <xf numFmtId="0" fontId="24" fillId="3" borderId="0" xfId="0" applyFont="1" applyFill="1" applyBorder="1" applyAlignment="1" applyProtection="1">
      <alignment horizontal="center" vertical="center"/>
      <protection hidden="1"/>
    </xf>
    <xf numFmtId="0" fontId="20" fillId="3" borderId="0" xfId="0" applyFont="1" applyFill="1" applyBorder="1" applyAlignment="1" applyProtection="1">
      <alignment horizontal="center" vertical="center"/>
      <protection hidden="1"/>
    </xf>
    <xf numFmtId="0" fontId="11" fillId="3" borderId="0" xfId="0" applyFont="1" applyFill="1" applyBorder="1" applyAlignment="1" applyProtection="1">
      <alignment horizontal="center" vertical="center"/>
      <protection hidden="1"/>
    </xf>
    <xf numFmtId="0" fontId="11" fillId="3" borderId="25" xfId="0" applyFont="1" applyFill="1" applyBorder="1" applyAlignment="1" applyProtection="1">
      <alignment horizontal="center" vertical="center"/>
      <protection hidden="1"/>
    </xf>
    <xf numFmtId="0" fontId="24" fillId="3" borderId="26" xfId="0" applyFont="1" applyFill="1" applyBorder="1" applyAlignment="1" applyProtection="1">
      <alignment horizontal="center" vertical="center" shrinkToFit="1"/>
      <protection hidden="1"/>
    </xf>
    <xf numFmtId="185" fontId="11" fillId="3" borderId="27" xfId="0" applyNumberFormat="1" applyFont="1" applyFill="1" applyBorder="1" applyAlignment="1" applyProtection="1">
      <alignment horizontal="center" vertical="center" wrapText="1"/>
      <protection hidden="1"/>
    </xf>
    <xf numFmtId="0" fontId="13" fillId="3" borderId="0" xfId="0" quotePrefix="1" applyFont="1" applyFill="1" applyBorder="1" applyAlignment="1" applyProtection="1">
      <alignment horizontal="center" vertical="center" shrinkToFit="1"/>
      <protection hidden="1"/>
    </xf>
    <xf numFmtId="0" fontId="13" fillId="3" borderId="25" xfId="0" quotePrefix="1" applyFont="1" applyFill="1" applyBorder="1" applyAlignment="1" applyProtection="1">
      <alignment horizontal="center" vertical="center" shrinkToFit="1"/>
      <protection hidden="1"/>
    </xf>
    <xf numFmtId="49" fontId="24" fillId="3" borderId="11" xfId="0" applyNumberFormat="1" applyFont="1" applyFill="1" applyBorder="1" applyAlignment="1" applyProtection="1">
      <alignment horizontal="left" vertical="center" shrinkToFit="1"/>
      <protection locked="0"/>
    </xf>
    <xf numFmtId="0" fontId="0" fillId="2" borderId="0" xfId="0" applyFill="1" applyAlignment="1"/>
    <xf numFmtId="181" fontId="11" fillId="4" borderId="28" xfId="0" applyNumberFormat="1" applyFont="1" applyFill="1" applyBorder="1" applyAlignment="1" applyProtection="1">
      <alignment horizontal="right" vertical="center" shrinkToFit="1"/>
      <protection locked="0"/>
    </xf>
    <xf numFmtId="190" fontId="11" fillId="4" borderId="28" xfId="0" applyNumberFormat="1" applyFont="1" applyFill="1" applyBorder="1" applyAlignment="1" applyProtection="1">
      <alignment horizontal="right" vertical="center" shrinkToFit="1"/>
      <protection locked="0"/>
    </xf>
    <xf numFmtId="182" fontId="28" fillId="3" borderId="29" xfId="0" applyNumberFormat="1" applyFont="1" applyFill="1" applyBorder="1" applyAlignment="1" applyProtection="1">
      <alignment horizontal="right" vertical="center" shrinkToFit="1"/>
      <protection hidden="1"/>
    </xf>
    <xf numFmtId="188" fontId="26" fillId="4" borderId="27" xfId="0" applyNumberFormat="1" applyFont="1" applyFill="1" applyBorder="1" applyAlignment="1" applyProtection="1">
      <alignment horizontal="center" vertical="center" shrinkToFit="1"/>
      <protection locked="0"/>
    </xf>
    <xf numFmtId="181" fontId="11" fillId="4" borderId="15" xfId="0" applyNumberFormat="1" applyFont="1" applyFill="1" applyBorder="1" applyAlignment="1" applyProtection="1">
      <alignment horizontal="right" vertical="center" shrinkToFit="1"/>
      <protection locked="0"/>
    </xf>
    <xf numFmtId="190" fontId="11" fillId="4" borderId="30" xfId="0" applyNumberFormat="1" applyFont="1" applyFill="1" applyBorder="1" applyAlignment="1" applyProtection="1">
      <alignment horizontal="right" vertical="center" shrinkToFit="1"/>
      <protection locked="0"/>
    </xf>
    <xf numFmtId="182" fontId="28" fillId="3" borderId="31" xfId="0" applyNumberFormat="1" applyFont="1" applyFill="1" applyBorder="1" applyAlignment="1" applyProtection="1">
      <alignment horizontal="right" vertical="center" shrinkToFit="1"/>
      <protection hidden="1"/>
    </xf>
    <xf numFmtId="181" fontId="11" fillId="4" borderId="30" xfId="0" applyNumberFormat="1" applyFont="1" applyFill="1" applyBorder="1" applyAlignment="1" applyProtection="1">
      <alignment horizontal="right" vertical="center" shrinkToFit="1"/>
      <protection locked="0"/>
    </xf>
    <xf numFmtId="189" fontId="28" fillId="3" borderId="30" xfId="0" applyNumberFormat="1" applyFont="1" applyFill="1" applyBorder="1" applyAlignment="1" applyProtection="1">
      <alignment horizontal="right" vertical="center" shrinkToFit="1"/>
      <protection hidden="1"/>
    </xf>
    <xf numFmtId="188" fontId="11" fillId="4" borderId="32" xfId="0" applyNumberFormat="1" applyFont="1" applyFill="1" applyBorder="1" applyAlignment="1" applyProtection="1">
      <alignment horizontal="right" vertical="center" shrinkToFit="1"/>
      <protection locked="0"/>
    </xf>
    <xf numFmtId="194" fontId="11" fillId="4" borderId="30" xfId="0" applyNumberFormat="1" applyFont="1" applyFill="1" applyBorder="1" applyAlignment="1" applyProtection="1">
      <alignment horizontal="right" vertical="center" shrinkToFit="1"/>
      <protection locked="0"/>
    </xf>
    <xf numFmtId="195" fontId="11" fillId="4" borderId="33" xfId="0" applyNumberFormat="1" applyFont="1" applyFill="1" applyBorder="1" applyAlignment="1" applyProtection="1">
      <alignment horizontal="right" vertical="center" shrinkToFit="1"/>
      <protection locked="0"/>
    </xf>
    <xf numFmtId="188" fontId="11" fillId="4" borderId="34" xfId="0" applyNumberFormat="1" applyFont="1" applyFill="1" applyBorder="1" applyAlignment="1" applyProtection="1">
      <alignment horizontal="right" vertical="center" shrinkToFit="1"/>
      <protection locked="0"/>
    </xf>
    <xf numFmtId="195" fontId="11" fillId="4" borderId="12" xfId="0" applyNumberFormat="1" applyFont="1" applyFill="1" applyBorder="1" applyAlignment="1" applyProtection="1">
      <alignment horizontal="right" vertical="center" shrinkToFit="1"/>
      <protection locked="0"/>
    </xf>
    <xf numFmtId="198" fontId="28" fillId="3" borderId="35" xfId="0" applyNumberFormat="1" applyFont="1" applyFill="1" applyBorder="1" applyAlignment="1" applyProtection="1">
      <alignment horizontal="right" vertical="center" shrinkToFit="1"/>
      <protection hidden="1"/>
    </xf>
    <xf numFmtId="199" fontId="11" fillId="4" borderId="36" xfId="0" applyNumberFormat="1" applyFont="1" applyFill="1" applyBorder="1" applyAlignment="1" applyProtection="1">
      <alignment horizontal="center" vertical="center" shrinkToFit="1"/>
      <protection locked="0"/>
    </xf>
    <xf numFmtId="199" fontId="11" fillId="4" borderId="37" xfId="0" applyNumberFormat="1" applyFont="1" applyFill="1" applyBorder="1" applyAlignment="1" applyProtection="1">
      <alignment horizontal="center" vertical="center" shrinkToFit="1"/>
      <protection locked="0"/>
    </xf>
    <xf numFmtId="196" fontId="27" fillId="3" borderId="38" xfId="0" applyNumberFormat="1" applyFont="1" applyFill="1" applyBorder="1" applyAlignment="1" applyProtection="1">
      <alignment horizontal="center" vertical="center"/>
      <protection hidden="1"/>
    </xf>
    <xf numFmtId="196" fontId="27" fillId="3" borderId="39" xfId="0" applyNumberFormat="1" applyFont="1" applyFill="1" applyBorder="1" applyAlignment="1" applyProtection="1">
      <alignment horizontal="center" vertical="center"/>
      <protection hidden="1"/>
    </xf>
    <xf numFmtId="188" fontId="26" fillId="4" borderId="17" xfId="0" applyNumberFormat="1" applyFont="1" applyFill="1" applyBorder="1" applyAlignment="1" applyProtection="1">
      <alignment horizontal="center" vertical="center" shrinkToFit="1"/>
      <protection locked="0"/>
    </xf>
    <xf numFmtId="181" fontId="11" fillId="4" borderId="20" xfId="0" applyNumberFormat="1" applyFont="1" applyFill="1" applyBorder="1" applyAlignment="1" applyProtection="1">
      <alignment horizontal="right" vertical="center" shrinkToFit="1"/>
      <protection locked="0"/>
    </xf>
    <xf numFmtId="190" fontId="11" fillId="4" borderId="20" xfId="0" applyNumberFormat="1" applyFont="1" applyFill="1" applyBorder="1" applyAlignment="1" applyProtection="1">
      <alignment horizontal="right" vertical="center" shrinkToFit="1"/>
      <protection locked="0"/>
    </xf>
    <xf numFmtId="182" fontId="28" fillId="3" borderId="40" xfId="0" applyNumberFormat="1" applyFont="1" applyFill="1" applyBorder="1" applyAlignment="1" applyProtection="1">
      <alignment horizontal="right" vertical="center" shrinkToFit="1"/>
      <protection hidden="1"/>
    </xf>
    <xf numFmtId="189" fontId="28" fillId="3" borderId="20" xfId="0" applyNumberFormat="1" applyFont="1" applyFill="1" applyBorder="1" applyAlignment="1" applyProtection="1">
      <alignment horizontal="right" vertical="center" shrinkToFit="1"/>
      <protection hidden="1"/>
    </xf>
    <xf numFmtId="189" fontId="28" fillId="3" borderId="17" xfId="0" applyNumberFormat="1" applyFont="1" applyFill="1" applyBorder="1" applyAlignment="1" applyProtection="1">
      <alignment horizontal="center" vertical="center" shrinkToFit="1"/>
      <protection hidden="1"/>
    </xf>
    <xf numFmtId="202" fontId="31" fillId="3" borderId="38" xfId="0" applyNumberFormat="1" applyFont="1" applyFill="1" applyBorder="1" applyAlignment="1" applyProtection="1">
      <alignment horizontal="right" vertical="center" shrinkToFit="1"/>
      <protection hidden="1"/>
    </xf>
    <xf numFmtId="202" fontId="31" fillId="3" borderId="36" xfId="0" applyNumberFormat="1" applyFont="1" applyFill="1" applyBorder="1" applyAlignment="1" applyProtection="1">
      <alignment horizontal="right" vertical="center" shrinkToFit="1"/>
      <protection hidden="1"/>
    </xf>
    <xf numFmtId="193" fontId="31" fillId="3" borderId="36" xfId="0" applyNumberFormat="1" applyFont="1" applyFill="1" applyBorder="1" applyAlignment="1" applyProtection="1">
      <alignment horizontal="left" vertical="center" shrinkToFit="1"/>
      <protection hidden="1"/>
    </xf>
    <xf numFmtId="193" fontId="31" fillId="3" borderId="39" xfId="0" applyNumberFormat="1" applyFont="1" applyFill="1" applyBorder="1" applyAlignment="1" applyProtection="1">
      <alignment horizontal="left" vertical="center" shrinkToFit="1"/>
      <protection hidden="1"/>
    </xf>
    <xf numFmtId="200" fontId="28" fillId="3" borderId="22" xfId="0" applyNumberFormat="1" applyFont="1" applyFill="1" applyBorder="1" applyAlignment="1" applyProtection="1">
      <alignment horizontal="right" vertical="center" shrinkToFit="1"/>
      <protection hidden="1"/>
    </xf>
    <xf numFmtId="188" fontId="28" fillId="3" borderId="16" xfId="0" applyNumberFormat="1" applyFont="1" applyFill="1" applyBorder="1" applyAlignment="1" applyProtection="1">
      <alignment horizontal="center" vertical="center" shrinkToFit="1"/>
      <protection hidden="1"/>
    </xf>
    <xf numFmtId="182" fontId="28" fillId="3" borderId="19" xfId="0" applyNumberFormat="1" applyFont="1" applyFill="1" applyBorder="1" applyAlignment="1" applyProtection="1">
      <alignment horizontal="right" vertical="center" shrinkToFit="1"/>
      <protection hidden="1"/>
    </xf>
    <xf numFmtId="49" fontId="23" fillId="5" borderId="11" xfId="0" applyNumberFormat="1" applyFont="1" applyFill="1" applyBorder="1" applyAlignment="1" applyProtection="1">
      <alignment horizontal="center" vertical="center" shrinkToFit="1"/>
      <protection hidden="1"/>
    </xf>
    <xf numFmtId="0" fontId="11" fillId="4" borderId="23" xfId="0" applyNumberFormat="1" applyFont="1" applyFill="1" applyBorder="1" applyAlignment="1" applyProtection="1">
      <alignment horizontal="center" vertical="center" wrapText="1"/>
      <protection locked="0"/>
    </xf>
    <xf numFmtId="0" fontId="8" fillId="4" borderId="15" xfId="0" applyNumberFormat="1" applyFont="1" applyFill="1" applyBorder="1" applyAlignment="1" applyProtection="1">
      <alignment horizontal="center" vertical="center" wrapText="1"/>
      <protection locked="0"/>
    </xf>
    <xf numFmtId="191" fontId="11" fillId="4" borderId="41" xfId="0" applyNumberFormat="1" applyFont="1" applyFill="1" applyBorder="1" applyAlignment="1" applyProtection="1">
      <alignment horizontal="center" vertical="center"/>
      <protection locked="0"/>
    </xf>
    <xf numFmtId="191" fontId="11" fillId="4" borderId="42" xfId="0" applyNumberFormat="1" applyFont="1" applyFill="1" applyBorder="1" applyAlignment="1" applyProtection="1">
      <alignment horizontal="center" vertical="center"/>
      <protection locked="0"/>
    </xf>
    <xf numFmtId="191" fontId="11" fillId="4" borderId="43" xfId="0" applyNumberFormat="1" applyFont="1" applyFill="1" applyBorder="1" applyAlignment="1" applyProtection="1">
      <alignment horizontal="center" vertical="center"/>
      <protection locked="0"/>
    </xf>
    <xf numFmtId="192" fontId="26" fillId="4" borderId="44" xfId="0" applyNumberFormat="1" applyFont="1" applyFill="1" applyBorder="1" applyAlignment="1" applyProtection="1">
      <alignment horizontal="center" vertical="center" shrinkToFit="1"/>
      <protection locked="0"/>
    </xf>
    <xf numFmtId="192" fontId="26" fillId="4" borderId="9" xfId="0" applyNumberFormat="1" applyFont="1" applyFill="1" applyBorder="1" applyAlignment="1" applyProtection="1">
      <alignment horizontal="center" vertical="center" shrinkToFit="1"/>
      <protection locked="0"/>
    </xf>
    <xf numFmtId="180" fontId="24" fillId="4" borderId="16" xfId="0" applyNumberFormat="1" applyFont="1" applyFill="1" applyBorder="1" applyAlignment="1" applyProtection="1">
      <alignment horizontal="left" vertical="center" shrinkToFit="1"/>
      <protection locked="0"/>
    </xf>
    <xf numFmtId="182" fontId="11" fillId="4" borderId="15" xfId="0" applyNumberFormat="1" applyFont="1" applyFill="1" applyBorder="1" applyAlignment="1" applyProtection="1">
      <alignment horizontal="right" vertical="center" shrinkToFit="1"/>
      <protection locked="0"/>
    </xf>
    <xf numFmtId="190" fontId="11" fillId="4" borderId="15" xfId="0" applyNumberFormat="1" applyFont="1" applyFill="1" applyBorder="1" applyAlignment="1" applyProtection="1">
      <alignment horizontal="right" vertical="center" shrinkToFit="1"/>
      <protection locked="0"/>
    </xf>
    <xf numFmtId="182" fontId="28" fillId="3" borderId="24" xfId="0" applyNumberFormat="1" applyFont="1" applyFill="1" applyBorder="1" applyAlignment="1" applyProtection="1">
      <alignment horizontal="right" vertical="center" shrinkToFit="1"/>
      <protection hidden="1"/>
    </xf>
    <xf numFmtId="182" fontId="11" fillId="4" borderId="15" xfId="0" applyNumberFormat="1" applyFont="1" applyFill="1" applyBorder="1" applyAlignment="1" applyProtection="1">
      <alignment horizontal="center" vertical="center"/>
      <protection locked="0"/>
    </xf>
    <xf numFmtId="189" fontId="28" fillId="3" borderId="27" xfId="0" applyNumberFormat="1" applyFont="1" applyFill="1" applyBorder="1" applyAlignment="1" applyProtection="1">
      <alignment horizontal="center" vertical="center" shrinkToFit="1"/>
      <protection hidden="1"/>
    </xf>
    <xf numFmtId="188" fontId="11" fillId="4" borderId="26" xfId="0" applyNumberFormat="1" applyFont="1" applyFill="1" applyBorder="1" applyAlignment="1" applyProtection="1">
      <alignment horizontal="right" vertical="center" shrinkToFit="1"/>
      <protection locked="0"/>
    </xf>
    <xf numFmtId="179" fontId="26" fillId="4" borderId="42" xfId="0" applyNumberFormat="1" applyFont="1" applyFill="1" applyBorder="1" applyAlignment="1" applyProtection="1">
      <alignment horizontal="center" vertical="center"/>
      <protection locked="0"/>
    </xf>
    <xf numFmtId="194" fontId="11" fillId="4" borderId="42" xfId="0" applyNumberFormat="1" applyFont="1" applyFill="1" applyBorder="1" applyAlignment="1" applyProtection="1">
      <alignment horizontal="right" vertical="center" shrinkToFit="1"/>
      <protection locked="0"/>
    </xf>
    <xf numFmtId="195" fontId="11" fillId="4" borderId="9" xfId="0" applyNumberFormat="1" applyFont="1" applyFill="1" applyBorder="1" applyAlignment="1" applyProtection="1">
      <alignment horizontal="right" vertical="center" shrinkToFit="1"/>
      <protection locked="0"/>
    </xf>
    <xf numFmtId="188" fontId="11" fillId="4" borderId="0" xfId="0" applyNumberFormat="1" applyFont="1" applyFill="1" applyBorder="1" applyAlignment="1" applyProtection="1">
      <alignment horizontal="right" vertical="center" shrinkToFit="1"/>
      <protection locked="0"/>
    </xf>
    <xf numFmtId="195" fontId="11" fillId="4" borderId="42" xfId="0" applyNumberFormat="1" applyFont="1" applyFill="1" applyBorder="1" applyAlignment="1" applyProtection="1">
      <alignment horizontal="right" vertical="center" shrinkToFit="1"/>
      <protection locked="0"/>
    </xf>
    <xf numFmtId="201" fontId="30" fillId="3" borderId="44" xfId="0" applyNumberFormat="1" applyFont="1" applyFill="1" applyBorder="1" applyAlignment="1" applyProtection="1">
      <alignment horizontal="center" vertical="center" shrinkToFit="1"/>
      <protection hidden="1"/>
    </xf>
    <xf numFmtId="201" fontId="30" fillId="3" borderId="9" xfId="0" applyNumberFormat="1" applyFont="1" applyFill="1" applyBorder="1" applyAlignment="1" applyProtection="1">
      <alignment horizontal="center" vertical="center" shrinkToFit="1"/>
      <protection hidden="1"/>
    </xf>
    <xf numFmtId="198" fontId="28" fillId="3" borderId="27" xfId="0" applyNumberFormat="1" applyFont="1" applyFill="1" applyBorder="1" applyAlignment="1" applyProtection="1">
      <alignment horizontal="right" vertical="center" shrinkToFit="1"/>
      <protection hidden="1"/>
    </xf>
    <xf numFmtId="0" fontId="11" fillId="4" borderId="14" xfId="0" applyNumberFormat="1" applyFont="1" applyFill="1" applyBorder="1" applyAlignment="1" applyProtection="1">
      <alignment horizontal="center" vertical="top" shrinkToFit="1"/>
      <protection locked="0"/>
    </xf>
    <xf numFmtId="0" fontId="11" fillId="4" borderId="27" xfId="0" applyNumberFormat="1" applyFont="1" applyFill="1" applyBorder="1" applyAlignment="1" applyProtection="1">
      <alignment horizontal="center" vertical="top" shrinkToFit="1"/>
      <protection locked="0"/>
    </xf>
    <xf numFmtId="0" fontId="24" fillId="4" borderId="6" xfId="0" applyFont="1" applyFill="1" applyBorder="1" applyAlignment="1" applyProtection="1">
      <alignment horizontal="center" vertical="top" wrapText="1"/>
      <protection locked="0"/>
    </xf>
    <xf numFmtId="0" fontId="11" fillId="4" borderId="45" xfId="0" applyNumberFormat="1" applyFont="1" applyFill="1" applyBorder="1" applyAlignment="1" applyProtection="1">
      <alignment horizontal="center" vertical="center" wrapText="1"/>
      <protection locked="0"/>
    </xf>
    <xf numFmtId="0" fontId="8" fillId="4" borderId="18" xfId="0" applyNumberFormat="1" applyFont="1" applyFill="1" applyBorder="1" applyAlignment="1" applyProtection="1">
      <alignment horizontal="center" vertical="center" wrapText="1"/>
      <protection locked="0"/>
    </xf>
    <xf numFmtId="199" fontId="11" fillId="4" borderId="40" xfId="0" applyNumberFormat="1" applyFont="1" applyFill="1" applyBorder="1" applyAlignment="1" applyProtection="1">
      <alignment horizontal="center" vertical="center" shrinkToFit="1"/>
      <protection locked="0"/>
    </xf>
    <xf numFmtId="182" fontId="11" fillId="4" borderId="18" xfId="0" applyNumberFormat="1" applyFont="1" applyFill="1" applyBorder="1" applyAlignment="1" applyProtection="1">
      <alignment horizontal="right" vertical="center" shrinkToFit="1"/>
      <protection locked="0"/>
    </xf>
    <xf numFmtId="190" fontId="11" fillId="4" borderId="18" xfId="0" applyNumberFormat="1" applyFont="1" applyFill="1" applyBorder="1" applyAlignment="1" applyProtection="1">
      <alignment horizontal="right" vertical="center" shrinkToFit="1"/>
      <protection locked="0"/>
    </xf>
    <xf numFmtId="182" fontId="11" fillId="4" borderId="18" xfId="0" applyNumberFormat="1" applyFont="1" applyFill="1" applyBorder="1" applyAlignment="1" applyProtection="1">
      <alignment horizontal="center" vertical="center"/>
      <protection locked="0"/>
    </xf>
    <xf numFmtId="202" fontId="31" fillId="3" borderId="40" xfId="0" applyNumberFormat="1" applyFont="1" applyFill="1" applyBorder="1" applyAlignment="1" applyProtection="1">
      <alignment horizontal="center" vertical="center" shrinkToFit="1"/>
      <protection hidden="1"/>
    </xf>
    <xf numFmtId="202" fontId="31" fillId="3" borderId="36" xfId="0" applyNumberFormat="1" applyFont="1" applyFill="1" applyBorder="1" applyAlignment="1" applyProtection="1">
      <alignment horizontal="center" vertical="center" shrinkToFit="1"/>
      <protection hidden="1"/>
    </xf>
    <xf numFmtId="188" fontId="28" fillId="3" borderId="38" xfId="0" applyNumberFormat="1" applyFont="1" applyFill="1" applyBorder="1" applyAlignment="1" applyProtection="1">
      <alignment horizontal="center" vertical="center" shrinkToFit="1"/>
      <protection hidden="1"/>
    </xf>
    <xf numFmtId="188" fontId="28" fillId="3" borderId="39" xfId="0" applyNumberFormat="1" applyFont="1" applyFill="1" applyBorder="1" applyAlignment="1" applyProtection="1">
      <alignment horizontal="center" vertical="center" shrinkToFit="1"/>
      <protection hidden="1"/>
    </xf>
    <xf numFmtId="198" fontId="28" fillId="3" borderId="17" xfId="0" applyNumberFormat="1" applyFont="1" applyFill="1" applyBorder="1" applyAlignment="1" applyProtection="1">
      <alignment horizontal="right" vertical="center" shrinkToFit="1"/>
      <protection hidden="1"/>
    </xf>
    <xf numFmtId="0" fontId="11" fillId="4" borderId="46" xfId="0" applyNumberFormat="1" applyFont="1" applyFill="1" applyBorder="1" applyAlignment="1" applyProtection="1">
      <alignment horizontal="center" vertical="top" shrinkToFit="1"/>
      <protection locked="0"/>
    </xf>
    <xf numFmtId="0" fontId="11" fillId="4" borderId="17" xfId="0" applyNumberFormat="1" applyFont="1" applyFill="1" applyBorder="1" applyAlignment="1" applyProtection="1">
      <alignment horizontal="center" vertical="top" shrinkToFit="1"/>
      <protection locked="0"/>
    </xf>
    <xf numFmtId="0" fontId="24" fillId="4" borderId="47" xfId="0" applyFont="1" applyFill="1" applyBorder="1" applyAlignment="1" applyProtection="1">
      <alignment horizontal="center" vertical="top" wrapText="1"/>
      <protection locked="0"/>
    </xf>
    <xf numFmtId="0" fontId="8" fillId="3" borderId="48" xfId="0" applyNumberFormat="1" applyFont="1" applyFill="1" applyBorder="1" applyAlignment="1" applyProtection="1">
      <alignment horizontal="center" vertical="top" wrapText="1"/>
      <protection hidden="1"/>
    </xf>
    <xf numFmtId="49" fontId="39" fillId="3" borderId="49" xfId="0" applyNumberFormat="1" applyFont="1" applyFill="1" applyBorder="1" applyAlignment="1" applyProtection="1">
      <alignment horizontal="center" vertical="center" wrapText="1"/>
      <protection locked="0"/>
    </xf>
    <xf numFmtId="0" fontId="4" fillId="2" borderId="0" xfId="2" applyFont="1" applyFill="1" applyProtection="1">
      <protection hidden="1"/>
    </xf>
    <xf numFmtId="0" fontId="100" fillId="3" borderId="0" xfId="2" applyNumberFormat="1" applyFont="1" applyFill="1" applyAlignment="1" applyProtection="1">
      <alignment horizontal="center" vertical="center" shrinkToFit="1"/>
      <protection hidden="1"/>
    </xf>
    <xf numFmtId="0" fontId="106" fillId="2" borderId="0" xfId="0" applyFont="1" applyFill="1" applyAlignment="1" applyProtection="1">
      <alignment wrapText="1"/>
      <protection hidden="1"/>
    </xf>
    <xf numFmtId="0" fontId="106" fillId="2" borderId="0" xfId="0" applyFont="1" applyFill="1" applyProtection="1">
      <protection hidden="1"/>
    </xf>
    <xf numFmtId="0" fontId="0" fillId="6" borderId="0" xfId="0" applyFill="1"/>
    <xf numFmtId="0" fontId="0" fillId="6" borderId="0" xfId="0" applyFill="1" applyProtection="1">
      <protection hidden="1"/>
    </xf>
    <xf numFmtId="0" fontId="108" fillId="7" borderId="31" xfId="0" applyFont="1" applyFill="1" applyBorder="1" applyAlignment="1" applyProtection="1">
      <alignment horizontal="center" vertical="center"/>
      <protection hidden="1"/>
    </xf>
    <xf numFmtId="0" fontId="109" fillId="7" borderId="12" xfId="0" applyFont="1" applyFill="1" applyBorder="1" applyProtection="1">
      <protection hidden="1"/>
    </xf>
    <xf numFmtId="0" fontId="6" fillId="6" borderId="0" xfId="0" applyFont="1" applyFill="1" applyBorder="1" applyAlignment="1" applyProtection="1">
      <alignment horizontal="center" vertical="center" shrinkToFit="1"/>
      <protection hidden="1"/>
    </xf>
    <xf numFmtId="179" fontId="31" fillId="7" borderId="30" xfId="0" applyNumberFormat="1" applyFont="1" applyFill="1" applyBorder="1" applyAlignment="1" applyProtection="1">
      <alignment horizontal="center" vertical="center" shrinkToFit="1"/>
      <protection hidden="1"/>
    </xf>
    <xf numFmtId="187" fontId="6" fillId="7" borderId="30" xfId="0" applyNumberFormat="1" applyFont="1" applyFill="1" applyBorder="1" applyAlignment="1" applyProtection="1">
      <alignment horizontal="center" vertical="center"/>
      <protection hidden="1"/>
    </xf>
    <xf numFmtId="0" fontId="31" fillId="7" borderId="15" xfId="0" applyFont="1" applyFill="1" applyBorder="1" applyAlignment="1" applyProtection="1">
      <alignment horizontal="center" vertical="center" shrinkToFit="1"/>
      <protection hidden="1"/>
    </xf>
    <xf numFmtId="0" fontId="31" fillId="7" borderId="3" xfId="0" applyFont="1" applyFill="1" applyBorder="1" applyAlignment="1" applyProtection="1">
      <alignment horizontal="center" vertical="center" shrinkToFit="1"/>
      <protection hidden="1"/>
    </xf>
    <xf numFmtId="179" fontId="47" fillId="3" borderId="30" xfId="0" applyNumberFormat="1" applyFont="1" applyFill="1" applyBorder="1" applyAlignment="1" applyProtection="1">
      <alignment horizontal="right" vertical="center"/>
      <protection locked="0"/>
    </xf>
    <xf numFmtId="187" fontId="1" fillId="3" borderId="30" xfId="0" applyNumberFormat="1" applyFont="1" applyFill="1" applyBorder="1" applyAlignment="1" applyProtection="1">
      <alignment horizontal="right" vertical="center"/>
      <protection locked="0"/>
    </xf>
    <xf numFmtId="187" fontId="89" fillId="3" borderId="30" xfId="0" applyNumberFormat="1" applyFont="1" applyFill="1" applyBorder="1" applyAlignment="1" applyProtection="1">
      <alignment vertical="center" shrinkToFit="1"/>
      <protection hidden="1"/>
    </xf>
    <xf numFmtId="179" fontId="11" fillId="6" borderId="0" xfId="0" applyNumberFormat="1" applyFont="1" applyFill="1" applyBorder="1" applyAlignment="1" applyProtection="1">
      <alignment horizontal="right" vertical="center"/>
      <protection hidden="1"/>
    </xf>
    <xf numFmtId="0" fontId="6" fillId="7" borderId="15" xfId="0" applyFont="1" applyFill="1" applyBorder="1" applyAlignment="1" applyProtection="1">
      <alignment horizontal="center" vertical="center"/>
      <protection hidden="1"/>
    </xf>
    <xf numFmtId="0" fontId="0" fillId="7" borderId="34" xfId="0" applyFill="1" applyBorder="1" applyAlignment="1" applyProtection="1">
      <alignment horizontal="center" vertical="center"/>
      <protection hidden="1"/>
    </xf>
    <xf numFmtId="0" fontId="1" fillId="7" borderId="34" xfId="0" applyFont="1" applyFill="1" applyBorder="1" applyAlignment="1" applyProtection="1">
      <alignment horizontal="center" vertical="center"/>
      <protection hidden="1"/>
    </xf>
    <xf numFmtId="179" fontId="11" fillId="6" borderId="0" xfId="0" applyNumberFormat="1" applyFont="1" applyFill="1" applyBorder="1" applyAlignment="1" applyProtection="1">
      <alignment horizontal="right" vertical="center"/>
      <protection locked="0"/>
    </xf>
    <xf numFmtId="188" fontId="47" fillId="3" borderId="30" xfId="0" applyNumberFormat="1" applyFont="1" applyFill="1" applyBorder="1" applyAlignment="1" applyProtection="1">
      <alignment horizontal="right" vertical="center"/>
      <protection locked="0"/>
    </xf>
    <xf numFmtId="187" fontId="11" fillId="3" borderId="30" xfId="0" applyNumberFormat="1" applyFont="1" applyFill="1" applyBorder="1" applyAlignment="1" applyProtection="1">
      <alignment horizontal="right" vertical="center"/>
      <protection locked="0"/>
    </xf>
    <xf numFmtId="179" fontId="47" fillId="6" borderId="0" xfId="0" applyNumberFormat="1" applyFont="1" applyFill="1" applyBorder="1" applyAlignment="1" applyProtection="1">
      <alignment horizontal="right" vertical="center"/>
      <protection hidden="1"/>
    </xf>
    <xf numFmtId="187" fontId="11" fillId="6" borderId="0" xfId="0" applyNumberFormat="1" applyFont="1" applyFill="1" applyBorder="1" applyAlignment="1" applyProtection="1">
      <alignment horizontal="right" vertical="center"/>
      <protection hidden="1"/>
    </xf>
    <xf numFmtId="178" fontId="47" fillId="3" borderId="30" xfId="0" applyNumberFormat="1" applyFont="1" applyFill="1" applyBorder="1" applyAlignment="1" applyProtection="1">
      <alignment horizontal="right" vertical="center" shrinkToFit="1"/>
      <protection locked="0"/>
    </xf>
    <xf numFmtId="0" fontId="23" fillId="4" borderId="53" xfId="0" applyFont="1" applyFill="1" applyBorder="1" applyAlignment="1" applyProtection="1">
      <alignment horizontal="left" vertical="center" shrinkToFit="1"/>
      <protection locked="0"/>
    </xf>
    <xf numFmtId="0" fontId="24" fillId="4" borderId="6" xfId="0" applyFont="1" applyFill="1" applyBorder="1" applyAlignment="1" applyProtection="1">
      <alignment horizontal="left" vertical="center" shrinkToFit="1"/>
      <protection locked="0"/>
    </xf>
    <xf numFmtId="0" fontId="22" fillId="4" borderId="6" xfId="0" applyFont="1" applyFill="1" applyBorder="1" applyAlignment="1" applyProtection="1">
      <alignment horizontal="left" vertical="center" shrinkToFit="1"/>
      <protection locked="0"/>
    </xf>
    <xf numFmtId="0" fontId="22" fillId="4" borderId="47" xfId="0" applyFont="1" applyFill="1" applyBorder="1" applyAlignment="1" applyProtection="1">
      <alignment horizontal="left" vertical="center" shrinkToFit="1"/>
      <protection locked="0"/>
    </xf>
    <xf numFmtId="178" fontId="47" fillId="3" borderId="30" xfId="4" applyNumberFormat="1" applyFont="1" applyFill="1" applyBorder="1" applyAlignment="1" applyProtection="1">
      <alignment horizontal="right" vertical="center" shrinkToFit="1"/>
      <protection locked="0"/>
    </xf>
    <xf numFmtId="187" fontId="1" fillId="3" borderId="30" xfId="4" applyNumberFormat="1" applyFont="1" applyFill="1" applyBorder="1" applyAlignment="1" applyProtection="1">
      <alignment horizontal="right" vertical="center"/>
      <protection locked="0"/>
    </xf>
    <xf numFmtId="187" fontId="89" fillId="3" borderId="30" xfId="4" applyNumberFormat="1" applyFont="1" applyFill="1" applyBorder="1" applyAlignment="1" applyProtection="1">
      <alignment vertical="center" shrinkToFit="1"/>
      <protection hidden="1"/>
    </xf>
    <xf numFmtId="180" fontId="24" fillId="4" borderId="54" xfId="0" applyNumberFormat="1" applyFont="1" applyFill="1" applyBorder="1" applyAlignment="1" applyProtection="1">
      <alignment horizontal="left" vertical="center" shrinkToFit="1"/>
      <protection locked="0"/>
    </xf>
    <xf numFmtId="190" fontId="11" fillId="4" borderId="28" xfId="0" applyNumberFormat="1" applyFont="1" applyFill="1" applyBorder="1" applyAlignment="1" applyProtection="1">
      <alignment horizontal="center" vertical="center"/>
      <protection locked="0"/>
    </xf>
    <xf numFmtId="176" fontId="11" fillId="4" borderId="28" xfId="0" applyNumberFormat="1" applyFont="1" applyFill="1" applyBorder="1" applyAlignment="1" applyProtection="1">
      <alignment horizontal="center" vertical="center"/>
      <protection locked="0"/>
    </xf>
    <xf numFmtId="181" fontId="28" fillId="3" borderId="28" xfId="0" applyNumberFormat="1" applyFont="1" applyFill="1" applyBorder="1" applyAlignment="1" applyProtection="1">
      <alignment horizontal="center" vertical="center" shrinkToFit="1"/>
      <protection hidden="1"/>
    </xf>
    <xf numFmtId="183" fontId="29" fillId="3" borderId="30" xfId="0" applyNumberFormat="1" applyFont="1" applyFill="1" applyBorder="1" applyAlignment="1" applyProtection="1">
      <alignment horizontal="center" vertical="center"/>
      <protection hidden="1"/>
    </xf>
    <xf numFmtId="180" fontId="24" fillId="4" borderId="55" xfId="0" applyNumberFormat="1" applyFont="1" applyFill="1" applyBorder="1" applyAlignment="1" applyProtection="1">
      <alignment horizontal="left" vertical="center" shrinkToFit="1"/>
      <protection locked="0"/>
    </xf>
    <xf numFmtId="190" fontId="11" fillId="4" borderId="30" xfId="0" applyNumberFormat="1" applyFont="1" applyFill="1" applyBorder="1" applyAlignment="1" applyProtection="1">
      <alignment horizontal="center" vertical="center"/>
      <protection locked="0"/>
    </xf>
    <xf numFmtId="176" fontId="11" fillId="4" borderId="34" xfId="0" applyNumberFormat="1" applyFont="1" applyFill="1" applyBorder="1" applyAlignment="1" applyProtection="1">
      <alignment horizontal="center" vertical="center"/>
      <protection locked="0"/>
    </xf>
    <xf numFmtId="188" fontId="28" fillId="3" borderId="7" xfId="0" applyNumberFormat="1" applyFont="1" applyFill="1" applyBorder="1" applyAlignment="1" applyProtection="1">
      <alignment horizontal="center" vertical="center" shrinkToFit="1"/>
      <protection hidden="1"/>
    </xf>
    <xf numFmtId="190" fontId="11" fillId="4" borderId="34" xfId="0" applyNumberFormat="1" applyFont="1" applyFill="1" applyBorder="1" applyAlignment="1" applyProtection="1">
      <alignment horizontal="center" vertical="center"/>
      <protection locked="0"/>
    </xf>
    <xf numFmtId="188" fontId="28" fillId="3" borderId="30" xfId="0" applyNumberFormat="1" applyFont="1" applyFill="1" applyBorder="1" applyAlignment="1" applyProtection="1">
      <alignment horizontal="center" vertical="center" shrinkToFit="1"/>
      <protection hidden="1"/>
    </xf>
    <xf numFmtId="179" fontId="26" fillId="4" borderId="30" xfId="0" applyNumberFormat="1" applyFont="1" applyFill="1" applyBorder="1" applyAlignment="1" applyProtection="1">
      <alignment horizontal="center" vertical="center"/>
      <protection locked="0"/>
    </xf>
    <xf numFmtId="180" fontId="24" fillId="4" borderId="56" xfId="0" applyNumberFormat="1" applyFont="1" applyFill="1" applyBorder="1" applyAlignment="1" applyProtection="1">
      <alignment horizontal="left" vertical="center" shrinkToFit="1"/>
      <protection locked="0"/>
    </xf>
    <xf numFmtId="190" fontId="11" fillId="4" borderId="20" xfId="0" applyNumberFormat="1" applyFont="1" applyFill="1" applyBorder="1" applyAlignment="1" applyProtection="1">
      <alignment horizontal="center" vertical="center"/>
      <protection locked="0"/>
    </xf>
    <xf numFmtId="176" fontId="11" fillId="4" borderId="20" xfId="0" applyNumberFormat="1" applyFont="1" applyFill="1" applyBorder="1" applyAlignment="1" applyProtection="1">
      <alignment horizontal="center" vertical="center"/>
      <protection locked="0"/>
    </xf>
    <xf numFmtId="188" fontId="28" fillId="3" borderId="20" xfId="0" applyNumberFormat="1" applyFont="1" applyFill="1" applyBorder="1" applyAlignment="1" applyProtection="1">
      <alignment horizontal="center" vertical="center" shrinkToFit="1"/>
      <protection hidden="1"/>
    </xf>
    <xf numFmtId="0" fontId="0" fillId="2" borderId="57" xfId="0" applyFill="1" applyBorder="1" applyAlignment="1" applyProtection="1">
      <alignment horizontal="center" vertical="center" shrinkToFit="1"/>
      <protection hidden="1"/>
    </xf>
    <xf numFmtId="0" fontId="1" fillId="2" borderId="57" xfId="0" applyFont="1" applyFill="1" applyBorder="1" applyAlignment="1" applyProtection="1">
      <alignment horizontal="center" vertical="center" shrinkToFit="1"/>
      <protection hidden="1"/>
    </xf>
    <xf numFmtId="0" fontId="0" fillId="2" borderId="0" xfId="0" applyFill="1" applyBorder="1" applyAlignment="1" applyProtection="1">
      <alignment horizontal="center" vertical="center" shrinkToFit="1"/>
      <protection hidden="1"/>
    </xf>
    <xf numFmtId="0" fontId="1" fillId="2" borderId="0" xfId="0" applyFont="1" applyFill="1" applyAlignment="1" applyProtection="1">
      <alignment horizontal="center" vertical="center" shrinkToFit="1"/>
      <protection hidden="1"/>
    </xf>
    <xf numFmtId="0" fontId="11" fillId="2" borderId="0" xfId="0" applyNumberFormat="1" applyFont="1" applyFill="1" applyBorder="1" applyAlignment="1" applyProtection="1">
      <alignment horizontal="right" vertical="center"/>
      <protection hidden="1"/>
    </xf>
    <xf numFmtId="184" fontId="11" fillId="2" borderId="0" xfId="0" applyNumberFormat="1" applyFont="1" applyFill="1" applyAlignment="1" applyProtection="1">
      <alignment horizontal="right" vertical="center" shrinkToFit="1"/>
      <protection hidden="1"/>
    </xf>
    <xf numFmtId="177" fontId="11" fillId="2" borderId="0" xfId="0" applyNumberFormat="1" applyFont="1" applyFill="1" applyAlignment="1" applyProtection="1">
      <alignment horizontal="right" vertical="center" shrinkToFit="1"/>
      <protection hidden="1"/>
    </xf>
    <xf numFmtId="197" fontId="11" fillId="2" borderId="0" xfId="0" applyNumberFormat="1" applyFont="1" applyFill="1" applyAlignment="1" applyProtection="1">
      <alignment horizontal="right" vertical="center" shrinkToFit="1"/>
      <protection hidden="1"/>
    </xf>
    <xf numFmtId="0" fontId="11" fillId="2" borderId="0" xfId="0" applyNumberFormat="1" applyFont="1" applyFill="1" applyAlignment="1" applyProtection="1">
      <alignment horizontal="right" vertical="center"/>
      <protection hidden="1"/>
    </xf>
    <xf numFmtId="186" fontId="11" fillId="2" borderId="0" xfId="0" applyNumberFormat="1" applyFont="1" applyFill="1" applyAlignment="1" applyProtection="1">
      <alignment horizontal="right" vertical="center" shrinkToFit="1"/>
      <protection hidden="1"/>
    </xf>
    <xf numFmtId="177" fontId="1" fillId="2" borderId="0" xfId="0" applyNumberFormat="1" applyFont="1" applyFill="1" applyAlignment="1">
      <alignment shrinkToFit="1"/>
    </xf>
    <xf numFmtId="0" fontId="1" fillId="2" borderId="0" xfId="0" applyFont="1" applyFill="1" applyAlignment="1">
      <alignment horizontal="right" vertical="center" shrinkToFit="1"/>
    </xf>
    <xf numFmtId="0" fontId="1" fillId="2" borderId="0" xfId="0" applyFont="1" applyFill="1" applyAlignment="1">
      <alignment horizontal="center" vertical="center"/>
    </xf>
    <xf numFmtId="177" fontId="11" fillId="2" borderId="0" xfId="0" applyNumberFormat="1" applyFont="1" applyFill="1" applyBorder="1" applyAlignment="1" applyProtection="1">
      <alignment horizontal="right" vertical="center" shrinkToFit="1"/>
      <protection hidden="1"/>
    </xf>
    <xf numFmtId="184" fontId="11" fillId="2" borderId="0" xfId="0" applyNumberFormat="1" applyFont="1" applyFill="1" applyBorder="1" applyAlignment="1" applyProtection="1">
      <alignment horizontal="right" vertical="center" shrinkToFit="1"/>
      <protection hidden="1"/>
    </xf>
    <xf numFmtId="177" fontId="1" fillId="2" borderId="57" xfId="0" applyNumberFormat="1" applyFont="1" applyFill="1" applyBorder="1" applyAlignment="1">
      <alignment shrinkToFit="1"/>
    </xf>
    <xf numFmtId="0" fontId="1" fillId="2" borderId="0" xfId="0" applyFont="1" applyFill="1" applyBorder="1"/>
    <xf numFmtId="177" fontId="11" fillId="2" borderId="58" xfId="0" applyNumberFormat="1" applyFont="1" applyFill="1" applyBorder="1" applyAlignment="1" applyProtection="1">
      <alignment horizontal="right" vertical="center" shrinkToFit="1"/>
      <protection hidden="1"/>
    </xf>
    <xf numFmtId="184" fontId="11" fillId="2" borderId="58" xfId="0" applyNumberFormat="1" applyFont="1" applyFill="1" applyBorder="1" applyAlignment="1" applyProtection="1">
      <alignment horizontal="right" vertical="center" shrinkToFit="1"/>
      <protection hidden="1"/>
    </xf>
    <xf numFmtId="0" fontId="11" fillId="2" borderId="58" xfId="0" applyNumberFormat="1" applyFont="1" applyFill="1" applyBorder="1" applyAlignment="1" applyProtection="1">
      <alignment horizontal="right" vertical="center"/>
      <protection hidden="1"/>
    </xf>
    <xf numFmtId="197" fontId="11" fillId="2" borderId="58" xfId="0" applyNumberFormat="1" applyFont="1" applyFill="1" applyBorder="1" applyAlignment="1" applyProtection="1">
      <alignment horizontal="right" vertical="center" shrinkToFit="1"/>
      <protection hidden="1"/>
    </xf>
    <xf numFmtId="186" fontId="11" fillId="2" borderId="58" xfId="0" applyNumberFormat="1" applyFont="1" applyFill="1" applyBorder="1" applyAlignment="1" applyProtection="1">
      <alignment horizontal="right" vertical="center" shrinkToFit="1"/>
      <protection hidden="1"/>
    </xf>
    <xf numFmtId="0" fontId="23" fillId="4" borderId="53" xfId="0" applyFont="1" applyFill="1" applyBorder="1" applyAlignment="1" applyProtection="1">
      <alignment horizontal="left" shrinkToFit="1"/>
      <protection hidden="1"/>
    </xf>
    <xf numFmtId="0" fontId="106" fillId="2" borderId="0" xfId="4" applyFont="1" applyFill="1" applyProtection="1">
      <protection hidden="1"/>
    </xf>
    <xf numFmtId="200" fontId="28" fillId="3" borderId="59" xfId="4" applyNumberFormat="1" applyFont="1" applyFill="1" applyBorder="1" applyAlignment="1" applyProtection="1">
      <alignment horizontal="right" vertical="center" shrinkToFit="1"/>
      <protection hidden="1"/>
    </xf>
    <xf numFmtId="198" fontId="28" fillId="3" borderId="60" xfId="4" applyNumberFormat="1" applyFont="1" applyFill="1" applyBorder="1" applyAlignment="1" applyProtection="1">
      <alignment horizontal="center" vertical="center" shrinkToFit="1"/>
      <protection hidden="1"/>
    </xf>
    <xf numFmtId="198" fontId="28" fillId="3" borderId="5" xfId="4" applyNumberFormat="1" applyFont="1" applyFill="1" applyBorder="1" applyAlignment="1" applyProtection="1">
      <alignment horizontal="right" vertical="center" shrinkToFit="1"/>
      <protection hidden="1"/>
    </xf>
    <xf numFmtId="198" fontId="28" fillId="3" borderId="35" xfId="4" applyNumberFormat="1" applyFont="1" applyFill="1" applyBorder="1" applyAlignment="1" applyProtection="1">
      <alignment horizontal="right" vertical="center" shrinkToFit="1"/>
      <protection hidden="1"/>
    </xf>
    <xf numFmtId="200" fontId="28" fillId="3" borderId="22" xfId="4" applyNumberFormat="1" applyFont="1" applyFill="1" applyBorder="1" applyAlignment="1" applyProtection="1">
      <alignment horizontal="right" vertical="center" shrinkToFit="1"/>
      <protection hidden="1"/>
    </xf>
    <xf numFmtId="203" fontId="31" fillId="3" borderId="36" xfId="4" applyNumberFormat="1" applyFont="1" applyFill="1" applyBorder="1" applyAlignment="1" applyProtection="1">
      <alignment horizontal="left" vertical="center" shrinkToFit="1"/>
      <protection hidden="1"/>
    </xf>
    <xf numFmtId="49" fontId="22" fillId="4" borderId="65" xfId="0" applyNumberFormat="1" applyFont="1" applyFill="1" applyBorder="1" applyAlignment="1" applyProtection="1">
      <alignment horizontal="center" vertical="center" wrapText="1"/>
      <protection locked="0"/>
    </xf>
    <xf numFmtId="0" fontId="0" fillId="0" borderId="34" xfId="0" applyBorder="1" applyProtection="1">
      <protection locked="0"/>
    </xf>
    <xf numFmtId="49" fontId="11" fillId="4" borderId="62" xfId="0" applyNumberFormat="1" applyFont="1" applyFill="1" applyBorder="1" applyAlignment="1" applyProtection="1">
      <alignment horizontal="center" vertical="center" wrapText="1"/>
      <protection locked="0"/>
    </xf>
    <xf numFmtId="0" fontId="0" fillId="0" borderId="66" xfId="0" applyBorder="1" applyProtection="1">
      <protection locked="0"/>
    </xf>
    <xf numFmtId="0" fontId="0" fillId="0" borderId="88" xfId="0" applyBorder="1" applyProtection="1">
      <protection locked="0"/>
    </xf>
    <xf numFmtId="0" fontId="0" fillId="0" borderId="86" xfId="0" applyBorder="1" applyProtection="1">
      <protection locked="0"/>
    </xf>
    <xf numFmtId="0" fontId="0" fillId="0" borderId="52" xfId="0" applyBorder="1" applyProtection="1">
      <protection locked="0"/>
    </xf>
    <xf numFmtId="0" fontId="0" fillId="0" borderId="7" xfId="0" applyBorder="1" applyProtection="1">
      <protection locked="0"/>
    </xf>
    <xf numFmtId="0" fontId="22" fillId="4" borderId="60" xfId="0" applyNumberFormat="1" applyFont="1" applyFill="1" applyBorder="1" applyAlignment="1" applyProtection="1">
      <alignment horizontal="center" vertical="center" wrapText="1"/>
      <protection locked="0"/>
    </xf>
    <xf numFmtId="0" fontId="0" fillId="0" borderId="13" xfId="0" applyBorder="1" applyProtection="1">
      <protection locked="0"/>
    </xf>
    <xf numFmtId="200" fontId="28" fillId="3" borderId="64" xfId="4" applyNumberFormat="1" applyFont="1" applyFill="1" applyBorder="1" applyAlignment="1" applyProtection="1">
      <alignment horizontal="center" vertical="center" shrinkToFit="1"/>
      <protection hidden="1"/>
    </xf>
    <xf numFmtId="0" fontId="0" fillId="0" borderId="89" xfId="0" applyBorder="1" applyProtection="1">
      <protection hidden="1"/>
    </xf>
    <xf numFmtId="196" fontId="27" fillId="3" borderId="38" xfId="0" applyNumberFormat="1" applyFont="1" applyFill="1" applyBorder="1" applyAlignment="1" applyProtection="1">
      <alignment horizontal="center" vertical="center"/>
      <protection hidden="1"/>
    </xf>
    <xf numFmtId="0" fontId="0" fillId="0" borderId="39" xfId="0" applyBorder="1" applyProtection="1">
      <protection hidden="1"/>
    </xf>
    <xf numFmtId="0" fontId="0" fillId="0" borderId="17" xfId="0" applyBorder="1" applyProtection="1">
      <protection locked="0"/>
    </xf>
    <xf numFmtId="189" fontId="28" fillId="3" borderId="65" xfId="0" applyNumberFormat="1" applyFont="1" applyFill="1" applyBorder="1" applyAlignment="1" applyProtection="1">
      <alignment horizontal="center" vertical="center" shrinkToFit="1"/>
      <protection hidden="1"/>
    </xf>
    <xf numFmtId="0" fontId="0" fillId="0" borderId="34" xfId="0" applyBorder="1" applyProtection="1">
      <protection hidden="1"/>
    </xf>
    <xf numFmtId="49" fontId="24" fillId="4" borderId="59" xfId="0" applyNumberFormat="1" applyFont="1" applyFill="1" applyBorder="1" applyAlignment="1" applyProtection="1">
      <alignment horizontal="center" shrinkToFit="1"/>
      <protection locked="0"/>
    </xf>
    <xf numFmtId="0" fontId="0" fillId="0" borderId="61" xfId="0" applyBorder="1" applyProtection="1">
      <protection locked="0"/>
    </xf>
    <xf numFmtId="0" fontId="0" fillId="0" borderId="78" xfId="0" applyBorder="1" applyProtection="1">
      <protection locked="0"/>
    </xf>
    <xf numFmtId="0" fontId="0" fillId="0" borderId="79" xfId="0" applyBorder="1" applyProtection="1">
      <protection locked="0"/>
    </xf>
    <xf numFmtId="198" fontId="28" fillId="3" borderId="5" xfId="4" applyNumberFormat="1" applyFont="1" applyFill="1" applyBorder="1" applyAlignment="1" applyProtection="1">
      <alignment horizontal="center" vertical="center" shrinkToFit="1"/>
      <protection hidden="1"/>
    </xf>
    <xf numFmtId="0" fontId="0" fillId="0" borderId="13" xfId="0" applyBorder="1" applyProtection="1">
      <protection hidden="1"/>
    </xf>
    <xf numFmtId="49" fontId="11" fillId="4" borderId="8" xfId="0" applyNumberFormat="1" applyFont="1" applyFill="1" applyBorder="1" applyAlignment="1" applyProtection="1">
      <alignment horizontal="center" vertical="top" shrinkToFit="1"/>
      <protection locked="0"/>
    </xf>
    <xf numFmtId="0" fontId="0" fillId="0" borderId="46" xfId="0" applyBorder="1" applyProtection="1">
      <protection locked="0"/>
    </xf>
    <xf numFmtId="49" fontId="11" fillId="4" borderId="5" xfId="0" applyNumberFormat="1" applyFont="1" applyFill="1" applyBorder="1" applyAlignment="1" applyProtection="1">
      <alignment horizontal="center" vertical="top" shrinkToFit="1"/>
      <protection locked="0"/>
    </xf>
    <xf numFmtId="49" fontId="27" fillId="3" borderId="66" xfId="0" applyNumberFormat="1" applyFont="1" applyFill="1" applyBorder="1" applyAlignment="1" applyProtection="1">
      <alignment horizontal="center" vertical="center"/>
      <protection hidden="1"/>
    </xf>
    <xf numFmtId="0" fontId="0" fillId="0" borderId="52" xfId="0" applyBorder="1" applyProtection="1">
      <protection hidden="1"/>
    </xf>
    <xf numFmtId="193" fontId="31" fillId="3" borderId="36" xfId="0" applyNumberFormat="1" applyFont="1" applyFill="1" applyBorder="1" applyAlignment="1" applyProtection="1">
      <alignment horizontal="left" vertical="center" shrinkToFit="1"/>
      <protection hidden="1"/>
    </xf>
    <xf numFmtId="0" fontId="0" fillId="0" borderId="37" xfId="0" applyBorder="1" applyProtection="1">
      <protection hidden="1"/>
    </xf>
    <xf numFmtId="202" fontId="31" fillId="3" borderId="38" xfId="4" applyNumberFormat="1" applyFont="1" applyFill="1" applyBorder="1" applyAlignment="1" applyProtection="1">
      <alignment horizontal="right" vertical="center" shrinkToFit="1"/>
      <protection hidden="1"/>
    </xf>
    <xf numFmtId="0" fontId="0" fillId="0" borderId="36" xfId="0" applyBorder="1" applyProtection="1">
      <protection hidden="1"/>
    </xf>
    <xf numFmtId="0" fontId="115" fillId="2" borderId="51" xfId="3" applyFont="1" applyFill="1" applyBorder="1" applyAlignment="1" applyProtection="1">
      <alignment horizontal="right" vertical="center"/>
      <protection hidden="1"/>
    </xf>
    <xf numFmtId="49" fontId="27" fillId="3" borderId="61" xfId="0" applyNumberFormat="1" applyFont="1" applyFill="1" applyBorder="1" applyAlignment="1" applyProtection="1">
      <alignment horizontal="center" vertical="center"/>
      <protection hidden="1"/>
    </xf>
    <xf numFmtId="0" fontId="0" fillId="0" borderId="79" xfId="0" applyBorder="1" applyProtection="1">
      <protection hidden="1"/>
    </xf>
    <xf numFmtId="201" fontId="30" fillId="3" borderId="63" xfId="4" applyNumberFormat="1" applyFont="1" applyFill="1" applyBorder="1" applyAlignment="1" applyProtection="1">
      <alignment horizontal="center" vertical="center" shrinkToFit="1"/>
      <protection hidden="1"/>
    </xf>
    <xf numFmtId="0" fontId="0" fillId="0" borderId="12" xfId="0" applyBorder="1" applyProtection="1">
      <protection hidden="1"/>
    </xf>
    <xf numFmtId="189" fontId="28" fillId="3" borderId="5" xfId="0" applyNumberFormat="1" applyFont="1" applyFill="1" applyBorder="1" applyAlignment="1" applyProtection="1">
      <alignment horizontal="center" vertical="center" shrinkToFit="1"/>
      <protection hidden="1"/>
    </xf>
    <xf numFmtId="0" fontId="0" fillId="0" borderId="17" xfId="0" applyBorder="1" applyProtection="1">
      <protection hidden="1"/>
    </xf>
    <xf numFmtId="202" fontId="31" fillId="3" borderId="38" xfId="0" applyNumberFormat="1" applyFont="1" applyFill="1" applyBorder="1" applyAlignment="1" applyProtection="1">
      <alignment horizontal="right" vertical="center" shrinkToFit="1"/>
      <protection hidden="1"/>
    </xf>
    <xf numFmtId="202" fontId="31" fillId="3" borderId="40" xfId="0" applyNumberFormat="1" applyFont="1" applyFill="1" applyBorder="1" applyAlignment="1" applyProtection="1">
      <alignment horizontal="right" vertical="center" shrinkToFit="1"/>
      <protection hidden="1"/>
    </xf>
    <xf numFmtId="188" fontId="11" fillId="4" borderId="60" xfId="0" applyNumberFormat="1" applyFont="1" applyFill="1" applyBorder="1" applyAlignment="1" applyProtection="1">
      <alignment horizontal="center" vertical="center" shrinkToFit="1"/>
      <protection locked="0"/>
    </xf>
    <xf numFmtId="49" fontId="11" fillId="4" borderId="59" xfId="0" applyNumberFormat="1" applyFont="1" applyFill="1" applyBorder="1" applyAlignment="1" applyProtection="1">
      <alignment horizontal="center" vertical="center" wrapText="1"/>
      <protection locked="0"/>
    </xf>
    <xf numFmtId="49" fontId="72" fillId="4" borderId="0" xfId="2" applyNumberFormat="1" applyFont="1" applyFill="1" applyAlignment="1" applyProtection="1">
      <alignment horizontal="center" vertical="center" wrapText="1" shrinkToFit="1"/>
      <protection hidden="1"/>
    </xf>
    <xf numFmtId="49" fontId="72" fillId="4" borderId="1" xfId="2" applyNumberFormat="1" applyFont="1" applyFill="1" applyBorder="1" applyAlignment="1" applyProtection="1">
      <alignment horizontal="center" vertical="center" wrapText="1" shrinkToFit="1"/>
      <protection hidden="1"/>
    </xf>
    <xf numFmtId="0" fontId="105" fillId="3" borderId="50" xfId="0" applyFont="1" applyFill="1" applyBorder="1" applyAlignment="1" applyProtection="1">
      <alignment horizontal="left" vertical="center" wrapText="1"/>
      <protection locked="0"/>
    </xf>
    <xf numFmtId="0" fontId="105" fillId="3" borderId="0" xfId="0" applyFont="1" applyFill="1" applyBorder="1" applyAlignment="1" applyProtection="1">
      <alignment horizontal="left" vertical="center" wrapText="1"/>
      <protection locked="0"/>
    </xf>
    <xf numFmtId="0" fontId="15" fillId="3" borderId="3" xfId="0" applyFont="1" applyFill="1" applyBorder="1" applyAlignment="1" applyProtection="1">
      <alignment horizontal="center" vertical="center" wrapText="1"/>
      <protection hidden="1"/>
    </xf>
    <xf numFmtId="0" fontId="24" fillId="3" borderId="34" xfId="0" applyFont="1" applyFill="1" applyBorder="1" applyAlignment="1" applyProtection="1">
      <alignment horizontal="center" vertical="center" wrapText="1"/>
      <protection hidden="1"/>
    </xf>
    <xf numFmtId="0" fontId="14" fillId="3" borderId="33" xfId="0" applyFont="1" applyFill="1" applyBorder="1" applyAlignment="1" applyProtection="1">
      <alignment horizontal="center" vertical="center"/>
      <protection hidden="1"/>
    </xf>
    <xf numFmtId="0" fontId="20" fillId="3" borderId="33" xfId="0" applyFont="1" applyFill="1" applyBorder="1" applyAlignment="1" applyProtection="1">
      <alignment horizontal="center" vertical="center"/>
      <protection hidden="1"/>
    </xf>
    <xf numFmtId="0" fontId="20" fillId="3" borderId="12" xfId="0" applyFont="1" applyFill="1" applyBorder="1" applyAlignment="1" applyProtection="1">
      <alignment horizontal="center" vertical="center"/>
      <protection hidden="1"/>
    </xf>
    <xf numFmtId="0" fontId="24" fillId="3" borderId="3" xfId="0" applyFont="1" applyFill="1" applyBorder="1" applyAlignment="1" applyProtection="1">
      <alignment horizontal="center" vertical="center" shrinkToFit="1"/>
      <protection hidden="1"/>
    </xf>
    <xf numFmtId="0" fontId="11" fillId="3" borderId="34" xfId="0" applyFont="1" applyFill="1" applyBorder="1" applyAlignment="1" applyProtection="1">
      <alignment horizontal="center" vertical="center" shrinkToFit="1"/>
      <protection hidden="1"/>
    </xf>
    <xf numFmtId="0" fontId="20" fillId="3" borderId="36" xfId="0" applyFont="1" applyFill="1" applyBorder="1" applyAlignment="1" applyProtection="1">
      <alignment horizontal="center" vertical="center"/>
      <protection hidden="1"/>
    </xf>
    <xf numFmtId="0" fontId="11" fillId="3" borderId="36" xfId="0" applyFont="1" applyFill="1" applyBorder="1" applyAlignment="1" applyProtection="1">
      <alignment horizontal="center" vertical="center"/>
      <protection hidden="1"/>
    </xf>
    <xf numFmtId="0" fontId="11" fillId="3" borderId="37" xfId="0" applyFont="1" applyFill="1" applyBorder="1" applyAlignment="1" applyProtection="1">
      <alignment horizontal="center" vertical="center"/>
      <protection hidden="1"/>
    </xf>
    <xf numFmtId="0" fontId="20" fillId="3" borderId="38" xfId="0" applyFont="1" applyFill="1" applyBorder="1" applyAlignment="1" applyProtection="1">
      <alignment horizontal="center" vertical="center" shrinkToFit="1"/>
      <protection hidden="1"/>
    </xf>
    <xf numFmtId="0" fontId="24" fillId="3" borderId="36" xfId="0" applyFont="1" applyFill="1" applyBorder="1" applyAlignment="1" applyProtection="1">
      <alignment horizontal="center" vertical="center" shrinkToFit="1"/>
      <protection hidden="1"/>
    </xf>
    <xf numFmtId="0" fontId="24" fillId="3" borderId="37" xfId="0" applyFont="1" applyFill="1" applyBorder="1" applyAlignment="1" applyProtection="1">
      <alignment horizontal="center" vertical="center" shrinkToFit="1"/>
      <protection hidden="1"/>
    </xf>
    <xf numFmtId="49" fontId="38" fillId="3" borderId="73" xfId="0" applyNumberFormat="1" applyFont="1" applyFill="1" applyBorder="1" applyAlignment="1" applyProtection="1">
      <alignment horizontal="center" wrapText="1"/>
      <protection locked="0"/>
    </xf>
    <xf numFmtId="49" fontId="38" fillId="3" borderId="74" xfId="0" applyNumberFormat="1" applyFont="1" applyFill="1" applyBorder="1" applyAlignment="1" applyProtection="1">
      <alignment horizontal="center" wrapText="1"/>
      <protection locked="0"/>
    </xf>
    <xf numFmtId="49" fontId="38" fillId="3" borderId="75" xfId="0" applyNumberFormat="1" applyFont="1" applyFill="1" applyBorder="1" applyAlignment="1" applyProtection="1">
      <alignment horizontal="center" wrapText="1"/>
      <protection locked="0"/>
    </xf>
    <xf numFmtId="49" fontId="37" fillId="3" borderId="73" xfId="0" applyNumberFormat="1" applyFont="1" applyFill="1" applyBorder="1" applyAlignment="1" applyProtection="1">
      <alignment horizontal="center" vertical="center" wrapText="1"/>
      <protection locked="0"/>
    </xf>
    <xf numFmtId="49" fontId="37" fillId="3" borderId="74" xfId="0" applyNumberFormat="1" applyFont="1" applyFill="1" applyBorder="1" applyAlignment="1" applyProtection="1">
      <alignment horizontal="center" vertical="center" wrapText="1"/>
      <protection locked="0"/>
    </xf>
    <xf numFmtId="49" fontId="37" fillId="3" borderId="75" xfId="0" applyNumberFormat="1" applyFont="1" applyFill="1" applyBorder="1" applyAlignment="1" applyProtection="1">
      <alignment horizontal="center" vertical="center" wrapText="1"/>
      <protection locked="0"/>
    </xf>
    <xf numFmtId="0" fontId="34" fillId="3" borderId="73" xfId="0" applyNumberFormat="1" applyFont="1" applyFill="1" applyBorder="1" applyAlignment="1" applyProtection="1">
      <alignment horizontal="center" vertical="center" wrapText="1"/>
      <protection hidden="1"/>
    </xf>
    <xf numFmtId="0" fontId="35" fillId="3" borderId="74" xfId="0" applyNumberFormat="1" applyFont="1" applyFill="1" applyBorder="1" applyAlignment="1" applyProtection="1">
      <alignment horizontal="center" vertical="center" wrapText="1"/>
      <protection hidden="1"/>
    </xf>
    <xf numFmtId="0" fontId="35" fillId="3" borderId="75" xfId="0" applyNumberFormat="1" applyFont="1" applyFill="1" applyBorder="1" applyAlignment="1" applyProtection="1">
      <alignment horizontal="center" vertical="center" wrapText="1"/>
      <protection hidden="1"/>
    </xf>
    <xf numFmtId="0" fontId="97" fillId="3" borderId="73" xfId="0" applyNumberFormat="1" applyFont="1" applyFill="1" applyBorder="1" applyAlignment="1" applyProtection="1">
      <alignment horizontal="center" vertical="center" wrapText="1" shrinkToFit="1"/>
      <protection locked="0"/>
    </xf>
    <xf numFmtId="0" fontId="97" fillId="3" borderId="74" xfId="0" applyNumberFormat="1" applyFont="1" applyFill="1" applyBorder="1" applyAlignment="1" applyProtection="1">
      <alignment horizontal="center" vertical="center" shrinkToFit="1"/>
      <protection locked="0"/>
    </xf>
    <xf numFmtId="0" fontId="97" fillId="3" borderId="75" xfId="0" applyNumberFormat="1" applyFont="1" applyFill="1" applyBorder="1" applyAlignment="1" applyProtection="1">
      <alignment horizontal="center" vertical="center" shrinkToFit="1"/>
      <protection locked="0"/>
    </xf>
    <xf numFmtId="49" fontId="32" fillId="3" borderId="73" xfId="0" applyNumberFormat="1" applyFont="1" applyFill="1" applyBorder="1" applyAlignment="1" applyProtection="1">
      <alignment horizontal="left" vertical="center"/>
      <protection hidden="1"/>
    </xf>
    <xf numFmtId="49" fontId="33" fillId="3" borderId="74" xfId="0" applyNumberFormat="1" applyFont="1" applyFill="1" applyBorder="1" applyAlignment="1" applyProtection="1">
      <alignment horizontal="left" vertical="center"/>
      <protection hidden="1"/>
    </xf>
    <xf numFmtId="49" fontId="33" fillId="3" borderId="75" xfId="0" applyNumberFormat="1" applyFont="1" applyFill="1" applyBorder="1" applyAlignment="1" applyProtection="1">
      <alignment horizontal="left" vertical="center"/>
      <protection hidden="1"/>
    </xf>
    <xf numFmtId="0" fontId="14" fillId="3" borderId="76" xfId="0" applyFont="1" applyFill="1" applyBorder="1" applyAlignment="1" applyProtection="1">
      <alignment horizontal="center" vertical="center"/>
      <protection hidden="1"/>
    </xf>
    <xf numFmtId="0" fontId="1" fillId="3" borderId="6" xfId="0" applyFont="1" applyFill="1" applyBorder="1" applyAlignment="1" applyProtection="1">
      <alignment horizontal="center" vertical="center"/>
      <protection hidden="1"/>
    </xf>
    <xf numFmtId="0" fontId="1" fillId="3" borderId="47" xfId="0" applyFont="1" applyFill="1" applyBorder="1" applyAlignment="1" applyProtection="1">
      <alignment horizontal="center" vertical="center"/>
      <protection hidden="1"/>
    </xf>
    <xf numFmtId="0" fontId="14" fillId="3" borderId="63" xfId="0" applyFont="1" applyFill="1" applyBorder="1" applyAlignment="1" applyProtection="1">
      <alignment horizontal="center" vertical="center" shrinkToFit="1"/>
      <protection hidden="1"/>
    </xf>
    <xf numFmtId="0" fontId="24" fillId="3" borderId="77" xfId="0" applyFont="1" applyFill="1" applyBorder="1" applyAlignment="1" applyProtection="1">
      <alignment horizontal="center" vertical="center" shrinkToFit="1"/>
      <protection hidden="1"/>
    </xf>
    <xf numFmtId="0" fontId="14" fillId="3" borderId="78" xfId="0" applyFont="1" applyFill="1" applyBorder="1" applyAlignment="1" applyProtection="1">
      <alignment horizontal="center" vertical="center" shrinkToFit="1"/>
      <protection hidden="1"/>
    </xf>
    <xf numFmtId="0" fontId="14" fillId="3" borderId="79" xfId="0" applyFont="1" applyFill="1" applyBorder="1" applyAlignment="1" applyProtection="1">
      <alignment horizontal="center" vertical="center" shrinkToFit="1"/>
      <protection hidden="1"/>
    </xf>
    <xf numFmtId="0" fontId="14" fillId="3" borderId="80" xfId="0" applyFont="1" applyFill="1" applyBorder="1" applyAlignment="1" applyProtection="1">
      <alignment horizontal="center" shrinkToFit="1"/>
      <protection hidden="1"/>
    </xf>
    <xf numFmtId="0" fontId="14" fillId="3" borderId="81" xfId="0" applyFont="1" applyFill="1" applyBorder="1" applyAlignment="1" applyProtection="1">
      <alignment horizontal="center" shrinkToFit="1"/>
      <protection hidden="1"/>
    </xf>
    <xf numFmtId="0" fontId="14" fillId="3" borderId="26" xfId="0" applyFont="1" applyFill="1" applyBorder="1" applyAlignment="1" applyProtection="1">
      <alignment horizontal="center" vertical="top" shrinkToFit="1"/>
      <protection hidden="1"/>
    </xf>
    <xf numFmtId="0" fontId="14" fillId="3" borderId="25" xfId="0" applyFont="1" applyFill="1" applyBorder="1" applyAlignment="1" applyProtection="1">
      <alignment horizontal="center" vertical="top" shrinkToFit="1"/>
      <protection hidden="1"/>
    </xf>
    <xf numFmtId="0" fontId="1" fillId="8" borderId="11" xfId="0" applyFont="1" applyFill="1" applyBorder="1" applyAlignment="1" applyProtection="1">
      <alignment horizontal="center" vertical="center" shrinkToFit="1"/>
      <protection hidden="1"/>
    </xf>
    <xf numFmtId="0" fontId="1" fillId="8" borderId="85" xfId="0" applyFont="1" applyFill="1" applyBorder="1" applyAlignment="1" applyProtection="1">
      <alignment horizontal="center" vertical="center" shrinkToFit="1"/>
      <protection hidden="1"/>
    </xf>
    <xf numFmtId="0" fontId="25" fillId="3" borderId="3" xfId="0" applyFont="1" applyFill="1" applyBorder="1" applyAlignment="1" applyProtection="1">
      <alignment horizontal="center" vertical="center" wrapText="1"/>
      <protection hidden="1"/>
    </xf>
    <xf numFmtId="0" fontId="19" fillId="3" borderId="15" xfId="0" applyFont="1" applyFill="1" applyBorder="1" applyAlignment="1" applyProtection="1">
      <alignment horizontal="center" vertical="center" wrapText="1"/>
      <protection hidden="1"/>
    </xf>
    <xf numFmtId="0" fontId="23" fillId="3" borderId="8" xfId="0" applyFont="1" applyFill="1" applyBorder="1" applyAlignment="1" applyProtection="1">
      <alignment horizontal="center" vertical="center" shrinkToFit="1"/>
      <protection hidden="1"/>
    </xf>
    <xf numFmtId="0" fontId="23" fillId="3" borderId="32" xfId="0" applyFont="1" applyFill="1" applyBorder="1" applyAlignment="1" applyProtection="1">
      <alignment horizontal="center" vertical="center" shrinkToFit="1"/>
      <protection hidden="1"/>
    </xf>
    <xf numFmtId="0" fontId="14" fillId="3" borderId="3" xfId="0" applyFont="1" applyFill="1" applyBorder="1" applyAlignment="1" applyProtection="1">
      <alignment horizontal="center" vertical="center" wrapText="1"/>
      <protection hidden="1"/>
    </xf>
    <xf numFmtId="0" fontId="14" fillId="3" borderId="15" xfId="0" applyFont="1" applyFill="1" applyBorder="1" applyAlignment="1" applyProtection="1">
      <alignment horizontal="center" vertical="center" wrapText="1"/>
      <protection hidden="1"/>
    </xf>
    <xf numFmtId="0" fontId="11" fillId="3" borderId="5" xfId="0" applyFont="1" applyFill="1" applyBorder="1" applyAlignment="1" applyProtection="1">
      <alignment horizontal="center" vertical="center" wrapText="1"/>
      <protection hidden="1"/>
    </xf>
    <xf numFmtId="0" fontId="11" fillId="3" borderId="27" xfId="0" applyFont="1" applyFill="1" applyBorder="1" applyAlignment="1" applyProtection="1">
      <alignment horizontal="center" vertical="center" wrapText="1"/>
      <protection hidden="1"/>
    </xf>
    <xf numFmtId="0" fontId="13" fillId="3" borderId="15" xfId="0" applyFont="1" applyFill="1" applyBorder="1" applyAlignment="1" applyProtection="1">
      <alignment horizontal="center" vertical="center" wrapText="1"/>
      <protection hidden="1"/>
    </xf>
    <xf numFmtId="0" fontId="12" fillId="3" borderId="82" xfId="0" applyFont="1" applyFill="1" applyBorder="1" applyAlignment="1" applyProtection="1">
      <alignment horizontal="center" vertical="center" wrapText="1"/>
      <protection hidden="1"/>
    </xf>
    <xf numFmtId="0" fontId="12" fillId="3" borderId="23" xfId="0" applyFont="1" applyFill="1" applyBorder="1" applyAlignment="1" applyProtection="1">
      <alignment horizontal="center" vertical="center" wrapText="1"/>
      <protection hidden="1"/>
    </xf>
    <xf numFmtId="0" fontId="12" fillId="3" borderId="45" xfId="0" applyFont="1" applyFill="1" applyBorder="1" applyAlignment="1" applyProtection="1">
      <alignment horizontal="center" vertical="center" wrapText="1"/>
      <protection hidden="1"/>
    </xf>
    <xf numFmtId="0" fontId="12" fillId="3" borderId="83" xfId="0" applyFont="1" applyFill="1" applyBorder="1" applyAlignment="1" applyProtection="1">
      <alignment horizontal="center" vertical="center" wrapText="1"/>
      <protection hidden="1"/>
    </xf>
    <xf numFmtId="0" fontId="12" fillId="3" borderId="15" xfId="0" applyFont="1" applyFill="1" applyBorder="1" applyAlignment="1" applyProtection="1">
      <alignment horizontal="center" vertical="center" wrapText="1"/>
      <protection hidden="1"/>
    </xf>
    <xf numFmtId="0" fontId="12" fillId="3" borderId="19" xfId="0" applyFont="1" applyFill="1" applyBorder="1" applyAlignment="1" applyProtection="1">
      <alignment horizontal="center" vertical="center" wrapText="1"/>
      <protection hidden="1"/>
    </xf>
    <xf numFmtId="185" fontId="24" fillId="3" borderId="40" xfId="0" applyNumberFormat="1" applyFont="1" applyFill="1" applyBorder="1" applyAlignment="1" applyProtection="1">
      <alignment horizontal="center" vertical="center" shrinkToFit="1"/>
      <protection hidden="1"/>
    </xf>
    <xf numFmtId="185" fontId="24" fillId="3" borderId="36" xfId="0" applyNumberFormat="1" applyFont="1" applyFill="1" applyBorder="1" applyAlignment="1" applyProtection="1">
      <alignment horizontal="center" vertical="center" shrinkToFit="1"/>
      <protection hidden="1"/>
    </xf>
    <xf numFmtId="185" fontId="24" fillId="3" borderId="37" xfId="0" applyNumberFormat="1" applyFont="1" applyFill="1" applyBorder="1" applyAlignment="1" applyProtection="1">
      <alignment horizontal="center" vertical="center" shrinkToFit="1"/>
      <protection hidden="1"/>
    </xf>
    <xf numFmtId="0" fontId="12" fillId="3" borderId="84" xfId="0" applyFont="1" applyFill="1" applyBorder="1" applyAlignment="1" applyProtection="1">
      <alignment horizontal="center" shrinkToFit="1"/>
      <protection hidden="1"/>
    </xf>
    <xf numFmtId="0" fontId="12" fillId="3" borderId="50" xfId="0" applyFont="1" applyFill="1" applyBorder="1" applyAlignment="1" applyProtection="1">
      <alignment horizontal="center" shrinkToFit="1"/>
      <protection hidden="1"/>
    </xf>
    <xf numFmtId="0" fontId="12" fillId="3" borderId="81" xfId="0" applyFont="1" applyFill="1" applyBorder="1" applyAlignment="1" applyProtection="1">
      <alignment horizontal="center" shrinkToFit="1"/>
      <protection hidden="1"/>
    </xf>
    <xf numFmtId="0" fontId="7" fillId="3" borderId="24" xfId="0" applyFont="1" applyFill="1" applyBorder="1" applyAlignment="1" applyProtection="1">
      <alignment horizontal="center" shrinkToFit="1"/>
      <protection hidden="1"/>
    </xf>
    <xf numFmtId="0" fontId="15" fillId="3" borderId="0" xfId="0" applyFont="1" applyFill="1" applyBorder="1" applyAlignment="1" applyProtection="1">
      <alignment horizontal="center" shrinkToFit="1"/>
      <protection hidden="1"/>
    </xf>
    <xf numFmtId="0" fontId="15" fillId="3" borderId="25" xfId="0" applyFont="1" applyFill="1" applyBorder="1" applyAlignment="1" applyProtection="1">
      <alignment horizontal="center" shrinkToFit="1"/>
      <protection hidden="1"/>
    </xf>
    <xf numFmtId="0" fontId="24" fillId="3" borderId="31" xfId="0" applyFont="1" applyFill="1" applyBorder="1" applyAlignment="1" applyProtection="1">
      <alignment horizontal="center" vertical="center" shrinkToFit="1"/>
      <protection hidden="1"/>
    </xf>
    <xf numFmtId="0" fontId="24" fillId="3" borderId="33" xfId="0" applyFont="1" applyFill="1" applyBorder="1" applyAlignment="1" applyProtection="1">
      <alignment horizontal="center" vertical="center" shrinkToFit="1"/>
      <protection hidden="1"/>
    </xf>
    <xf numFmtId="0" fontId="12" fillId="3" borderId="80" xfId="0" applyFont="1" applyFill="1" applyBorder="1" applyAlignment="1" applyProtection="1">
      <alignment horizontal="center" vertical="center"/>
      <protection hidden="1"/>
    </xf>
    <xf numFmtId="0" fontId="12" fillId="0" borderId="50" xfId="0" applyFont="1" applyBorder="1" applyProtection="1">
      <protection hidden="1"/>
    </xf>
    <xf numFmtId="0" fontId="12" fillId="0" borderId="70" xfId="0" applyFont="1" applyBorder="1" applyProtection="1">
      <protection hidden="1"/>
    </xf>
    <xf numFmtId="0" fontId="12" fillId="3" borderId="68" xfId="0" applyFont="1" applyFill="1" applyBorder="1" applyAlignment="1" applyProtection="1">
      <alignment horizontal="center" vertical="center" shrinkToFit="1"/>
      <protection hidden="1"/>
    </xf>
    <xf numFmtId="0" fontId="12" fillId="3" borderId="69" xfId="0" applyFont="1" applyFill="1" applyBorder="1" applyAlignment="1" applyProtection="1">
      <alignment horizontal="center" vertical="center" shrinkToFit="1"/>
      <protection hidden="1"/>
    </xf>
    <xf numFmtId="0" fontId="12" fillId="3" borderId="70" xfId="0" applyFont="1" applyFill="1" applyBorder="1" applyAlignment="1" applyProtection="1">
      <alignment horizontal="center" vertical="center" shrinkToFit="1"/>
      <protection hidden="1"/>
    </xf>
    <xf numFmtId="0" fontId="12" fillId="3" borderId="63" xfId="0" applyFont="1" applyFill="1" applyBorder="1" applyAlignment="1" applyProtection="1">
      <alignment horizontal="center" vertical="center" shrinkToFit="1"/>
      <protection hidden="1"/>
    </xf>
    <xf numFmtId="0" fontId="14" fillId="3" borderId="12" xfId="0" applyFont="1" applyFill="1" applyBorder="1" applyAlignment="1" applyProtection="1">
      <alignment horizontal="center" vertical="center" shrinkToFit="1"/>
      <protection hidden="1"/>
    </xf>
    <xf numFmtId="0" fontId="12" fillId="3" borderId="3" xfId="0" applyFont="1" applyFill="1" applyBorder="1" applyAlignment="1" applyProtection="1">
      <alignment horizontal="center" vertical="center" shrinkToFit="1"/>
      <protection hidden="1"/>
    </xf>
    <xf numFmtId="0" fontId="0" fillId="0" borderId="15" xfId="0" applyBorder="1" applyProtection="1">
      <protection hidden="1"/>
    </xf>
    <xf numFmtId="0" fontId="20" fillId="3" borderId="38" xfId="0" applyFont="1" applyFill="1" applyBorder="1" applyAlignment="1" applyProtection="1">
      <alignment horizontal="center" vertical="center"/>
      <protection hidden="1"/>
    </xf>
    <xf numFmtId="0" fontId="24" fillId="3" borderId="36" xfId="0" applyFont="1" applyFill="1" applyBorder="1" applyAlignment="1" applyProtection="1">
      <alignment horizontal="center" vertical="center"/>
      <protection hidden="1"/>
    </xf>
    <xf numFmtId="0" fontId="24" fillId="3" borderId="39" xfId="0" applyFont="1" applyFill="1" applyBorder="1" applyAlignment="1" applyProtection="1">
      <alignment horizontal="center" vertical="center"/>
      <protection hidden="1"/>
    </xf>
    <xf numFmtId="0" fontId="14" fillId="3" borderId="68" xfId="0" applyNumberFormat="1" applyFont="1" applyFill="1" applyBorder="1" applyAlignment="1" applyProtection="1">
      <alignment horizontal="center" vertical="center" shrinkToFit="1"/>
      <protection hidden="1"/>
    </xf>
    <xf numFmtId="0" fontId="14" fillId="3" borderId="69" xfId="0" applyNumberFormat="1" applyFont="1" applyFill="1" applyBorder="1" applyAlignment="1" applyProtection="1">
      <alignment horizontal="center" vertical="center" shrinkToFit="1"/>
      <protection hidden="1"/>
    </xf>
    <xf numFmtId="0" fontId="14" fillId="3" borderId="70" xfId="0" applyNumberFormat="1" applyFont="1" applyFill="1" applyBorder="1" applyAlignment="1" applyProtection="1">
      <alignment horizontal="center" vertical="center" shrinkToFit="1"/>
      <protection hidden="1"/>
    </xf>
    <xf numFmtId="0" fontId="12" fillId="3" borderId="68" xfId="0" applyFont="1" applyFill="1" applyBorder="1" applyAlignment="1" applyProtection="1">
      <alignment horizontal="center" vertical="center"/>
      <protection hidden="1"/>
    </xf>
    <xf numFmtId="0" fontId="12" fillId="3" borderId="69" xfId="0" applyFont="1" applyFill="1" applyBorder="1" applyAlignment="1" applyProtection="1">
      <alignment horizontal="center" vertical="center"/>
      <protection hidden="1"/>
    </xf>
    <xf numFmtId="0" fontId="12" fillId="3" borderId="71" xfId="0" applyFont="1" applyFill="1" applyBorder="1" applyAlignment="1" applyProtection="1">
      <alignment horizontal="center" vertical="center"/>
      <protection hidden="1"/>
    </xf>
    <xf numFmtId="0" fontId="14" fillId="3" borderId="63" xfId="0" applyFont="1" applyFill="1" applyBorder="1" applyAlignment="1" applyProtection="1">
      <alignment horizontal="center" vertical="center"/>
      <protection hidden="1"/>
    </xf>
    <xf numFmtId="0" fontId="12" fillId="3" borderId="72" xfId="0" applyFont="1" applyFill="1" applyBorder="1" applyAlignment="1" applyProtection="1">
      <alignment horizontal="center" vertical="center"/>
      <protection hidden="1"/>
    </xf>
    <xf numFmtId="0" fontId="12" fillId="3" borderId="70" xfId="0" applyFont="1" applyFill="1" applyBorder="1" applyAlignment="1" applyProtection="1">
      <alignment horizontal="center" vertical="center"/>
      <protection hidden="1"/>
    </xf>
    <xf numFmtId="185" fontId="13" fillId="3" borderId="63" xfId="0" applyNumberFormat="1" applyFont="1" applyFill="1" applyBorder="1" applyAlignment="1" applyProtection="1">
      <alignment horizontal="center" vertical="center" shrinkToFit="1"/>
      <protection hidden="1"/>
    </xf>
    <xf numFmtId="185" fontId="11" fillId="3" borderId="12" xfId="0" applyNumberFormat="1" applyFont="1" applyFill="1" applyBorder="1" applyAlignment="1" applyProtection="1">
      <alignment horizontal="center" vertical="center" shrinkToFit="1"/>
      <protection hidden="1"/>
    </xf>
    <xf numFmtId="185" fontId="20" fillId="3" borderId="63" xfId="0" applyNumberFormat="1" applyFont="1" applyFill="1" applyBorder="1" applyAlignment="1" applyProtection="1">
      <alignment horizontal="center" vertical="center" shrinkToFit="1"/>
      <protection hidden="1"/>
    </xf>
    <xf numFmtId="185" fontId="20" fillId="3" borderId="12" xfId="0" applyNumberFormat="1" applyFont="1" applyFill="1" applyBorder="1" applyAlignment="1" applyProtection="1">
      <alignment horizontal="center" vertical="center" shrinkToFit="1"/>
      <protection hidden="1"/>
    </xf>
    <xf numFmtId="185" fontId="24" fillId="3" borderId="63" xfId="0" applyNumberFormat="1" applyFont="1" applyFill="1" applyBorder="1" applyAlignment="1" applyProtection="1">
      <alignment horizontal="center" vertical="center" shrinkToFit="1"/>
      <protection hidden="1"/>
    </xf>
    <xf numFmtId="185" fontId="24" fillId="3" borderId="12" xfId="0" applyNumberFormat="1" applyFont="1" applyFill="1" applyBorder="1" applyAlignment="1" applyProtection="1">
      <alignment horizontal="center" vertical="center" shrinkToFit="1"/>
      <protection hidden="1"/>
    </xf>
    <xf numFmtId="0" fontId="12" fillId="3" borderId="63" xfId="0" applyFont="1" applyFill="1" applyBorder="1" applyAlignment="1" applyProtection="1">
      <alignment horizontal="center" vertical="center" wrapText="1"/>
      <protection hidden="1"/>
    </xf>
    <xf numFmtId="0" fontId="12" fillId="3" borderId="33" xfId="0" applyFont="1" applyFill="1" applyBorder="1" applyAlignment="1" applyProtection="1">
      <alignment horizontal="center" vertical="center" wrapText="1"/>
      <protection hidden="1"/>
    </xf>
    <xf numFmtId="0" fontId="12" fillId="3" borderId="12" xfId="0" applyFont="1" applyFill="1" applyBorder="1" applyAlignment="1" applyProtection="1">
      <alignment horizontal="center" vertical="center" wrapText="1"/>
      <protection hidden="1"/>
    </xf>
    <xf numFmtId="0" fontId="13" fillId="3" borderId="8" xfId="0" applyFont="1" applyFill="1" applyBorder="1" applyAlignment="1" applyProtection="1">
      <alignment horizontal="center" vertical="center" wrapText="1"/>
      <protection hidden="1"/>
    </xf>
    <xf numFmtId="0" fontId="15" fillId="3" borderId="14" xfId="0" applyFont="1" applyFill="1" applyBorder="1" applyAlignment="1" applyProtection="1">
      <alignment horizontal="center" vertical="center" wrapText="1"/>
      <protection hidden="1"/>
    </xf>
    <xf numFmtId="0" fontId="15" fillId="3" borderId="46"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shrinkToFit="1"/>
      <protection hidden="1"/>
    </xf>
    <xf numFmtId="0" fontId="14" fillId="3" borderId="15" xfId="0" applyFont="1" applyFill="1" applyBorder="1" applyAlignment="1" applyProtection="1">
      <alignment horizontal="center" vertical="center" shrinkToFit="1"/>
      <protection hidden="1"/>
    </xf>
    <xf numFmtId="0" fontId="15" fillId="3" borderId="86" xfId="0" applyFont="1" applyFill="1" applyBorder="1" applyAlignment="1" applyProtection="1">
      <alignment horizontal="right" vertical="center" shrinkToFit="1"/>
      <protection hidden="1"/>
    </xf>
    <xf numFmtId="0" fontId="15" fillId="3" borderId="52" xfId="0" applyFont="1" applyFill="1" applyBorder="1" applyAlignment="1" applyProtection="1">
      <alignment horizontal="right" vertical="center" shrinkToFit="1"/>
      <protection hidden="1"/>
    </xf>
    <xf numFmtId="0" fontId="22" fillId="3" borderId="52" xfId="0" applyFont="1" applyFill="1" applyBorder="1" applyAlignment="1" applyProtection="1">
      <alignment horizontal="right" vertical="center" shrinkToFit="1"/>
      <protection hidden="1"/>
    </xf>
    <xf numFmtId="0" fontId="22" fillId="3" borderId="79" xfId="0" applyFont="1" applyFill="1" applyBorder="1" applyAlignment="1" applyProtection="1">
      <alignment horizontal="right" vertical="center" shrinkToFit="1"/>
      <protection hidden="1"/>
    </xf>
    <xf numFmtId="0" fontId="11" fillId="3" borderId="5" xfId="0" applyFont="1" applyFill="1" applyBorder="1" applyAlignment="1" applyProtection="1">
      <alignment horizontal="center" vertical="center" wrapText="1" shrinkToFit="1"/>
      <protection hidden="1"/>
    </xf>
    <xf numFmtId="0" fontId="11" fillId="3" borderId="27" xfId="0" applyFont="1" applyFill="1" applyBorder="1" applyAlignment="1" applyProtection="1">
      <alignment horizontal="center" vertical="center" wrapText="1" shrinkToFit="1"/>
      <protection hidden="1"/>
    </xf>
    <xf numFmtId="0" fontId="24" fillId="3" borderId="38" xfId="0" applyFont="1" applyFill="1" applyBorder="1" applyAlignment="1" applyProtection="1">
      <alignment horizontal="center" vertical="center" shrinkToFit="1"/>
      <protection hidden="1"/>
    </xf>
    <xf numFmtId="0" fontId="24" fillId="3" borderId="39" xfId="0" applyFont="1" applyFill="1" applyBorder="1" applyAlignment="1" applyProtection="1">
      <alignment horizontal="center" vertical="center" shrinkToFit="1"/>
      <protection hidden="1"/>
    </xf>
    <xf numFmtId="0" fontId="111" fillId="6" borderId="0" xfId="0" applyFont="1" applyFill="1" applyAlignment="1">
      <alignment horizontal="center" vertical="center" shrinkToFit="1"/>
    </xf>
    <xf numFmtId="0" fontId="6" fillId="7" borderId="31" xfId="0" applyFont="1" applyFill="1" applyBorder="1" applyAlignment="1" applyProtection="1">
      <alignment horizontal="center" vertical="center"/>
      <protection hidden="1"/>
    </xf>
    <xf numFmtId="0" fontId="6" fillId="7" borderId="33" xfId="0" applyFont="1" applyFill="1" applyBorder="1" applyAlignment="1" applyProtection="1">
      <alignment horizontal="center" vertical="center"/>
      <protection hidden="1"/>
    </xf>
    <xf numFmtId="0" fontId="31" fillId="7" borderId="33" xfId="0" applyFont="1" applyFill="1" applyBorder="1" applyAlignment="1" applyProtection="1">
      <alignment horizontal="center" shrinkToFit="1"/>
      <protection hidden="1"/>
    </xf>
    <xf numFmtId="0" fontId="107" fillId="7" borderId="0" xfId="0" applyFont="1" applyFill="1" applyBorder="1" applyAlignment="1" applyProtection="1">
      <alignment horizontal="center" vertical="center"/>
      <protection hidden="1"/>
    </xf>
    <xf numFmtId="0" fontId="11" fillId="4" borderId="67" xfId="0" applyNumberFormat="1" applyFont="1" applyFill="1" applyBorder="1" applyAlignment="1" applyProtection="1">
      <alignment horizontal="center" vertical="center" wrapText="1"/>
      <protection hidden="1"/>
    </xf>
    <xf numFmtId="0" fontId="11" fillId="4" borderId="65" xfId="0" applyNumberFormat="1" applyFont="1" applyFill="1" applyBorder="1" applyAlignment="1" applyProtection="1">
      <alignment horizontal="center" vertical="center" wrapText="1"/>
      <protection hidden="1"/>
    </xf>
    <xf numFmtId="0" fontId="26" fillId="4" borderId="62" xfId="0" applyNumberFormat="1" applyFont="1" applyFill="1" applyBorder="1" applyAlignment="1" applyProtection="1">
      <alignment horizontal="center" vertical="center" shrinkToFit="1"/>
      <protection hidden="1"/>
    </xf>
    <xf numFmtId="0" fontId="26" fillId="4" borderId="66" xfId="0" applyNumberFormat="1" applyFont="1" applyFill="1" applyBorder="1" applyAlignment="1" applyProtection="1">
      <alignment horizontal="center" vertical="center" shrinkToFit="1"/>
      <protection hidden="1"/>
    </xf>
    <xf numFmtId="49" fontId="15" fillId="4" borderId="87" xfId="0" applyNumberFormat="1" applyFont="1" applyFill="1" applyBorder="1" applyAlignment="1" applyProtection="1">
      <alignment horizontal="center" vertical="center" wrapText="1"/>
      <protection hidden="1"/>
    </xf>
    <xf numFmtId="180" fontId="26" fillId="4" borderId="65" xfId="0" applyNumberFormat="1" applyFont="1" applyFill="1" applyBorder="1" applyAlignment="1" applyProtection="1">
      <alignment horizontal="center" vertical="center"/>
      <protection hidden="1"/>
    </xf>
    <xf numFmtId="188" fontId="26" fillId="4" borderId="60" xfId="0" applyNumberFormat="1" applyFont="1" applyFill="1" applyBorder="1" applyAlignment="1" applyProtection="1">
      <alignment horizontal="center" vertical="center" shrinkToFit="1"/>
      <protection hidden="1"/>
    </xf>
    <xf numFmtId="0" fontId="0" fillId="0" borderId="23" xfId="0" applyBorder="1" applyProtection="1">
      <protection hidden="1"/>
    </xf>
    <xf numFmtId="0" fontId="0" fillId="0" borderId="86" xfId="0" applyBorder="1" applyProtection="1">
      <protection hidden="1"/>
    </xf>
    <xf numFmtId="0" fontId="0" fillId="0" borderId="32" xfId="0" applyBorder="1" applyProtection="1">
      <protection hidden="1"/>
    </xf>
    <xf numFmtId="0" fontId="0" fillId="0" borderId="27" xfId="0" applyBorder="1" applyProtection="1">
      <protection hidden="1"/>
    </xf>
    <xf numFmtId="191" fontId="11" fillId="4" borderId="31" xfId="0" applyNumberFormat="1" applyFont="1" applyFill="1" applyBorder="1" applyAlignment="1" applyProtection="1">
      <alignment horizontal="center" vertical="center" shrinkToFit="1"/>
      <protection hidden="1"/>
    </xf>
    <xf numFmtId="0" fontId="0" fillId="0" borderId="33" xfId="0" applyBorder="1" applyProtection="1">
      <protection hidden="1"/>
    </xf>
    <xf numFmtId="0" fontId="0" fillId="0" borderId="77" xfId="0" applyBorder="1" applyProtection="1">
      <protection hidden="1"/>
    </xf>
    <xf numFmtId="192" fontId="26" fillId="4" borderId="63" xfId="0" applyNumberFormat="1" applyFont="1" applyFill="1" applyBorder="1" applyAlignment="1" applyProtection="1">
      <alignment horizontal="center" vertical="center" shrinkToFit="1"/>
      <protection hidden="1"/>
    </xf>
    <xf numFmtId="0" fontId="0" fillId="0" borderId="45" xfId="0" applyBorder="1" applyProtection="1">
      <protection hidden="1"/>
    </xf>
    <xf numFmtId="0" fontId="0" fillId="0" borderId="18" xfId="0" applyBorder="1" applyProtection="1">
      <protection hidden="1"/>
    </xf>
    <xf numFmtId="199" fontId="11" fillId="4" borderId="40" xfId="0" applyNumberFormat="1" applyFont="1" applyFill="1" applyBorder="1" applyAlignment="1" applyProtection="1">
      <alignment horizontal="center" vertical="center" shrinkToFit="1"/>
      <protection hidden="1"/>
    </xf>
  </cellXfs>
  <cellStyles count="6">
    <cellStyle name="ハイパーリンク" xfId="1" builtinId="8"/>
    <cellStyle name="標準" xfId="0" builtinId="0"/>
    <cellStyle name="標準 2" xfId="5"/>
    <cellStyle name="標準_(UL)ESE-HP計算実務例VD2" xfId="2"/>
    <cellStyle name="標準_(UL)ESE-HP計算実務例VD4" xfId="3"/>
    <cellStyle name="標準_(UL)VD4-JPN. Ver4.0"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1</xdr:row>
      <xdr:rowOff>152400</xdr:rowOff>
    </xdr:from>
    <xdr:to>
      <xdr:col>21</xdr:col>
      <xdr:colOff>517072</xdr:colOff>
      <xdr:row>6</xdr:row>
      <xdr:rowOff>85725</xdr:rowOff>
    </xdr:to>
    <xdr:grpSp>
      <xdr:nvGrpSpPr>
        <xdr:cNvPr id="1028" name="Group 4"/>
        <xdr:cNvGrpSpPr>
          <a:grpSpLocks/>
        </xdr:cNvGrpSpPr>
      </xdr:nvGrpSpPr>
      <xdr:grpSpPr bwMode="auto">
        <a:xfrm>
          <a:off x="1438275" y="329293"/>
          <a:ext cx="8835118" cy="817789"/>
          <a:chOff x="151" y="34"/>
          <a:chExt cx="872" cy="83"/>
        </a:xfrm>
      </xdr:grpSpPr>
      <xdr:sp macro="" textlink="">
        <xdr:nvSpPr>
          <xdr:cNvPr id="1029" name="Text Box 5"/>
          <xdr:cNvSpPr txBox="1">
            <a:spLocks noChangeArrowheads="1"/>
          </xdr:cNvSpPr>
        </xdr:nvSpPr>
        <xdr:spPr bwMode="auto">
          <a:xfrm>
            <a:off x="172" y="89"/>
            <a:ext cx="94" cy="25"/>
          </a:xfrm>
          <a:prstGeom prst="rect">
            <a:avLst/>
          </a:prstGeom>
          <a:solidFill>
            <a:srgbClr xmlns:mc="http://schemas.openxmlformats.org/markup-compatibility/2006" xmlns:a14="http://schemas.microsoft.com/office/drawing/2010/main" val="FFFFCC" mc:Ignorable="a14" a14:legacySpreadsheetColorIndex="26"/>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Input cell</a:t>
            </a:r>
          </a:p>
        </xdr:txBody>
      </xdr:sp>
      <xdr:grpSp>
        <xdr:nvGrpSpPr>
          <xdr:cNvPr id="1030" name="Group 6"/>
          <xdr:cNvGrpSpPr>
            <a:grpSpLocks/>
          </xdr:cNvGrpSpPr>
        </xdr:nvGrpSpPr>
        <xdr:grpSpPr bwMode="auto">
          <a:xfrm>
            <a:off x="151" y="34"/>
            <a:ext cx="333" cy="43"/>
            <a:chOff x="152" y="15"/>
            <a:chExt cx="333" cy="43"/>
          </a:xfrm>
        </xdr:grpSpPr>
        <xdr:sp macro="" textlink="">
          <xdr:nvSpPr>
            <xdr:cNvPr id="1031" name="AutoShape 7"/>
            <xdr:cNvSpPr>
              <a:spLocks noChangeArrowheads="1"/>
            </xdr:cNvSpPr>
          </xdr:nvSpPr>
          <xdr:spPr bwMode="auto">
            <a:xfrm>
              <a:off x="152" y="16"/>
              <a:ext cx="333" cy="42"/>
            </a:xfrm>
            <a:prstGeom prst="parallelogram">
              <a:avLst>
                <a:gd name="adj" fmla="val 15637"/>
              </a:avLst>
            </a:prstGeom>
            <a:solidFill>
              <a:srgbClr xmlns:mc="http://schemas.openxmlformats.org/markup-compatibility/2006" xmlns:a14="http://schemas.microsoft.com/office/drawing/2010/main" val="00FFFF" mc:Ignorable="a14" a14:legacySpreadsheetColorIndex="1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32" name="Text Box 8"/>
            <xdr:cNvSpPr txBox="1">
              <a:spLocks noChangeArrowheads="1"/>
            </xdr:cNvSpPr>
          </xdr:nvSpPr>
          <xdr:spPr bwMode="auto">
            <a:xfrm>
              <a:off x="159" y="15"/>
              <a:ext cx="317" cy="4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alpha val="5000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900" b="1" i="0" u="none" strike="noStrike" baseline="0">
                  <a:solidFill>
                    <a:srgbClr val="CCCCFF"/>
                  </a:solidFill>
                  <a:latin typeface="ＭＳ Ｐゴシック"/>
                  <a:ea typeface="ＭＳ Ｐゴシック"/>
                </a:rPr>
                <a:t> </a:t>
              </a:r>
              <a:r>
                <a:rPr lang="ja-JP" altLang="en-US" sz="1100" b="1" i="0" u="none" strike="noStrike" baseline="0">
                  <a:solidFill>
                    <a:srgbClr val="FF99CC"/>
                  </a:solidFill>
                  <a:latin typeface="Times New Roman"/>
                  <a:ea typeface="ＭＳ Ｐゴシック"/>
                  <a:cs typeface="Times New Roman"/>
                </a:rPr>
                <a:t>Exchange circuit analisys calculation -VD</a:t>
              </a:r>
              <a:r>
                <a:rPr lang="ja-JP" altLang="en-US" sz="1100" b="1" i="0" u="none" strike="noStrike" baseline="0">
                  <a:solidFill>
                    <a:srgbClr val="FF99CC"/>
                  </a:solidFill>
                  <a:latin typeface="ＭＳ Ｐゴシック"/>
                  <a:ea typeface="ＭＳ Ｐゴシック"/>
                  <a:cs typeface="Times New Roman"/>
                </a:rPr>
                <a:t>４</a:t>
              </a:r>
              <a:endParaRPr lang="ja-JP" altLang="en-US" sz="900" b="1" i="0" u="none" strike="noStrike" baseline="0">
                <a:solidFill>
                  <a:srgbClr val="CC99FF"/>
                </a:solidFill>
                <a:latin typeface="ＭＳ Ｐゴシック"/>
                <a:ea typeface="ＭＳ Ｐゴシック"/>
                <a:cs typeface="Times New Roman"/>
              </a:endParaRPr>
            </a:p>
            <a:p>
              <a:pPr algn="ctr" rtl="0">
                <a:lnSpc>
                  <a:spcPts val="900"/>
                </a:lnSpc>
                <a:defRPr sz="1000"/>
              </a:pPr>
              <a:r>
                <a:rPr lang="ja-JP" altLang="en-US" sz="900" b="1" i="0" u="none" strike="noStrike" baseline="0">
                  <a:solidFill>
                    <a:srgbClr val="CC99FF"/>
                  </a:solidFill>
                  <a:latin typeface="ＭＳ Ｐゴシック"/>
                  <a:ea typeface="ＭＳ Ｐゴシック"/>
                  <a:cs typeface="Times New Roman"/>
                </a:rPr>
                <a:t>２００４</a:t>
              </a:r>
              <a:r>
                <a:rPr lang="ja-JP" altLang="en-US" sz="800" b="1" i="0" u="none" strike="noStrike" baseline="0">
                  <a:solidFill>
                    <a:srgbClr val="CC99FF"/>
                  </a:solidFill>
                  <a:latin typeface="ＭＳ Ｐゴシック"/>
                  <a:ea typeface="ＭＳ Ｐゴシック"/>
                  <a:cs typeface="Times New Roman"/>
                </a:rPr>
                <a:t>　Ａｐｌ．</a:t>
              </a:r>
              <a:r>
                <a:rPr lang="ja-JP" altLang="en-US" sz="800" b="1" i="0" u="none" strike="noStrike" baseline="0">
                  <a:solidFill>
                    <a:srgbClr val="CC99FF"/>
                  </a:solidFill>
                  <a:latin typeface="Times New Roman"/>
                  <a:ea typeface="ＭＳ Ｐゴシック"/>
                  <a:cs typeface="Times New Roman"/>
                </a:rPr>
                <a:t>  </a:t>
              </a:r>
              <a:r>
                <a:rPr lang="ja-JP" altLang="en-US" sz="800" b="1" i="0" u="none" strike="noStrike" baseline="0">
                  <a:solidFill>
                    <a:srgbClr val="CC99FF"/>
                  </a:solidFill>
                  <a:latin typeface="ＭＳ Ｐゴシック"/>
                  <a:ea typeface="ＭＳ Ｐゴシック"/>
                  <a:cs typeface="Times New Roman"/>
                </a:rPr>
                <a:t>Ｖｅｒ　４.0   </a:t>
              </a:r>
              <a:r>
                <a:rPr lang="ja-JP" altLang="en-US" sz="900" b="1" i="0" u="none" strike="noStrike" baseline="0">
                  <a:solidFill>
                    <a:srgbClr val="CC99FF"/>
                  </a:solidFill>
                  <a:latin typeface="ＭＳ Ｐゴシック"/>
                  <a:ea typeface="ＭＳ Ｐゴシック"/>
                  <a:cs typeface="Times New Roman"/>
                </a:rPr>
                <a:t>　by　ＥＳＥ  SERVICE</a:t>
              </a:r>
              <a:endParaRPr lang="ja-JP" altLang="en-US" sz="900" b="1" i="0" u="none" strike="noStrike" baseline="0">
                <a:solidFill>
                  <a:srgbClr val="CC99FF"/>
                </a:solidFill>
                <a:latin typeface="ＭＳ Ｐゴシック"/>
                <a:ea typeface="ＭＳ Ｐゴシック"/>
              </a:endParaRPr>
            </a:p>
          </xdr:txBody>
        </xdr:sp>
      </xdr:grpSp>
      <xdr:sp macro="" textlink="">
        <xdr:nvSpPr>
          <xdr:cNvPr id="1033" name="Text Box 9"/>
          <xdr:cNvSpPr txBox="1">
            <a:spLocks noChangeArrowheads="1"/>
          </xdr:cNvSpPr>
        </xdr:nvSpPr>
        <xdr:spPr bwMode="auto">
          <a:xfrm>
            <a:off x="298" y="89"/>
            <a:ext cx="145" cy="28"/>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18288" bIns="18288" anchor="ctr" upright="1">
            <a:spAutoFit/>
          </a:bodyPr>
          <a:lstStyle/>
          <a:p>
            <a:pPr algn="ctr" rtl="0">
              <a:defRPr sz="1000"/>
            </a:pPr>
            <a:r>
              <a:rPr lang="ja-JP" altLang="en-US" sz="1400" b="1" i="0" u="none" strike="noStrike" baseline="0">
                <a:solidFill>
                  <a:srgbClr val="0000FF"/>
                </a:solidFill>
                <a:latin typeface="ＭＳ Ｐゴシック"/>
                <a:ea typeface="ＭＳ Ｐゴシック"/>
              </a:rPr>
              <a:t>Automatic display</a:t>
            </a:r>
          </a:p>
        </xdr:txBody>
      </xdr:sp>
      <xdr:sp macro="" textlink="">
        <xdr:nvSpPr>
          <xdr:cNvPr id="1034" name="Text Box 10"/>
          <xdr:cNvSpPr txBox="1">
            <a:spLocks noChangeArrowheads="1"/>
          </xdr:cNvSpPr>
        </xdr:nvSpPr>
        <xdr:spPr bwMode="auto">
          <a:xfrm>
            <a:off x="545" y="35"/>
            <a:ext cx="478" cy="44"/>
          </a:xfrm>
          <a:prstGeom prst="rect">
            <a:avLst/>
          </a:prstGeom>
          <a:solidFill>
            <a:srgbClr xmlns:mc="http://schemas.openxmlformats.org/markup-compatibility/2006" xmlns:a14="http://schemas.microsoft.com/office/drawing/2010/main" val="C0C0C0" mc:Ignorable="a14" a14:legacySpreadsheetColorIndex="22"/>
          </a:solidFill>
          <a:ln>
            <a:noFill/>
          </a:ln>
          <a:effectLst/>
          <a:extLst>
            <a:ext uri="{91240B29-F687-4F45-9708-019B960494DF}">
              <a14:hiddenLine xmlns:a14="http://schemas.microsoft.com/office/drawing/2010/main" w="3175">
                <a:solidFill>
                  <a:srgbClr xmlns:mc="http://schemas.openxmlformats.org/markup-compatibility/2006" val="FFFF99" mc:Ignorable="a14" a14:legacySpreadsheetColorIndex="4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defRPr sz="1000"/>
            </a:pPr>
            <a:r>
              <a:rPr lang="ja-JP" altLang="en-US" sz="1200" b="1" i="0" u="none" strike="noStrike" baseline="0">
                <a:solidFill>
                  <a:srgbClr val="808080"/>
                </a:solidFill>
                <a:latin typeface="ＭＳ Ｐゴシック"/>
                <a:ea typeface="ＭＳ Ｐゴシック"/>
              </a:rPr>
              <a:t>A "</a:t>
            </a:r>
            <a:r>
              <a:rPr lang="ja-JP" altLang="en-US" sz="1200" b="1" i="0" u="none" strike="noStrike" baseline="0">
                <a:solidFill>
                  <a:srgbClr val="000000"/>
                </a:solidFill>
                <a:latin typeface="ＭＳ Ｐゴシック"/>
                <a:ea typeface="ＭＳ Ｐゴシック"/>
              </a:rPr>
              <a:t>comment</a:t>
            </a:r>
            <a:r>
              <a:rPr lang="ja-JP" altLang="en-US" sz="1200" b="1" i="0" u="none" strike="noStrike" baseline="0">
                <a:solidFill>
                  <a:srgbClr val="808080"/>
                </a:solidFill>
                <a:latin typeface="ＭＳ Ｐゴシック"/>
                <a:ea typeface="ＭＳ Ｐゴシック"/>
              </a:rPr>
              <a:t>" will be displayed if cursor is brought close to the cell of upper right </a:t>
            </a:r>
            <a:r>
              <a:rPr lang="ja-JP" altLang="en-US" sz="1200" b="1" i="0" u="none" strike="noStrike" baseline="0">
                <a:solidFill>
                  <a:srgbClr val="FF0000"/>
                </a:solidFill>
                <a:latin typeface="ＭＳ Ｐゴシック"/>
                <a:ea typeface="ＭＳ Ｐゴシック"/>
              </a:rPr>
              <a:t>red</a:t>
            </a:r>
            <a:r>
              <a:rPr lang="ja-JP" altLang="en-US" sz="1200" b="1" i="0" u="none" strike="noStrike" baseline="0">
                <a:solidFill>
                  <a:srgbClr val="808080"/>
                </a:solidFill>
                <a:latin typeface="ＭＳ Ｐゴシック"/>
                <a:ea typeface="ＭＳ Ｐゴシック"/>
              </a:rPr>
              <a:t>.</a:t>
            </a:r>
          </a:p>
        </xdr:txBody>
      </xdr:sp>
    </xdr:grpSp>
    <xdr:clientData/>
  </xdr:twoCellAnchor>
  <xdr:twoCellAnchor editAs="oneCell">
    <xdr:from>
      <xdr:col>31</xdr:col>
      <xdr:colOff>76200</xdr:colOff>
      <xdr:row>321</xdr:row>
      <xdr:rowOff>0</xdr:rowOff>
    </xdr:from>
    <xdr:to>
      <xdr:col>34</xdr:col>
      <xdr:colOff>504825</xdr:colOff>
      <xdr:row>321</xdr:row>
      <xdr:rowOff>190500</xdr:rowOff>
    </xdr:to>
    <xdr:grpSp>
      <xdr:nvGrpSpPr>
        <xdr:cNvPr id="1035" name="Group 11"/>
        <xdr:cNvGrpSpPr>
          <a:grpSpLocks/>
        </xdr:cNvGrpSpPr>
      </xdr:nvGrpSpPr>
      <xdr:grpSpPr bwMode="auto">
        <a:xfrm>
          <a:off x="15057664" y="59544857"/>
          <a:ext cx="2320018" cy="190500"/>
          <a:chOff x="1581" y="1525"/>
          <a:chExt cx="244" cy="20"/>
        </a:xfrm>
      </xdr:grpSpPr>
      <xdr:sp macro="" textlink="">
        <xdr:nvSpPr>
          <xdr:cNvPr id="1036" name="Text Box 12"/>
          <xdr:cNvSpPr txBox="1">
            <a:spLocks noChangeArrowheads="1"/>
          </xdr:cNvSpPr>
        </xdr:nvSpPr>
        <xdr:spPr bwMode="auto">
          <a:xfrm>
            <a:off x="1581" y="1525"/>
            <a:ext cx="51" cy="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wrap="none" lIns="9144" tIns="18288" rIns="0" bIns="0" anchor="t" upright="1">
            <a:spAutoFit/>
          </a:bodyPr>
          <a:lstStyle/>
          <a:p>
            <a:pPr algn="l" rtl="0">
              <a:defRPr sz="1000"/>
            </a:pPr>
            <a:r>
              <a:rPr lang="ja-JP" altLang="en-US" sz="800" b="0" i="0" u="none" strike="noStrike" baseline="0">
                <a:solidFill>
                  <a:srgbClr val="000000"/>
                </a:solidFill>
                <a:latin typeface="ＭＳ Ｐ明朝"/>
                <a:ea typeface="ＭＳ Ｐ明朝"/>
              </a:rPr>
              <a:t>Approved</a:t>
            </a:r>
          </a:p>
        </xdr:txBody>
      </xdr:sp>
      <xdr:sp macro="" textlink="">
        <xdr:nvSpPr>
          <xdr:cNvPr id="1037" name="Text Box 13"/>
          <xdr:cNvSpPr txBox="1">
            <a:spLocks noChangeArrowheads="1"/>
          </xdr:cNvSpPr>
        </xdr:nvSpPr>
        <xdr:spPr bwMode="auto">
          <a:xfrm>
            <a:off x="1777" y="1525"/>
            <a:ext cx="48" cy="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wrap="none" lIns="9144" tIns="18288" rIns="0" bIns="0" anchor="t" upright="1">
            <a:spAutoFit/>
          </a:bodyPr>
          <a:lstStyle/>
          <a:p>
            <a:pPr algn="l" rtl="0">
              <a:defRPr sz="1000"/>
            </a:pPr>
            <a:r>
              <a:rPr lang="ja-JP" altLang="en-US" sz="800" b="0" i="0" u="none" strike="noStrike" baseline="0">
                <a:solidFill>
                  <a:srgbClr val="000000"/>
                </a:solidFill>
                <a:latin typeface="ＭＳ Ｐ明朝"/>
                <a:ea typeface="ＭＳ Ｐ明朝"/>
              </a:rPr>
              <a:t>Checked</a:t>
            </a:r>
          </a:p>
        </xdr:txBody>
      </xdr:sp>
    </xdr:grpSp>
    <xdr:clientData/>
  </xdr:twoCellAnchor>
  <xdr:twoCellAnchor>
    <xdr:from>
      <xdr:col>3</xdr:col>
      <xdr:colOff>85725</xdr:colOff>
      <xdr:row>321</xdr:row>
      <xdr:rowOff>28575</xdr:rowOff>
    </xdr:from>
    <xdr:to>
      <xdr:col>4</xdr:col>
      <xdr:colOff>9525</xdr:colOff>
      <xdr:row>321</xdr:row>
      <xdr:rowOff>390525</xdr:rowOff>
    </xdr:to>
    <xdr:sp macro="" textlink="">
      <xdr:nvSpPr>
        <xdr:cNvPr id="1060" name="Text Box 36"/>
        <xdr:cNvSpPr txBox="1">
          <a:spLocks noChangeArrowheads="1"/>
        </xdr:cNvSpPr>
      </xdr:nvSpPr>
      <xdr:spPr bwMode="auto">
        <a:xfrm>
          <a:off x="1514475" y="59540775"/>
          <a:ext cx="581025" cy="3619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明朝"/>
              <a:ea typeface="ＭＳ Ｐ明朝"/>
            </a:rPr>
            <a:t>Project</a:t>
          </a:r>
        </a:p>
        <a:p>
          <a:pPr algn="l" rtl="0">
            <a:lnSpc>
              <a:spcPts val="1100"/>
            </a:lnSpc>
            <a:defRPr sz="1000"/>
          </a:pPr>
          <a:r>
            <a:rPr lang="ja-JP" altLang="en-US" sz="1000" b="0" i="0" u="none" strike="noStrike" baseline="0">
              <a:solidFill>
                <a:srgbClr val="000000"/>
              </a:solidFill>
              <a:latin typeface="ＭＳ Ｐ明朝"/>
              <a:ea typeface="ＭＳ Ｐ明朝"/>
            </a:rPr>
            <a:t> Name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_RECS/10_&#26360;&#39006;/52_HPage-Excel/12_VD&#27491;&#35215;&#29256;/10_Excel/VD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VD2"/>
      <sheetName val="VD2-Data "/>
      <sheetName val="請求書"/>
    </sheetNames>
    <sheetDataSet>
      <sheetData sheetId="0"/>
      <sheetData sheetId="1">
        <row r="6">
          <cell r="D6">
            <v>8</v>
          </cell>
          <cell r="E6">
            <v>3.01</v>
          </cell>
          <cell r="F6">
            <v>0.13500000000000001</v>
          </cell>
          <cell r="G6">
            <v>0.21</v>
          </cell>
          <cell r="I6">
            <v>8</v>
          </cell>
          <cell r="J6">
            <v>3.01</v>
          </cell>
          <cell r="K6">
            <v>0.154</v>
          </cell>
          <cell r="L6">
            <v>0.21</v>
          </cell>
          <cell r="N6">
            <v>8</v>
          </cell>
        </row>
        <row r="7">
          <cell r="D7">
            <v>14</v>
          </cell>
          <cell r="E7">
            <v>1.71</v>
          </cell>
          <cell r="F7">
            <v>0.127</v>
          </cell>
          <cell r="G7">
            <v>0.24</v>
          </cell>
          <cell r="I7">
            <v>14</v>
          </cell>
          <cell r="J7">
            <v>1.71</v>
          </cell>
          <cell r="K7">
            <v>0.14499999999999999</v>
          </cell>
          <cell r="L7">
            <v>0.24</v>
          </cell>
          <cell r="N7">
            <v>14</v>
          </cell>
        </row>
        <row r="8">
          <cell r="D8">
            <v>22</v>
          </cell>
          <cell r="E8">
            <v>1.08</v>
          </cell>
          <cell r="F8">
            <v>0.11799999999999999</v>
          </cell>
          <cell r="G8">
            <v>0.27</v>
          </cell>
          <cell r="I8">
            <v>22</v>
          </cell>
          <cell r="J8">
            <v>1.08</v>
          </cell>
          <cell r="K8">
            <v>0.13500000000000001</v>
          </cell>
          <cell r="L8">
            <v>0.27</v>
          </cell>
          <cell r="N8">
            <v>22</v>
          </cell>
        </row>
        <row r="9">
          <cell r="D9">
            <v>38</v>
          </cell>
          <cell r="E9">
            <v>0.626</v>
          </cell>
          <cell r="F9">
            <v>0.108</v>
          </cell>
          <cell r="G9">
            <v>0.32</v>
          </cell>
          <cell r="I9">
            <v>38</v>
          </cell>
          <cell r="J9">
            <v>0.626</v>
          </cell>
          <cell r="K9">
            <v>0.124</v>
          </cell>
          <cell r="L9">
            <v>0.32</v>
          </cell>
          <cell r="N9">
            <v>38</v>
          </cell>
          <cell r="O9">
            <v>0.626</v>
          </cell>
          <cell r="P9">
            <v>0.28698368235161531</v>
          </cell>
        </row>
        <row r="10">
          <cell r="D10">
            <v>60</v>
          </cell>
          <cell r="E10">
            <v>0.39700000000000002</v>
          </cell>
          <cell r="F10">
            <v>0.1</v>
          </cell>
          <cell r="G10">
            <v>0.37</v>
          </cell>
          <cell r="I10">
            <v>60</v>
          </cell>
          <cell r="J10">
            <v>0.39700000000000002</v>
          </cell>
          <cell r="K10">
            <v>0.115</v>
          </cell>
          <cell r="L10">
            <v>0.37</v>
          </cell>
          <cell r="N10">
            <v>60</v>
          </cell>
        </row>
        <row r="11">
          <cell r="D11">
            <v>100</v>
          </cell>
          <cell r="E11">
            <v>0.23899999999999999</v>
          </cell>
          <cell r="F11">
            <v>9.2899999999999996E-2</v>
          </cell>
          <cell r="G11">
            <v>0.45</v>
          </cell>
          <cell r="I11">
            <v>100</v>
          </cell>
          <cell r="J11">
            <v>0.23899999999999999</v>
          </cell>
          <cell r="K11">
            <v>0.107</v>
          </cell>
          <cell r="L11">
            <v>0.45</v>
          </cell>
          <cell r="N11">
            <v>100</v>
          </cell>
        </row>
        <row r="12">
          <cell r="D12">
            <v>150</v>
          </cell>
          <cell r="E12">
            <v>0.159</v>
          </cell>
          <cell r="F12">
            <v>8.7900000000000006E-2</v>
          </cell>
          <cell r="G12">
            <v>0.52</v>
          </cell>
          <cell r="I12">
            <v>150</v>
          </cell>
          <cell r="J12">
            <v>0.159</v>
          </cell>
          <cell r="K12">
            <v>0.10199999999999999</v>
          </cell>
          <cell r="L12">
            <v>0.52</v>
          </cell>
          <cell r="N12">
            <v>150</v>
          </cell>
        </row>
        <row r="13">
          <cell r="D13">
            <v>200</v>
          </cell>
          <cell r="E13">
            <v>0.12</v>
          </cell>
          <cell r="F13">
            <v>8.72E-2</v>
          </cell>
          <cell r="G13">
            <v>0.51</v>
          </cell>
          <cell r="I13">
            <v>200</v>
          </cell>
          <cell r="J13">
            <v>0.12</v>
          </cell>
          <cell r="K13">
            <v>0.1</v>
          </cell>
          <cell r="L13">
            <v>0.51</v>
          </cell>
          <cell r="N13">
            <v>200</v>
          </cell>
        </row>
        <row r="14">
          <cell r="D14">
            <v>250</v>
          </cell>
          <cell r="E14">
            <v>9.8100000000000007E-2</v>
          </cell>
          <cell r="F14">
            <v>8.4699999999999998E-2</v>
          </cell>
          <cell r="G14">
            <v>0.55000000000000004</v>
          </cell>
          <cell r="I14">
            <v>250</v>
          </cell>
          <cell r="J14">
            <v>9.7699999999999995E-2</v>
          </cell>
          <cell r="K14">
            <v>9.7600000000000006E-2</v>
          </cell>
          <cell r="L14">
            <v>0.55000000000000004</v>
          </cell>
          <cell r="N14">
            <v>250</v>
          </cell>
        </row>
        <row r="15">
          <cell r="D15">
            <v>325</v>
          </cell>
          <cell r="E15">
            <v>7.6399999999999996E-2</v>
          </cell>
          <cell r="F15">
            <v>8.2100000000000006E-2</v>
          </cell>
          <cell r="G15">
            <v>0.61</v>
          </cell>
          <cell r="I15">
            <v>325</v>
          </cell>
          <cell r="J15">
            <v>7.5899999999999995E-2</v>
          </cell>
          <cell r="K15">
            <v>9.4299999999999995E-2</v>
          </cell>
          <cell r="L15">
            <v>0.61</v>
          </cell>
          <cell r="N15">
            <v>325</v>
          </cell>
        </row>
        <row r="16">
          <cell r="D16">
            <v>400</v>
          </cell>
          <cell r="E16">
            <v>6.3299999999999995E-2</v>
          </cell>
          <cell r="F16">
            <v>7.9799999999999996E-2</v>
          </cell>
          <cell r="G16">
            <v>0.67</v>
          </cell>
          <cell r="I16">
            <v>400</v>
          </cell>
          <cell r="J16">
            <v>6.2700000000000006E-2</v>
          </cell>
          <cell r="K16">
            <v>9.2200000000000004E-2</v>
          </cell>
          <cell r="L16">
            <v>0.67</v>
          </cell>
          <cell r="N16">
            <v>400</v>
          </cell>
        </row>
        <row r="17">
          <cell r="D17">
            <v>500</v>
          </cell>
          <cell r="E17">
            <v>5.21E-2</v>
          </cell>
          <cell r="F17">
            <v>7.7899999999999997E-2</v>
          </cell>
          <cell r="G17">
            <v>0.74</v>
          </cell>
          <cell r="I17">
            <v>500</v>
          </cell>
          <cell r="J17">
            <v>5.1299999999999998E-2</v>
          </cell>
          <cell r="K17">
            <v>0.09</v>
          </cell>
          <cell r="L17">
            <v>0.74</v>
          </cell>
          <cell r="N17">
            <v>500</v>
          </cell>
        </row>
        <row r="18">
          <cell r="D18">
            <v>600</v>
          </cell>
          <cell r="E18">
            <v>4.4900000000000002E-2</v>
          </cell>
          <cell r="F18">
            <v>7.8100000000000003E-2</v>
          </cell>
          <cell r="G18">
            <v>0.71</v>
          </cell>
          <cell r="I18">
            <v>600</v>
          </cell>
          <cell r="J18">
            <v>4.3999999999999997E-2</v>
          </cell>
          <cell r="K18">
            <v>8.9700000000000002E-2</v>
          </cell>
          <cell r="L18">
            <v>0.71</v>
          </cell>
          <cell r="N18">
            <v>600</v>
          </cell>
        </row>
        <row r="27">
          <cell r="D27">
            <v>1000</v>
          </cell>
          <cell r="E27">
            <v>0.4975</v>
          </cell>
          <cell r="F27">
            <v>4.9752000000000001</v>
          </cell>
          <cell r="G27">
            <v>5.000012128985289</v>
          </cell>
        </row>
        <row r="28">
          <cell r="D28">
            <v>1500</v>
          </cell>
          <cell r="E28">
            <v>0.54730000000000001</v>
          </cell>
          <cell r="F28">
            <v>5.4726999999999997</v>
          </cell>
          <cell r="G28">
            <v>5.4999984163634084</v>
          </cell>
        </row>
        <row r="29">
          <cell r="D29">
            <v>2000</v>
          </cell>
          <cell r="E29">
            <v>0.59699999999999998</v>
          </cell>
          <cell r="F29">
            <v>5.9702000000000002</v>
          </cell>
          <cell r="G29">
            <v>5.9999747532802168</v>
          </cell>
        </row>
        <row r="30">
          <cell r="D30">
            <v>3000</v>
          </cell>
          <cell r="E30">
            <v>0.64680000000000004</v>
          </cell>
          <cell r="F30">
            <v>6.4676999999999998</v>
          </cell>
          <cell r="G30">
            <v>6.499961040652475</v>
          </cell>
        </row>
        <row r="31">
          <cell r="D31">
            <v>4500</v>
          </cell>
          <cell r="E31">
            <v>0.69650000000000001</v>
          </cell>
          <cell r="F31">
            <v>6.9653</v>
          </cell>
          <cell r="G31">
            <v>7.000036881331412</v>
          </cell>
        </row>
        <row r="32">
          <cell r="D32">
            <v>6000</v>
          </cell>
          <cell r="E32">
            <v>0.74629999999999996</v>
          </cell>
          <cell r="F32">
            <v>7.4627999999999997</v>
          </cell>
          <cell r="G32">
            <v>7.5000231686308805</v>
          </cell>
        </row>
        <row r="33">
          <cell r="D33">
            <v>7500</v>
          </cell>
          <cell r="E33">
            <v>0.79600000000000004</v>
          </cell>
          <cell r="F33">
            <v>7.9603000000000002</v>
          </cell>
          <cell r="G33">
            <v>7.9999995056249853</v>
          </cell>
        </row>
        <row r="34">
          <cell r="D34">
            <v>10000</v>
          </cell>
          <cell r="E34">
            <v>0.89549999999999996</v>
          </cell>
          <cell r="F34">
            <v>8.9552999999999994</v>
          </cell>
          <cell r="G34">
            <v>8.9999621299203252</v>
          </cell>
        </row>
        <row r="35">
          <cell r="D35">
            <v>15000</v>
          </cell>
          <cell r="E35">
            <v>0.995</v>
          </cell>
          <cell r="F35">
            <v>9.9504000000000001</v>
          </cell>
          <cell r="G35">
            <v>10.000024257970578</v>
          </cell>
        </row>
        <row r="36">
          <cell r="D36">
            <v>20000</v>
          </cell>
          <cell r="E36">
            <v>1.194</v>
          </cell>
          <cell r="F36">
            <v>11.9405</v>
          </cell>
          <cell r="G36">
            <v>12.000049010316582</v>
          </cell>
        </row>
        <row r="37">
          <cell r="G37" t="str">
            <v/>
          </cell>
        </row>
        <row r="38">
          <cell r="G38" t="str">
            <v/>
          </cell>
        </row>
        <row r="39">
          <cell r="G39" t="str">
            <v/>
          </cell>
        </row>
        <row r="40">
          <cell r="G40" t="str">
            <v/>
          </cell>
        </row>
        <row r="41">
          <cell r="G41" t="str">
            <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BE330"/>
  <sheetViews>
    <sheetView tabSelected="1" view="pageBreakPreview" zoomScale="70" zoomScaleNormal="75" zoomScaleSheetLayoutView="70" workbookViewId="0">
      <pane ySplit="17" topLeftCell="A18" activePane="bottomLeft" state="frozenSplit"/>
      <selection pane="bottomLeft"/>
    </sheetView>
  </sheetViews>
  <sheetFormatPr defaultRowHeight="13.5"/>
  <cols>
    <col min="1" max="1" width="3.625" style="1" customWidth="1"/>
    <col min="2" max="2" width="12.5" style="1" customWidth="1"/>
    <col min="3" max="3" width="2.625" style="1" customWidth="1"/>
    <col min="4" max="4" width="8.625" style="1" customWidth="1"/>
    <col min="5" max="5" width="20.625" style="1" customWidth="1"/>
    <col min="6" max="9" width="1.5" style="1" customWidth="1"/>
    <col min="10" max="10" width="4.125" style="1" customWidth="1"/>
    <col min="11" max="11" width="1.5" style="1" customWidth="1"/>
    <col min="12" max="13" width="7.625" style="1" customWidth="1"/>
    <col min="14" max="14" width="6.625" style="1" customWidth="1"/>
    <col min="15" max="15" width="9.625" style="1" customWidth="1"/>
    <col min="16" max="19" width="6.125" style="1" customWidth="1"/>
    <col min="20" max="20" width="5.625" style="1" customWidth="1"/>
    <col min="21" max="24" width="7.125" style="1" customWidth="1"/>
    <col min="25" max="25" width="2.625" style="1" customWidth="1"/>
    <col min="26" max="26" width="9.125" style="1" customWidth="1"/>
    <col min="27" max="27" width="8.125" style="1" customWidth="1"/>
    <col min="28" max="28" width="7.125" style="1" customWidth="1"/>
    <col min="29" max="29" width="2.625" style="1" customWidth="1"/>
    <col min="30" max="30" width="9.125" style="1" customWidth="1"/>
    <col min="31" max="31" width="8.125" style="1" customWidth="1"/>
    <col min="32" max="32" width="11.625" style="1" customWidth="1"/>
    <col min="33" max="33" width="9.625" style="1" customWidth="1"/>
    <col min="34" max="34" width="3.625" style="1" customWidth="1"/>
    <col min="35" max="35" width="11.625" style="1" customWidth="1"/>
    <col min="36" max="37" width="5.625" style="1" customWidth="1"/>
    <col min="38" max="38" width="23.625" style="1" customWidth="1"/>
    <col min="39" max="39" width="2.5" style="4" customWidth="1"/>
    <col min="40" max="40" width="3.125" style="1" hidden="1" customWidth="1"/>
    <col min="41" max="41" width="3.5" style="1" hidden="1" customWidth="1"/>
    <col min="42" max="42" width="3.125" style="1" hidden="1" customWidth="1"/>
    <col min="43" max="43" width="3" style="1" hidden="1" customWidth="1"/>
    <col min="44" max="44" width="3.375" style="1" hidden="1" customWidth="1"/>
    <col min="45" max="45" width="4.125" style="1" hidden="1" customWidth="1"/>
    <col min="46" max="46" width="3.375" style="1" hidden="1" customWidth="1"/>
    <col min="47" max="48" width="3.125" style="1" hidden="1" customWidth="1"/>
    <col min="49" max="50" width="3.375" style="1" hidden="1" customWidth="1"/>
    <col min="51" max="51" width="3.5" style="1" hidden="1" customWidth="1"/>
    <col min="52" max="52" width="2.875" style="1" hidden="1" customWidth="1"/>
    <col min="53" max="53" width="4.875" style="1" hidden="1" customWidth="1"/>
    <col min="54" max="54" width="2.125" style="1" hidden="1" customWidth="1"/>
    <col min="55" max="55" width="25" style="1" customWidth="1"/>
    <col min="56" max="79" width="6.625" style="1" customWidth="1"/>
    <col min="80" max="16384" width="9" style="1"/>
  </cols>
  <sheetData>
    <row r="1" spans="2:57">
      <c r="T1" s="2"/>
      <c r="AC1" s="3"/>
      <c r="AD1" s="3"/>
      <c r="AE1" s="3"/>
    </row>
    <row r="2" spans="2:57" ht="13.5" customHeight="1">
      <c r="T2" s="5"/>
      <c r="AB2" s="3"/>
      <c r="AC2" s="6"/>
      <c r="AD2" s="3"/>
      <c r="AE2" s="3"/>
    </row>
    <row r="3" spans="2:57" ht="13.5" customHeight="1">
      <c r="D3" s="7"/>
      <c r="L3" s="7" t="s">
        <v>0</v>
      </c>
      <c r="AB3" s="3"/>
      <c r="AC3" s="6"/>
      <c r="AD3" s="3"/>
      <c r="AE3" s="3"/>
    </row>
    <row r="4" spans="2:57">
      <c r="T4" s="5"/>
      <c r="W4" s="8"/>
      <c r="X4" s="1" t="s">
        <v>33</v>
      </c>
      <c r="AB4" s="9"/>
      <c r="AC4" s="10"/>
      <c r="AD4" s="10"/>
      <c r="AE4" s="10"/>
      <c r="AG4" s="11"/>
    </row>
    <row r="5" spans="2:57" ht="13.5" customHeight="1">
      <c r="T5" s="5"/>
      <c r="V5" s="12"/>
      <c r="X5" s="1" t="s">
        <v>34</v>
      </c>
      <c r="Z5" s="1" t="s">
        <v>34</v>
      </c>
      <c r="AB5" s="13"/>
      <c r="AC5" s="14"/>
      <c r="AD5" s="15"/>
      <c r="AE5" s="14"/>
      <c r="AF5" s="16"/>
      <c r="AI5" s="2"/>
      <c r="AK5" s="2"/>
    </row>
    <row r="6" spans="2:57" ht="13.5" customHeight="1">
      <c r="M6" s="17"/>
      <c r="N6" s="325" t="s">
        <v>1</v>
      </c>
      <c r="O6" s="326"/>
      <c r="T6" s="18"/>
      <c r="X6" s="1" t="s">
        <v>34</v>
      </c>
      <c r="Z6" s="1" t="s">
        <v>34</v>
      </c>
      <c r="AC6" s="3"/>
      <c r="AD6" s="19"/>
      <c r="AE6" s="19"/>
      <c r="AF6" s="16"/>
      <c r="AG6" s="11"/>
    </row>
    <row r="7" spans="2:57" ht="14.25">
      <c r="F7" s="20"/>
      <c r="G7" s="20"/>
      <c r="H7" s="20"/>
      <c r="I7" s="20"/>
      <c r="J7" s="20"/>
      <c r="K7" s="20"/>
      <c r="L7" s="20"/>
      <c r="M7" s="20"/>
      <c r="N7" s="325" t="s">
        <v>35</v>
      </c>
      <c r="O7" s="326"/>
      <c r="P7" s="20"/>
      <c r="Q7" s="20"/>
      <c r="R7" s="20"/>
      <c r="S7" s="20"/>
      <c r="T7" s="20"/>
      <c r="U7" s="21"/>
      <c r="V7" s="20"/>
      <c r="W7" s="20"/>
      <c r="X7" s="20"/>
      <c r="Y7" s="20"/>
      <c r="Z7" s="20"/>
      <c r="AA7" s="20"/>
      <c r="AB7" s="20"/>
      <c r="AC7" s="20"/>
      <c r="AD7" s="20"/>
      <c r="AE7" s="20"/>
      <c r="AF7" s="20"/>
      <c r="AG7" s="20"/>
      <c r="AH7" s="20"/>
      <c r="AI7" s="20"/>
      <c r="AJ7" s="20"/>
      <c r="AK7" s="22"/>
      <c r="AL7" s="20"/>
      <c r="AM7" s="23"/>
      <c r="AN7" s="23"/>
    </row>
    <row r="8" spans="2:57" ht="14.25" thickBot="1">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5"/>
      <c r="AK8" s="25"/>
      <c r="AL8" s="26" t="s">
        <v>80</v>
      </c>
      <c r="AM8" s="23"/>
      <c r="AN8" s="23"/>
    </row>
    <row r="9" spans="2:57" ht="15.75" customHeight="1">
      <c r="D9" s="336" t="s">
        <v>2</v>
      </c>
      <c r="E9" s="339" t="s">
        <v>3</v>
      </c>
      <c r="F9" s="345" t="s">
        <v>4</v>
      </c>
      <c r="G9" s="346"/>
      <c r="H9" s="346"/>
      <c r="I9" s="346"/>
      <c r="J9" s="346"/>
      <c r="K9" s="347"/>
      <c r="L9" s="356" t="s">
        <v>5</v>
      </c>
      <c r="M9" s="357"/>
      <c r="N9" s="358"/>
      <c r="O9" s="353" t="s">
        <v>6</v>
      </c>
      <c r="P9" s="354"/>
      <c r="Q9" s="354"/>
      <c r="R9" s="354"/>
      <c r="S9" s="354"/>
      <c r="T9" s="354"/>
      <c r="U9" s="354"/>
      <c r="V9" s="354"/>
      <c r="W9" s="355"/>
      <c r="X9" s="369" t="s">
        <v>7</v>
      </c>
      <c r="Y9" s="370"/>
      <c r="Z9" s="370"/>
      <c r="AA9" s="371"/>
      <c r="AB9" s="373" t="s">
        <v>8</v>
      </c>
      <c r="AC9" s="370"/>
      <c r="AD9" s="370"/>
      <c r="AE9" s="374"/>
      <c r="AF9" s="27" t="s">
        <v>9</v>
      </c>
      <c r="AG9" s="366" t="s">
        <v>10</v>
      </c>
      <c r="AH9" s="367"/>
      <c r="AI9" s="368"/>
      <c r="AJ9" s="321" t="s">
        <v>11</v>
      </c>
      <c r="AK9" s="322"/>
      <c r="AL9" s="314" t="s">
        <v>12</v>
      </c>
      <c r="AM9" s="28"/>
      <c r="AN9" s="28"/>
      <c r="AO9" s="23"/>
      <c r="AP9" s="28"/>
      <c r="AQ9" s="23"/>
      <c r="AR9" s="28"/>
      <c r="AS9" s="28"/>
      <c r="AT9" s="28"/>
      <c r="AU9" s="28"/>
      <c r="AV9" s="28"/>
      <c r="AW9" s="28"/>
      <c r="AX9" s="28"/>
      <c r="AY9" s="23"/>
      <c r="AZ9" s="23"/>
      <c r="BA9" s="23"/>
      <c r="BB9" s="23"/>
    </row>
    <row r="10" spans="2:57" ht="15.75" customHeight="1">
      <c r="D10" s="337"/>
      <c r="E10" s="340"/>
      <c r="F10" s="348" t="s">
        <v>36</v>
      </c>
      <c r="G10" s="349"/>
      <c r="H10" s="349"/>
      <c r="I10" s="349"/>
      <c r="J10" s="349"/>
      <c r="K10" s="350"/>
      <c r="L10" s="359" t="s">
        <v>13</v>
      </c>
      <c r="M10" s="360"/>
      <c r="N10" s="393" t="s">
        <v>37</v>
      </c>
      <c r="O10" s="381" t="s">
        <v>14</v>
      </c>
      <c r="P10" s="382"/>
      <c r="Q10" s="382"/>
      <c r="R10" s="382"/>
      <c r="S10" s="382"/>
      <c r="T10" s="382"/>
      <c r="U10" s="382"/>
      <c r="V10" s="383"/>
      <c r="W10" s="333" t="s">
        <v>38</v>
      </c>
      <c r="X10" s="372" t="s">
        <v>15</v>
      </c>
      <c r="Y10" s="289"/>
      <c r="Z10" s="290"/>
      <c r="AA10" s="29" t="s">
        <v>16</v>
      </c>
      <c r="AB10" s="288" t="s">
        <v>15</v>
      </c>
      <c r="AC10" s="289"/>
      <c r="AD10" s="290"/>
      <c r="AE10" s="29" t="s">
        <v>16</v>
      </c>
      <c r="AF10" s="30" t="s">
        <v>39</v>
      </c>
      <c r="AG10" s="375" t="s">
        <v>40</v>
      </c>
      <c r="AH10" s="376"/>
      <c r="AI10" s="31" t="s">
        <v>41</v>
      </c>
      <c r="AJ10" s="323" t="s">
        <v>42</v>
      </c>
      <c r="AK10" s="324"/>
      <c r="AL10" s="315"/>
      <c r="AM10" s="28"/>
      <c r="AN10" s="209" t="s">
        <v>117</v>
      </c>
      <c r="AO10" s="209" t="s">
        <v>118</v>
      </c>
      <c r="AP10" s="209" t="s">
        <v>119</v>
      </c>
      <c r="AQ10" s="209" t="s">
        <v>120</v>
      </c>
      <c r="AR10" s="209" t="s">
        <v>121</v>
      </c>
      <c r="AS10" s="209" t="s">
        <v>122</v>
      </c>
      <c r="AT10" s="209" t="s">
        <v>123</v>
      </c>
      <c r="AU10" s="209"/>
      <c r="AV10" s="209"/>
      <c r="AW10" s="209" t="s">
        <v>124</v>
      </c>
      <c r="AX10" s="209" t="s">
        <v>125</v>
      </c>
      <c r="AY10" s="23"/>
      <c r="AZ10" s="209" t="s">
        <v>126</v>
      </c>
      <c r="BA10" s="209" t="s">
        <v>127</v>
      </c>
      <c r="BB10" s="23"/>
    </row>
    <row r="11" spans="2:57" ht="15" customHeight="1">
      <c r="D11" s="337"/>
      <c r="E11" s="340"/>
      <c r="F11" s="389" t="s">
        <v>17</v>
      </c>
      <c r="G11" s="390"/>
      <c r="H11" s="391" t="s">
        <v>18</v>
      </c>
      <c r="I11" s="391"/>
      <c r="J11" s="391" t="s">
        <v>19</v>
      </c>
      <c r="K11" s="392"/>
      <c r="L11" s="329" t="s">
        <v>20</v>
      </c>
      <c r="M11" s="33" t="s">
        <v>21</v>
      </c>
      <c r="N11" s="394"/>
      <c r="O11" s="384" t="s">
        <v>43</v>
      </c>
      <c r="P11" s="361" t="s">
        <v>44</v>
      </c>
      <c r="Q11" s="331" t="s">
        <v>22</v>
      </c>
      <c r="R11" s="331" t="s">
        <v>23</v>
      </c>
      <c r="S11" s="387" t="s">
        <v>24</v>
      </c>
      <c r="T11" s="327" t="s">
        <v>45</v>
      </c>
      <c r="U11" s="335" t="s">
        <v>25</v>
      </c>
      <c r="V11" s="34" t="s">
        <v>46</v>
      </c>
      <c r="W11" s="334"/>
      <c r="X11" s="35" t="s">
        <v>26</v>
      </c>
      <c r="Y11" s="291" t="s">
        <v>27</v>
      </c>
      <c r="Z11" s="36" t="s">
        <v>28</v>
      </c>
      <c r="AA11" s="286" t="s">
        <v>47</v>
      </c>
      <c r="AB11" s="37" t="s">
        <v>26</v>
      </c>
      <c r="AC11" s="291" t="s">
        <v>27</v>
      </c>
      <c r="AD11" s="36" t="s">
        <v>28</v>
      </c>
      <c r="AE11" s="286" t="s">
        <v>47</v>
      </c>
      <c r="AF11" s="38" t="s">
        <v>48</v>
      </c>
      <c r="AG11" s="377" t="s">
        <v>49</v>
      </c>
      <c r="AH11" s="378"/>
      <c r="AI11" s="39" t="s">
        <v>50</v>
      </c>
      <c r="AJ11" s="319" t="s">
        <v>51</v>
      </c>
      <c r="AK11" s="320"/>
      <c r="AL11" s="315"/>
      <c r="AM11" s="28"/>
      <c r="AN11" s="210" t="s">
        <v>128</v>
      </c>
      <c r="AO11" s="209" t="s">
        <v>129</v>
      </c>
      <c r="AP11" s="209" t="s">
        <v>130</v>
      </c>
      <c r="AQ11" s="209" t="s">
        <v>131</v>
      </c>
      <c r="AR11" s="209" t="s">
        <v>132</v>
      </c>
      <c r="AS11" s="209" t="s">
        <v>133</v>
      </c>
      <c r="AT11" s="209" t="s">
        <v>134</v>
      </c>
      <c r="AU11" s="209"/>
      <c r="AV11" s="209"/>
      <c r="AW11" s="209" t="s">
        <v>135</v>
      </c>
      <c r="AX11" s="28"/>
      <c r="AY11" s="23"/>
      <c r="AZ11" s="209" t="s">
        <v>136</v>
      </c>
      <c r="BA11" s="23"/>
      <c r="BB11" s="23"/>
    </row>
    <row r="12" spans="2:57" ht="15" customHeight="1">
      <c r="B12" s="40" t="s">
        <v>52</v>
      </c>
      <c r="D12" s="337"/>
      <c r="E12" s="340"/>
      <c r="F12" s="351" t="s">
        <v>29</v>
      </c>
      <c r="G12" s="352"/>
      <c r="H12" s="352"/>
      <c r="I12" s="352"/>
      <c r="J12" s="352"/>
      <c r="K12" s="318"/>
      <c r="L12" s="330"/>
      <c r="M12" s="41" t="s">
        <v>53</v>
      </c>
      <c r="N12" s="394"/>
      <c r="O12" s="385"/>
      <c r="P12" s="362"/>
      <c r="Q12" s="332"/>
      <c r="R12" s="332"/>
      <c r="S12" s="388"/>
      <c r="T12" s="328"/>
      <c r="U12" s="335"/>
      <c r="V12" s="42" t="s">
        <v>54</v>
      </c>
      <c r="W12" s="43" t="s">
        <v>30</v>
      </c>
      <c r="X12" s="44" t="s">
        <v>55</v>
      </c>
      <c r="Y12" s="292"/>
      <c r="Z12" s="45" t="s">
        <v>56</v>
      </c>
      <c r="AA12" s="287"/>
      <c r="AB12" s="46" t="s">
        <v>55</v>
      </c>
      <c r="AC12" s="292"/>
      <c r="AD12" s="45" t="s">
        <v>56</v>
      </c>
      <c r="AE12" s="287"/>
      <c r="AF12" s="38" t="s">
        <v>57</v>
      </c>
      <c r="AG12" s="379" t="s">
        <v>58</v>
      </c>
      <c r="AH12" s="380"/>
      <c r="AI12" s="47" t="s">
        <v>59</v>
      </c>
      <c r="AJ12" s="317" t="s">
        <v>31</v>
      </c>
      <c r="AK12" s="318"/>
      <c r="AL12" s="315"/>
      <c r="AM12" s="28"/>
      <c r="AN12" s="209" t="s">
        <v>137</v>
      </c>
      <c r="AO12" s="209" t="s">
        <v>138</v>
      </c>
      <c r="AP12" s="209" t="s">
        <v>139</v>
      </c>
      <c r="AQ12" s="209" t="s">
        <v>140</v>
      </c>
      <c r="AR12" s="209" t="s">
        <v>141</v>
      </c>
      <c r="AS12" s="209" t="s">
        <v>142</v>
      </c>
      <c r="AT12" s="209" t="s">
        <v>143</v>
      </c>
      <c r="AU12" s="209" t="s">
        <v>143</v>
      </c>
      <c r="AV12" s="209"/>
      <c r="AW12" s="209" t="s">
        <v>144</v>
      </c>
      <c r="AX12" s="209" t="s">
        <v>145</v>
      </c>
      <c r="AY12" s="23"/>
      <c r="AZ12" s="209" t="s">
        <v>146</v>
      </c>
      <c r="BA12" s="23"/>
      <c r="BB12" s="23"/>
    </row>
    <row r="13" spans="2:57" ht="15" customHeight="1">
      <c r="B13" s="40" t="s">
        <v>147</v>
      </c>
      <c r="D13" s="338"/>
      <c r="E13" s="341"/>
      <c r="F13" s="342" t="s">
        <v>148</v>
      </c>
      <c r="G13" s="343"/>
      <c r="H13" s="343"/>
      <c r="I13" s="343"/>
      <c r="J13" s="343"/>
      <c r="K13" s="344"/>
      <c r="L13" s="395" t="s">
        <v>149</v>
      </c>
      <c r="M13" s="396"/>
      <c r="N13" s="48" t="s">
        <v>150</v>
      </c>
      <c r="O13" s="386"/>
      <c r="P13" s="49" t="s">
        <v>151</v>
      </c>
      <c r="Q13" s="50" t="s">
        <v>152</v>
      </c>
      <c r="R13" s="50" t="s">
        <v>153</v>
      </c>
      <c r="S13" s="51" t="s">
        <v>154</v>
      </c>
      <c r="T13" s="52" t="s">
        <v>155</v>
      </c>
      <c r="U13" s="53" t="s">
        <v>156</v>
      </c>
      <c r="V13" s="54" t="s">
        <v>157</v>
      </c>
      <c r="W13" s="55" t="s">
        <v>158</v>
      </c>
      <c r="X13" s="363" t="s">
        <v>159</v>
      </c>
      <c r="Y13" s="364"/>
      <c r="Z13" s="364"/>
      <c r="AA13" s="365"/>
      <c r="AB13" s="293" t="s">
        <v>160</v>
      </c>
      <c r="AC13" s="294"/>
      <c r="AD13" s="294"/>
      <c r="AE13" s="295"/>
      <c r="AF13" s="56" t="s">
        <v>161</v>
      </c>
      <c r="AG13" s="296" t="s">
        <v>162</v>
      </c>
      <c r="AH13" s="297"/>
      <c r="AI13" s="298"/>
      <c r="AJ13" s="57" t="s">
        <v>163</v>
      </c>
      <c r="AK13" s="58" t="s">
        <v>164</v>
      </c>
      <c r="AL13" s="316"/>
      <c r="AM13" s="28"/>
      <c r="AN13" s="209" t="s">
        <v>165</v>
      </c>
      <c r="AO13" s="209" t="s">
        <v>166</v>
      </c>
      <c r="AP13" s="209" t="s">
        <v>167</v>
      </c>
      <c r="AQ13" s="209" t="s">
        <v>168</v>
      </c>
      <c r="AR13" s="209" t="s">
        <v>169</v>
      </c>
      <c r="AS13" s="209" t="s">
        <v>170</v>
      </c>
      <c r="AT13" s="209" t="s">
        <v>171</v>
      </c>
      <c r="AU13" s="209" t="s">
        <v>171</v>
      </c>
      <c r="AV13" s="209"/>
      <c r="AW13" s="209" t="s">
        <v>172</v>
      </c>
      <c r="AX13" s="28"/>
      <c r="AY13" s="209" t="s">
        <v>166</v>
      </c>
      <c r="AZ13" s="23"/>
      <c r="BA13" s="209" t="s">
        <v>173</v>
      </c>
      <c r="BB13" s="23"/>
      <c r="BC13" s="23"/>
      <c r="BD13" s="23"/>
      <c r="BE13" s="23"/>
    </row>
    <row r="14" spans="2:57" ht="15" hidden="1" customHeight="1">
      <c r="D14" s="59"/>
      <c r="E14" s="60"/>
      <c r="F14" s="61"/>
      <c r="G14" s="62"/>
      <c r="H14" s="62"/>
      <c r="I14" s="62"/>
      <c r="J14" s="62"/>
      <c r="K14" s="63"/>
      <c r="L14" s="64"/>
      <c r="M14" s="65"/>
      <c r="N14" s="66"/>
      <c r="O14" s="67"/>
      <c r="P14" s="68"/>
      <c r="Q14" s="69"/>
      <c r="R14" s="69"/>
      <c r="S14" s="70"/>
      <c r="T14" s="71"/>
      <c r="U14" s="72"/>
      <c r="V14" s="73"/>
      <c r="W14" s="74"/>
      <c r="X14" s="75"/>
      <c r="Y14" s="76"/>
      <c r="Z14" s="76"/>
      <c r="AA14" s="72"/>
      <c r="AB14" s="77"/>
      <c r="AC14" s="78"/>
      <c r="AD14" s="78"/>
      <c r="AE14" s="79"/>
      <c r="AF14" s="80"/>
      <c r="AG14" s="80"/>
      <c r="AH14" s="65"/>
      <c r="AI14" s="81"/>
      <c r="AJ14" s="82"/>
      <c r="AK14" s="83"/>
      <c r="AL14" s="32"/>
      <c r="AM14" s="28"/>
      <c r="AN14" s="211"/>
      <c r="AO14" s="211"/>
      <c r="AP14" s="211"/>
      <c r="AQ14" s="212"/>
      <c r="AR14" s="211"/>
      <c r="AS14" s="211"/>
      <c r="AT14" s="211"/>
      <c r="AU14" s="211"/>
      <c r="AV14" s="4"/>
      <c r="AW14" s="211"/>
      <c r="AX14" s="28"/>
      <c r="AY14" s="23">
        <f>10^30</f>
        <v>1E+30</v>
      </c>
      <c r="AZ14" s="23"/>
      <c r="BA14" s="211"/>
      <c r="BB14" s="23"/>
      <c r="BC14" s="23"/>
      <c r="BD14" s="23"/>
      <c r="BE14" s="23"/>
    </row>
    <row r="15" spans="2:57" ht="15" hidden="1" customHeight="1">
      <c r="D15" s="59"/>
      <c r="E15" s="60"/>
      <c r="F15" s="61"/>
      <c r="G15" s="62"/>
      <c r="H15" s="62"/>
      <c r="I15" s="62"/>
      <c r="J15" s="62"/>
      <c r="K15" s="63"/>
      <c r="L15" s="64"/>
      <c r="M15" s="65"/>
      <c r="N15" s="66"/>
      <c r="O15" s="67"/>
      <c r="P15" s="68"/>
      <c r="Q15" s="69"/>
      <c r="R15" s="69"/>
      <c r="S15" s="70"/>
      <c r="T15" s="71"/>
      <c r="U15" s="72"/>
      <c r="V15" s="73"/>
      <c r="W15" s="74"/>
      <c r="X15" s="75"/>
      <c r="Y15" s="76"/>
      <c r="Z15" s="76"/>
      <c r="AA15" s="72"/>
      <c r="AB15" s="77"/>
      <c r="AC15" s="78"/>
      <c r="AD15" s="78"/>
      <c r="AE15" s="79"/>
      <c r="AF15" s="80"/>
      <c r="AG15" s="80"/>
      <c r="AH15" s="65"/>
      <c r="AI15" s="81"/>
      <c r="AJ15" s="82"/>
      <c r="AK15" s="83"/>
      <c r="AL15" s="32"/>
      <c r="AM15" s="28"/>
      <c r="AN15" s="211"/>
      <c r="AO15" s="211"/>
      <c r="AP15" s="211"/>
      <c r="AQ15" s="212"/>
      <c r="AR15" s="211"/>
      <c r="AS15" s="211"/>
      <c r="AT15" s="211"/>
      <c r="AU15" s="211"/>
      <c r="AV15" s="4"/>
      <c r="AW15" s="211"/>
      <c r="AX15" s="28"/>
      <c r="AY15" s="23"/>
      <c r="AZ15" s="23"/>
      <c r="BA15" s="211"/>
      <c r="BB15" s="23"/>
      <c r="BC15" s="23"/>
      <c r="BD15" s="23"/>
      <c r="BE15" s="23"/>
    </row>
    <row r="16" spans="2:57" ht="15" hidden="1" customHeight="1">
      <c r="D16" s="59"/>
      <c r="E16" s="60"/>
      <c r="F16" s="61"/>
      <c r="G16" s="62"/>
      <c r="H16" s="62"/>
      <c r="I16" s="62"/>
      <c r="J16" s="62"/>
      <c r="K16" s="63"/>
      <c r="L16" s="64"/>
      <c r="M16" s="65"/>
      <c r="N16" s="66"/>
      <c r="O16" s="67"/>
      <c r="P16" s="68"/>
      <c r="Q16" s="69"/>
      <c r="R16" s="69"/>
      <c r="S16" s="70"/>
      <c r="T16" s="71"/>
      <c r="U16" s="72"/>
      <c r="V16" s="73"/>
      <c r="W16" s="74"/>
      <c r="X16" s="75"/>
      <c r="Y16" s="76"/>
      <c r="Z16" s="76"/>
      <c r="AA16" s="72"/>
      <c r="AB16" s="77"/>
      <c r="AC16" s="78"/>
      <c r="AD16" s="78"/>
      <c r="AE16" s="79"/>
      <c r="AF16" s="80"/>
      <c r="AG16" s="80"/>
      <c r="AH16" s="65"/>
      <c r="AI16" s="81"/>
      <c r="AJ16" s="82"/>
      <c r="AK16" s="83"/>
      <c r="AL16" s="32"/>
      <c r="AM16" s="28"/>
      <c r="AN16" s="211"/>
      <c r="AO16" s="211"/>
      <c r="AP16" s="211"/>
      <c r="AQ16" s="212"/>
      <c r="AR16" s="211"/>
      <c r="AS16" s="211"/>
      <c r="AT16" s="211"/>
      <c r="AU16" s="211"/>
      <c r="AV16" s="4"/>
      <c r="AW16" s="211"/>
      <c r="AX16" s="28"/>
      <c r="AY16" s="23"/>
      <c r="AZ16" s="23"/>
      <c r="BA16" s="211"/>
      <c r="BB16" s="23"/>
      <c r="BC16" s="23"/>
      <c r="BD16" s="23"/>
      <c r="BE16" s="23"/>
    </row>
    <row r="17" spans="2:57" ht="15" hidden="1" customHeight="1">
      <c r="D17" s="59"/>
      <c r="E17" s="60"/>
      <c r="F17" s="61"/>
      <c r="G17" s="62"/>
      <c r="H17" s="62"/>
      <c r="I17" s="62"/>
      <c r="J17" s="62"/>
      <c r="K17" s="63"/>
      <c r="L17" s="64"/>
      <c r="M17" s="65"/>
      <c r="N17" s="66"/>
      <c r="O17" s="67"/>
      <c r="P17" s="68"/>
      <c r="Q17" s="69"/>
      <c r="R17" s="69"/>
      <c r="S17" s="70"/>
      <c r="T17" s="71"/>
      <c r="U17" s="72"/>
      <c r="V17" s="73"/>
      <c r="W17" s="74"/>
      <c r="X17" s="75"/>
      <c r="Y17" s="76"/>
      <c r="Z17" s="76"/>
      <c r="AA17" s="72"/>
      <c r="AB17" s="77"/>
      <c r="AC17" s="78"/>
      <c r="AD17" s="78"/>
      <c r="AE17" s="79"/>
      <c r="AF17" s="80"/>
      <c r="AG17" s="80"/>
      <c r="AH17" s="65"/>
      <c r="AI17" s="81"/>
      <c r="AJ17" s="82"/>
      <c r="AK17" s="83"/>
      <c r="AL17" s="32"/>
      <c r="AM17" s="28"/>
      <c r="AN17" s="211"/>
      <c r="AO17" s="211"/>
      <c r="AP17" s="211"/>
      <c r="AQ17" s="212"/>
      <c r="AR17" s="211"/>
      <c r="AS17" s="211"/>
      <c r="AT17" s="211"/>
      <c r="AU17" s="211"/>
      <c r="AV17" s="4"/>
      <c r="AW17" s="211"/>
      <c r="AX17" s="28"/>
      <c r="AY17" s="23"/>
      <c r="AZ17" s="23"/>
      <c r="BA17" s="211"/>
      <c r="BB17" s="23"/>
      <c r="BC17" s="23"/>
      <c r="BD17" s="23"/>
      <c r="BE17" s="23"/>
    </row>
    <row r="18" spans="2:57" ht="15" customHeight="1">
      <c r="B18" s="84"/>
      <c r="C18" s="271" t="str">
        <f>IF(BC18=1,"●","・")</f>
        <v>・</v>
      </c>
      <c r="D18" s="402"/>
      <c r="E18" s="403"/>
      <c r="F18" s="404"/>
      <c r="G18" s="265" t="str">
        <f>IF(F18="","","φ")</f>
        <v/>
      </c>
      <c r="H18" s="405"/>
      <c r="I18" s="265" t="str">
        <f>IF(H18="","","W")</f>
        <v/>
      </c>
      <c r="J18" s="405"/>
      <c r="K18" s="272" t="str">
        <f>IF(J18="","","V")</f>
        <v/>
      </c>
      <c r="L18" s="406"/>
      <c r="M18" s="407"/>
      <c r="N18" s="408"/>
      <c r="O18" s="193"/>
      <c r="P18" s="86"/>
      <c r="Q18" s="194"/>
      <c r="R18" s="87"/>
      <c r="S18" s="88" t="str">
        <f>IF(R18="","",IF(Q18="",P18/R18,P18/(Q18*R18)))</f>
        <v/>
      </c>
      <c r="T18" s="195"/>
      <c r="U18" s="196" t="str">
        <f>IF(OR(BA20="",S18=""),"",S18*1000*T18/(SQRT(BA18)*BA20))</f>
        <v/>
      </c>
      <c r="V18" s="254" t="str">
        <f>IF(AND(N(U18)=0,N(U19)=0,N(U20)=0,N(U21)=0),"",BA20/(SUM(U18:U21)))</f>
        <v/>
      </c>
      <c r="W18" s="280"/>
      <c r="X18" s="281"/>
      <c r="Y18" s="242"/>
      <c r="Z18" s="243"/>
      <c r="AA18" s="239"/>
      <c r="AB18" s="241"/>
      <c r="AC18" s="242"/>
      <c r="AD18" s="243"/>
      <c r="AE18" s="247"/>
      <c r="AF18" s="233" t="str">
        <f>IF(OR(AND(AF14="",N(BA16)=0,BA20&lt;&gt;0),D18&lt;&gt;""),AX20/AQ19,"")</f>
        <v/>
      </c>
      <c r="AG18" s="249" t="str">
        <f>IF(BA20=0,"",IF(AD20="",AX18,IF(AND(D18&lt;&gt;"",AU18=""),AX20*SQRT(AP20^2+AP21^2)/SQRT(AS18^2+AS19^2)/AQ19,AX18*SQRT(AP20^2+AP21^2)/SQRT(AS18^2+AS19^2))))</f>
        <v/>
      </c>
      <c r="AH18" s="250"/>
      <c r="AI18" s="234" t="str">
        <f>IF(AG18="","",IF(N(U18)&lt;0,-AX18*AQ19/SQRT(AS18^2+AS19^2),AX18*AQ19/SQRT(AS18^2+AS19^2)))</f>
        <v/>
      </c>
      <c r="AJ18" s="256"/>
      <c r="AK18" s="257"/>
      <c r="AL18" s="231" t="s">
        <v>174</v>
      </c>
      <c r="AM18" s="28"/>
      <c r="AN18" s="213" t="b">
        <f>IF(BA18="","",IF(AND(BA18=1,F20=50,L18="oil cooled type"),VLOOKUP(L20,変１,2,FALSE),IF(AND(BA18=1,F20=50,L18="(F)molded type"),VLOOKUP(L20,変１,7,FALSE),IF(AND(BA18=1,F20=60,L18="oil cooled type"),VLOOKUP(L20,変１,12,FALSE),IF(AND(BA18=1,F20=60,L18="(F)molded type"),VLOOKUP(L20,変１,17,FALSE),FALSE)))))</f>
        <v>0</v>
      </c>
      <c r="AO18" s="213">
        <f>IF(ISNA(VLOOKUP(L20,変ＵＳＥＲ,2,FALSE)),0,VLOOKUP(L20,変ＵＳＥＲ,2,FALSE))</f>
        <v>0</v>
      </c>
      <c r="AP18" s="214">
        <f>IF(N18="",0,N18*1000/BA20^2/SQRT(BA18))</f>
        <v>0</v>
      </c>
      <c r="AQ18" s="213" t="b">
        <f>IF(BA18=1,2,IF(BA18=3,SQRT(3),FALSE))</f>
        <v>0</v>
      </c>
      <c r="AR18" s="215" t="str">
        <f>IF(X18="","",IF(X18="600V IV",VLOOKUP(X20,ＩＶ,2,FALSE),IF(X18="600V CV-T",VLOOKUP(X20,ＣＶＴ,2,FALSE),IF(OR(X18="600V CV-1C",X18="600V CV-2C",X18="600V CV-3C",X18="600V CV-4C"),VLOOKUP(X20,ＣＶ２３Ｃ,2,FALSE),VLOOKUP(X20,ＣＵＳＥＲ,2,FALSE)))))</f>
        <v/>
      </c>
      <c r="AS18" s="213" t="str">
        <f>IF(AB21="",AP20,AP20+(AB21/1000))</f>
        <v/>
      </c>
      <c r="AT18" s="216" t="str">
        <f>IF(AU20="",AT20,AU20)</f>
        <v/>
      </c>
      <c r="AU18" s="216" t="str">
        <f>IF(D18="","",IF(AND(D22="",D26&lt;&gt;"",AV21=AV29),AT26,IF(AND(D22="",D26="",D30&lt;&gt;"",AV25=AV33),AT30,IF(AND(D22="",D26="",D30="",D34&lt;&gt;"",AV29=AV37),AT34,IF(AND(D22="",D26="",D30="",D34="",D38&lt;&gt;"",AV33=AV41),AT38,IF(AND(D22="",D26="",D30="",D34="",D38="",D42&lt;&gt;"",AV37=AV45),AT42,IF(AND(D22="",D26="",D30="",D34="",D38="",D42="",D46&lt;&gt;"",AV41=AV49),AT46,"")))))))</f>
        <v/>
      </c>
      <c r="AV18" s="216" t="str">
        <f>IF(L18="ACG",IF(ISNA(VLOOKUP(L20,ＡＣＧ,2,FALSE)),0,VLOOKUP(L20,ＡＣＧ,2,FALSE)),"")</f>
        <v/>
      </c>
      <c r="AW18" s="217" t="str">
        <f>IF(AT18="","",AT18/((AT18*AP18)^2+(AT19*AP18-1)^2))</f>
        <v/>
      </c>
      <c r="AX18" s="218" t="str">
        <f>IF(BA20=0,"",IF(OR(AX14="",AF18&lt;&gt;""),AF18*SQRT(AS20^2+AS21^2)/SQRT(AT20^2+AT21^2),AX14*SQRT(AS20^2+AS21^2)/SQRT(AT20^2+AT21^2)))</f>
        <v/>
      </c>
      <c r="AY18" s="219">
        <f>IF(N(AY20)=10^30,10^30,IF(N(AY24)=10^30,(N(AY20)*(N(AY24)^2+N(AY25)^2)+N(AY24)*(N(AY20)^2+N(AY21)^2))/((N(AY20)+N(AY24))^2+(N(AY21)+N(AY25))^2),(N(AY20)*(N(AY22)^2+N(AY23)^2)+N(AY22)*(N(AY20)^2+N(AY21)^2))/((N(AY20)+N(AY22))^2+(N(AY21)+N(AY23))^2)))</f>
        <v>1E+30</v>
      </c>
      <c r="AZ18" s="23"/>
      <c r="BA18" s="220">
        <f>IF(AND(F18="",SUM(S18:S21)&lt;&gt;0),BA14,F18)</f>
        <v>0</v>
      </c>
      <c r="BB18" s="221">
        <f t="shared" ref="BB18:BB65" si="0">IF(OR(O18="熱源動力",O18="換気動力",O18="衛生動力",O18="生産動力",O18="動力差込",O18="防災動力"),1,0)</f>
        <v>0</v>
      </c>
      <c r="BC18" s="232">
        <f>IF(OR(E18="",F21="",AND(OR(P18="",Q18="",R18="",T18=""),OR(P19="",Q19="",R19="",T19=""),OR(P20="",Q20="",R20="",T20=""),OR(P21="",Q21="",R21="",T21="")),AND(OR(X18="",X20="",Y20="",Z20=""),OR(AB18="",AB20="",AC20="",AD20=""))),0,1)</f>
        <v>0</v>
      </c>
      <c r="BD18" s="232">
        <f>BC18</f>
        <v>0</v>
      </c>
      <c r="BE18" s="23"/>
    </row>
    <row r="19" spans="2:57" ht="15" customHeight="1">
      <c r="B19" s="84" t="s">
        <v>60</v>
      </c>
      <c r="C19" s="271"/>
      <c r="D19" s="409"/>
      <c r="E19" s="362"/>
      <c r="F19" s="410"/>
      <c r="G19" s="266"/>
      <c r="H19" s="266"/>
      <c r="I19" s="266"/>
      <c r="J19" s="266"/>
      <c r="K19" s="273"/>
      <c r="L19" s="411"/>
      <c r="M19" s="197" t="str">
        <f>IF(L18="ACG",SQRT(AV18^2+AV19^2),IF(L20="","",IF(OR(L18="oil cooled type",L18="(F)molded type"),IF(BA18=1,SQRT(AN18^2+AN19^2),IF(BA18=3,SQRT(AN20^2+AN21^2))),SQRT(AO18^2+AO19^2))))</f>
        <v/>
      </c>
      <c r="N19" s="412"/>
      <c r="O19" s="198"/>
      <c r="P19" s="90"/>
      <c r="Q19" s="199"/>
      <c r="R19" s="91"/>
      <c r="S19" s="92" t="str">
        <f>IF(R20="","",IF(Q20="",P20/R20,P20/(Q20*R20)))</f>
        <v/>
      </c>
      <c r="T19" s="200"/>
      <c r="U19" s="201" t="str">
        <f>IF(OR(BA20="",S19=""),"",S19*1000*T19/(SQRT(BA18)*BA20))</f>
        <v/>
      </c>
      <c r="V19" s="255"/>
      <c r="W19" s="248"/>
      <c r="X19" s="258"/>
      <c r="Y19" s="245"/>
      <c r="Z19" s="246"/>
      <c r="AA19" s="240"/>
      <c r="AB19" s="244"/>
      <c r="AC19" s="245"/>
      <c r="AD19" s="246"/>
      <c r="AE19" s="248"/>
      <c r="AF19" s="235" t="str">
        <f>IF(OR(AF18="",AG14&lt;&gt;""),"",AF18*AQ19/SQRT(AT18^2+AT19^2))</f>
        <v/>
      </c>
      <c r="AG19" s="274" t="str">
        <f>IF(AG18="","",100*AG18*AQ19/BA20)</f>
        <v/>
      </c>
      <c r="AH19" s="275"/>
      <c r="AI19" s="260" t="str">
        <f>IF(BA20=0,"",IF(AI14="",AX20/SQRT(AT18^2+AT19^2),IF(AI22="","",IF(AT18&lt;0,-AX18*AQ15/SQRT(AT18^2+AT19^2),AX18*AQ15/SQRT(AT18^2+AT19^2)))))</f>
        <v/>
      </c>
      <c r="AJ19" s="258"/>
      <c r="AK19" s="259"/>
      <c r="AL19" s="187" t="e">
        <f>"  "&amp;(INT(10000*(N(AF20)-N(L25)-N(L29))/L21))/100&amp;" ％"</f>
        <v>#VALUE!</v>
      </c>
      <c r="AM19" s="28"/>
      <c r="AN19" s="213" t="b">
        <f>IF(BA18="","",IF(AND(BA18=1,F20=50,L18="oil cooled type"),VLOOKUP(L20,変１,3,FALSE),IF(AND(BA18=1,F20=50,L18="(F)molded type"),VLOOKUP(L20,変１,8,FALSE),IF(AND(BA18=1,F20=60,L18="oil cooled type"),VLOOKUP(L20,変１,13,FALSE),IF(AND(BA18=1,F20=60,L18="(F)molded type"),VLOOKUP(L20,変１,18,FALSE),FALSE)))))</f>
        <v>0</v>
      </c>
      <c r="AO19" s="213">
        <f>IF(ISNA(VLOOKUP(L20,変ＵＳＥＲ,3,FALSE)),0,VLOOKUP(L20,変ＵＳＥＲ,3,FALSE)*BA21/50)</f>
        <v>0</v>
      </c>
      <c r="AP19" s="214">
        <f>IF(W18="",0,W18*1000/BA20^2/SQRT(BA18))</f>
        <v>0</v>
      </c>
      <c r="AQ19" s="213">
        <f>IF(AND(BA18=1,BA19=2),1,IF(AND(BA18=3,BA19=3),1,IF(AND(BA18=1,BA19=3),2,IF(AND(BA18=3,BA19=4)*OR(BB18=1,BB19=1,BB20=1,BB21=1),1,SQRT(3)))))</f>
        <v>1.7320508075688772</v>
      </c>
      <c r="AR19" s="215" t="str">
        <f>IF(X18="","",IF(X18="600V IV",VLOOKUP(X20,ＩＶ,3,FALSE),IF(X18="600V CV-T",VLOOKUP(X20,ＣＶＴ,3,FALSE),IF(OR(X18="600V CV-1C",X18="600V CV-2C",X18="600V CV-3C",X18="600V CV-4C"),VLOOKUP(X20,ＣＶ２３Ｃ,3,FALSE),VLOOKUP(X20,ＣＵＳＥＲ,3,FALSE)))))</f>
        <v/>
      </c>
      <c r="AS19" s="213" t="str">
        <f>IF(AD21="",AP21,AP21+(AD21/1000))</f>
        <v/>
      </c>
      <c r="AT19" s="216" t="str">
        <f>IF(AU21="",AT21,AU21)</f>
        <v/>
      </c>
      <c r="AU19" s="216" t="str">
        <f>IF(D18="","",IF(AND(D22="",D26&lt;&gt;"",AV21=AV29),AT27,IF(AND(D22="",D26="",D30&lt;&gt;"",AV25=AV33),AT31,IF(AND(D22="",D26="",D30="",D34&lt;&gt;"",AV29=AV37),AT35,IF(AND(D22="",D26="",D30="",D34="",D38&lt;&gt;"",AV33=AV41),AT39,IF(AND(D22="",D26="",D30="",D34="",D38="",D42&lt;&gt;"",AV37=AV45),AT43,IF(AND(D22="",D26="",D30="",D34="",D38="",D42="",D46&lt;&gt;"",AV41=AV49),AT47,"")))))))</f>
        <v/>
      </c>
      <c r="AV19" s="215" t="str">
        <f>IF(L18="ACG",IF(ISNA(VLOOKUP(L20,ＡＣＧ,3,FALSE)),0,VLOOKUP(L20,ＡＣＧ,3,FALSE)*BA21/50),"")</f>
        <v/>
      </c>
      <c r="AW19" s="217" t="str">
        <f>IF(AT19="","",(AT19-AP18*(AT18^2+AT19^2))/((AT18*AP18)^2+(AP18*AT19-1)^2))</f>
        <v/>
      </c>
      <c r="AX19" s="218"/>
      <c r="AY19" s="219">
        <f>IF(N(AY21)=10^30,10^30,IF(N(AY25)=10^30,(N(AY21)*(N(AY24)^2+N(AY25)^2)+N(AY25)*(N(AY20)^2+N(AY21)^2))/((N(AY20)+N(AY24))^2+(N(AY21)+N(AY25))^2),(N(AY21)*(N(AY22)^2+N(AY23)^2)+N(AY23)*(N(AY20)^2+N(AY21)^2))/((N(AY20)+N(AY22))^2+(N(AY21)+N(AY23))^2)))</f>
        <v>1E+30</v>
      </c>
      <c r="AZ19" s="23"/>
      <c r="BA19" s="220">
        <f>IF(AND(H18="",SUM(S18:S21)&lt;&gt;0),BA15,H18)</f>
        <v>0</v>
      </c>
      <c r="BB19" s="221">
        <f t="shared" si="0"/>
        <v>0</v>
      </c>
      <c r="BC19" s="232"/>
      <c r="BD19" s="232"/>
    </row>
    <row r="20" spans="2:57" ht="15" customHeight="1">
      <c r="B20" s="84" t="s">
        <v>61</v>
      </c>
      <c r="C20" s="271"/>
      <c r="D20" s="409"/>
      <c r="E20" s="362"/>
      <c r="F20" s="413"/>
      <c r="G20" s="414"/>
      <c r="H20" s="414"/>
      <c r="I20" s="414"/>
      <c r="J20" s="414"/>
      <c r="K20" s="415"/>
      <c r="L20" s="416"/>
      <c r="M20" s="275"/>
      <c r="N20" s="412"/>
      <c r="O20" s="198"/>
      <c r="P20" s="93"/>
      <c r="Q20" s="202"/>
      <c r="R20" s="91"/>
      <c r="S20" s="92" t="str">
        <f>IF(R21="","",IF(Q21="",P21/R21,P21/(Q21*R21)))</f>
        <v/>
      </c>
      <c r="T20" s="200"/>
      <c r="U20" s="203" t="str">
        <f>IF(OR(BA20="",S20=""),"",S20*1000*T20/(SQRT(BA18)*BA20))</f>
        <v/>
      </c>
      <c r="V20" s="94" t="str">
        <f>IF(AND(N(U18)=0,N(U19)=0,N(U20)=0,N(U21)=0),"",V18*(P18*R18*T18+P19*R19*T19+P20*R20*T20+P21*R21*T21)/(P18*T18+P19*T19+P20*T20+P21*T21))</f>
        <v/>
      </c>
      <c r="W20" s="276" t="str">
        <f>IF(AND(N(AP20)=0,N(AP21)=0,N(AP19)=0),"",IF(AP21&gt;=0,COS(ATAN(AP21/AP20)),-COS(ATAN(AP21/AP20))))</f>
        <v/>
      </c>
      <c r="X20" s="95"/>
      <c r="Y20" s="204"/>
      <c r="Z20" s="96"/>
      <c r="AA20" s="97"/>
      <c r="AB20" s="98"/>
      <c r="AC20" s="204"/>
      <c r="AD20" s="96"/>
      <c r="AE20" s="99"/>
      <c r="AF20" s="236" t="str">
        <f>IF(OR(AF18="",AG14&lt;&gt;""),"",BA20/SQRT(AW20^2+AW21^2))</f>
        <v/>
      </c>
      <c r="AG20" s="274" t="str">
        <f>IF(AG18="","",100*((BA20/AQ19)-AG18)/(BA20/AQ19))</f>
        <v/>
      </c>
      <c r="AH20" s="275"/>
      <c r="AI20" s="261"/>
      <c r="AJ20" s="262"/>
      <c r="AK20" s="264"/>
      <c r="AL20" s="188"/>
      <c r="AM20" s="28"/>
      <c r="AN20" s="222" t="b">
        <f>IF(BA18="","",IF(AND(BA18=3,F20=50,L18="oil cooled type"),VLOOKUP(L20,変３,2,FALSE),IF(AND(BA18=3,F20=50,L18="(F)molded type"),VLOOKUP(L20,変３,7,FALSE),IF(AND(BA18=3,F20=60,L18="oil cooled type"),VLOOKUP(L20,変３,12,FALSE),IF(AND(BA18=3,F20=60,L18="(F)molded type"),VLOOKUP(L20,変３,17,FALSE),FALSE)))))</f>
        <v>0</v>
      </c>
      <c r="AO20" s="215" t="str">
        <f>IF(AND(L14="",N(AY18)&lt;10^29),AY18,"")</f>
        <v/>
      </c>
      <c r="AP20" s="223" t="str">
        <f>IF(V18="","",IF(AND(N(V20)=0,N(AP19)=0),"",AQ20/((AQ20*AP19)^2+(AP19*AQ21-1)^2)))</f>
        <v/>
      </c>
      <c r="AQ20" s="213">
        <f>IF(N(V20)=0,10^30,V20)</f>
        <v>1E+30</v>
      </c>
      <c r="AR20" s="215" t="str">
        <f>IF(AB18="","",IF(AB18="600V IV",VLOOKUP(AB20,ＩＶ,2,FALSE),IF(AB18="600V CV-T",VLOOKUP(AB20,ＣＶＴ,2,FALSE),IF(OR(AB18="600V CV-1C",AB18="600V CV-2C",AB18="600V CV-3C",AB18="600V CV-4C"),VLOOKUP(AB20,ＣＶ２３Ｃ,2,FALSE),VLOOKUP(AB20,ＣＵＳＥＲ,2,FALSE)))))</f>
        <v/>
      </c>
      <c r="AS20" s="213" t="str">
        <f>IF(OR(AND(AS22="",AS23=""),AND(D18="",D22&lt;&gt;"")),AS18,(AS18*(AT22^2+AT23^2)+AT22*(AS18^2+AS19^2))/((AS18+AT22)^2+(AS19+AT23)^2))</f>
        <v/>
      </c>
      <c r="AT20" s="216" t="str">
        <f>IF(X21="",AS20,N(AS20)+(X21/1000))</f>
        <v/>
      </c>
      <c r="AU20" s="216" t="str">
        <f>IF(AU18="","",(AT20*(AU18^2+AU19^2)+AU18*(AT20^2+AT21^2))/((AT20+AU18)^2+(AT21+AU19)^2))</f>
        <v/>
      </c>
      <c r="AV20" s="216">
        <f>IF(BA20=0,1,0)</f>
        <v>1</v>
      </c>
      <c r="AW20" s="217" t="str">
        <f>IF(AO20="","",AW18+AO20)</f>
        <v/>
      </c>
      <c r="AX20" s="218" t="str">
        <f>IF(AND(AX16="",AW20&lt;&gt;""),BA20*SQRT(AW18^2+AW19^2)/SQRT(AW20^2+AW21^2),IF(BA20&lt;&gt;0,AX16,""))</f>
        <v/>
      </c>
      <c r="AY20" s="224">
        <f>IF(L20="",10^30,SQRT(BA18)*(BA20^2)*(N(AN18)+N(AN20)+N(AO18)+N(AV18))/(100000*L20*M18))</f>
        <v>1E+30</v>
      </c>
      <c r="AZ20" s="225"/>
      <c r="BA20" s="220">
        <f>IF(AND(J18="",SUM(S18:S21)&lt;&gt;0),BA16,J18)</f>
        <v>0</v>
      </c>
      <c r="BB20" s="221">
        <f t="shared" si="0"/>
        <v>0</v>
      </c>
      <c r="BC20" s="232"/>
      <c r="BD20" s="232"/>
    </row>
    <row r="21" spans="2:57" ht="15" customHeight="1">
      <c r="B21" s="84" t="s">
        <v>62</v>
      </c>
      <c r="C21" s="271"/>
      <c r="D21" s="417"/>
      <c r="E21" s="418"/>
      <c r="F21" s="419"/>
      <c r="G21" s="270"/>
      <c r="H21" s="270"/>
      <c r="I21" s="270"/>
      <c r="J21" s="270"/>
      <c r="K21" s="268"/>
      <c r="L21" s="251" t="str">
        <f>IF(M18="","",L20*1000*M18/(SQRT(BA18)*BA20))</f>
        <v/>
      </c>
      <c r="M21" s="252"/>
      <c r="N21" s="277"/>
      <c r="O21" s="205"/>
      <c r="P21" s="106"/>
      <c r="Q21" s="206"/>
      <c r="R21" s="107"/>
      <c r="S21" s="108" t="str">
        <f>IF(R21="","",IF(Q21="",P21/R21,P21/(Q21*R21)))</f>
        <v/>
      </c>
      <c r="T21" s="207"/>
      <c r="U21" s="208" t="str">
        <f>IF(OR(BA20="",S21=""),"",S21*1000*T21/(SQRT(BA18)*BA20))</f>
        <v/>
      </c>
      <c r="V21" s="109" t="str">
        <f>IF(AND(N(U18)=0,N(U19)=0,N(U20)=0,N(U21)=0),"",IF(V18&gt;=0,SQRT(ABS(V18^2-V20^2)),-SQRT(V18^2-V20^2)))</f>
        <v/>
      </c>
      <c r="W21" s="277"/>
      <c r="X21" s="278" t="str">
        <f>IF(Y20="","",AQ18*Z20*AR18*((1+0.00393*(F21-20))/1.2751)/Y20)</f>
        <v/>
      </c>
      <c r="Y21" s="270"/>
      <c r="Z21" s="267" t="str">
        <f>IF(Y20="","",(BA21/50)*AQ18*Z20*AR19/Y20)</f>
        <v/>
      </c>
      <c r="AA21" s="252"/>
      <c r="AB21" s="279" t="str">
        <f>IF(AC20="","",AQ18*AD20*AR20*((1+0.00393*(F21-20))/1.2751)/AC20)</f>
        <v/>
      </c>
      <c r="AC21" s="270"/>
      <c r="AD21" s="267" t="str">
        <f>IF(AC20="","",(BA21/50)*AQ18*AD20*AR21/AC20)</f>
        <v/>
      </c>
      <c r="AE21" s="268"/>
      <c r="AF21" s="237" t="str">
        <f>IF(AND(AX18&lt;&gt;"",D18=""),AX18,"")</f>
        <v/>
      </c>
      <c r="AG21" s="269" t="str">
        <f>IF(AP20="","",AP20)</f>
        <v/>
      </c>
      <c r="AH21" s="270"/>
      <c r="AI21" s="238" t="str">
        <f>IF(AP21="","",AP21)</f>
        <v/>
      </c>
      <c r="AJ21" s="263"/>
      <c r="AK21" s="253"/>
      <c r="AL21" s="189"/>
      <c r="AM21" s="28"/>
      <c r="AN21" s="226" t="b">
        <f>IF(BA18="","",IF(AND(BA18=3,F20=50,L18="oil cooled type"),VLOOKUP(L20,変３,3,FALSE),IF(AND(BA18=3,F20=50,L18="(F)molded type"),VLOOKUP(L20,変３,8,FALSE),IF(AND(BA18=3,F20=60,L18="oil cooled type"),VLOOKUP(L20,変３,13,FALSE),IF(AND(BA18=3,F20=60,L18="(F)molded type"),VLOOKUP(L20,変３,18,FALSE),FALSE)))))</f>
        <v>0</v>
      </c>
      <c r="AO21" s="226" t="str">
        <f>IF(AND(L14="",N(AY19)&lt;10^29),AY19,"")</f>
        <v/>
      </c>
      <c r="AP21" s="227" t="str">
        <f>IF(V18="","",IF(AND(N(V21)=0,N(AP19)=0),0,(AQ21-AP19*(AQ20^2+AQ21^2))/((AQ20*AP19)^2+(AP19*AQ21-1)^2)))</f>
        <v/>
      </c>
      <c r="AQ21" s="228">
        <f>IF(N(V21)=0,10^30,V21)</f>
        <v>1E+30</v>
      </c>
      <c r="AR21" s="226" t="str">
        <f>IF(AB18="","",IF(AB18="600V IV",VLOOKUP(AB20,ＩＶ,3,FALSE),IF(AB18="600V CV-T",VLOOKUP(AB20,ＣＶＴ,3,FALSE),IF(OR(AB18="600V CV-1C",AB18="600V CV-2C",AB18="600V CV-3C",AB18="600V CV-4C"),VLOOKUP(AB20,ＣＶ２３Ｃ,3,FALSE),VLOOKUP(AB20,ＣＵＳＥＲ,3,FALSE)))))</f>
        <v/>
      </c>
      <c r="AS21" s="228" t="str">
        <f>IF(OR(AND(AS22="",AS23=""),AND(D18="",D22&lt;&gt;"")),AS19,(AS19*(AT22^2+AT23^2)+AT23*(AS18^2+AS19^2))/((AS18+AT22)^2+(AS19+AT23)^2))</f>
        <v/>
      </c>
      <c r="AT21" s="229" t="str">
        <f>IF(Z21="",AS21,N(AS21)+(Z21/1000))</f>
        <v/>
      </c>
      <c r="AU21" s="229" t="str">
        <f>IF(AU19="","",(AT21*(AU18^2+AU19^2)+AU19*(AT20^2+AT21^2))/((AT20+AU18)^2+(AT21+AU19)^2))</f>
        <v/>
      </c>
      <c r="AV21" s="229">
        <f>AV17+AV20</f>
        <v>1</v>
      </c>
      <c r="AW21" s="228" t="str">
        <f>IF(AO21="","",AW19+AO21)</f>
        <v/>
      </c>
      <c r="AX21" s="230"/>
      <c r="AY21" s="224">
        <f>IF(L20="",10^30,SQRT(BA18)*(BA20^2)*(N(AN19)+N(AN21)+N(AO19)+N(AV19))/(100000*L20*M18))</f>
        <v>1E+30</v>
      </c>
      <c r="AZ21" s="225"/>
      <c r="BA21" s="220">
        <f>IF(AND(F20="",SUM(S18:S21)&lt;&gt;0),BA17,F20)</f>
        <v>0</v>
      </c>
      <c r="BB21" s="221">
        <f t="shared" si="0"/>
        <v>0</v>
      </c>
      <c r="BC21" s="232"/>
      <c r="BD21" s="232"/>
    </row>
    <row r="22" spans="2:57" ht="15" customHeight="1">
      <c r="B22" s="84" t="s">
        <v>63</v>
      </c>
      <c r="C22" s="271" t="str">
        <f>IF(BC22=1,"●","・")</f>
        <v>・</v>
      </c>
      <c r="D22" s="402"/>
      <c r="E22" s="403"/>
      <c r="F22" s="404"/>
      <c r="G22" s="265" t="str">
        <f>IF(F22="","","φ")</f>
        <v/>
      </c>
      <c r="H22" s="405"/>
      <c r="I22" s="265" t="str">
        <f>IF(H22="","","W")</f>
        <v/>
      </c>
      <c r="J22" s="405"/>
      <c r="K22" s="272" t="str">
        <f>IF(J22="","","V")</f>
        <v/>
      </c>
      <c r="L22" s="406"/>
      <c r="M22" s="407"/>
      <c r="N22" s="408"/>
      <c r="O22" s="193"/>
      <c r="P22" s="86"/>
      <c r="Q22" s="194"/>
      <c r="R22" s="87"/>
      <c r="S22" s="88" t="str">
        <f>IF(R22="","",IF(Q22="",P22/R22,P22/(Q22*R22)))</f>
        <v/>
      </c>
      <c r="T22" s="195"/>
      <c r="U22" s="196" t="str">
        <f>IF(OR(BA24="",S22=""),"",S22*1000*T22/(SQRT(BA22)*BA24))</f>
        <v/>
      </c>
      <c r="V22" s="254" t="str">
        <f>IF(AND(N(U22)=0,N(U23)=0,N(U24)=0,N(U25)=0),"",BA24/(SUM(U22:U25)))</f>
        <v/>
      </c>
      <c r="W22" s="280"/>
      <c r="X22" s="281"/>
      <c r="Y22" s="242"/>
      <c r="Z22" s="243"/>
      <c r="AA22" s="239"/>
      <c r="AB22" s="241"/>
      <c r="AC22" s="242"/>
      <c r="AD22" s="243"/>
      <c r="AE22" s="247"/>
      <c r="AF22" s="233" t="str">
        <f>IF(OR(AND(AF18="",N(BA20)=0,BA24&lt;&gt;0),D22&lt;&gt;""),AX24/AQ23,"")</f>
        <v/>
      </c>
      <c r="AG22" s="249" t="str">
        <f>IF(BA24=0,"",IF(AD24="",AX22,IF(AND(D22&lt;&gt;"",AU22=""),AX24*SQRT(AP24^2+AP25^2)/SQRT(AS22^2+AS23^2)/AQ23,AX22*SQRT(AP24^2+AP25^2)/SQRT(AS22^2+AS23^2))))</f>
        <v/>
      </c>
      <c r="AH22" s="250"/>
      <c r="AI22" s="234" t="str">
        <f>IF(AG22="","",IF(N(U22)&lt;0,-AX22*AQ23/SQRT(AS22^2+AS23^2),AX22*AQ23/SQRT(AS22^2+AS23^2)))</f>
        <v/>
      </c>
      <c r="AJ22" s="256"/>
      <c r="AK22" s="257"/>
      <c r="AL22" s="186"/>
      <c r="AM22" s="28"/>
      <c r="AN22" s="213" t="b">
        <f>IF(BA22="","",IF(AND(BA22=1,F24=50,L22="oil cooled type"),VLOOKUP(L24,変１,2,FALSE),IF(AND(BA22=1,F24=50,L22="(F)molded type"),VLOOKUP(L24,変１,7,FALSE),IF(AND(BA22=1,F24=60,L22="oil cooled type"),VLOOKUP(L24,変１,12,FALSE),IF(AND(BA22=1,F24=60,L22="(F)molded type"),VLOOKUP(L24,変１,17,FALSE),FALSE)))))</f>
        <v>0</v>
      </c>
      <c r="AO22" s="213">
        <f>IF(ISNA(VLOOKUP(L24,変ＵＳＥＲ,2,FALSE)),0,VLOOKUP(L24,変ＵＳＥＲ,2,FALSE))</f>
        <v>0</v>
      </c>
      <c r="AP22" s="214">
        <f>IF(N22="",0,N22*1000/BA24^2/SQRT(BA22))</f>
        <v>0</v>
      </c>
      <c r="AQ22" s="213" t="b">
        <f>IF(BA22=1,2,IF(BA22=3,SQRT(3),FALSE))</f>
        <v>0</v>
      </c>
      <c r="AR22" s="215" t="str">
        <f>IF(X22="","",IF(X22="600V IV",VLOOKUP(X24,ＩＶ,2,FALSE),IF(X22="600V CV-T",VLOOKUP(X24,ＣＶＴ,2,FALSE),IF(OR(X22="600V CV-1C",X22="600V CV-2C",X22="600V CV-3C",X22="600V CV-4C"),VLOOKUP(X24,ＣＶ２３Ｃ,2,FALSE),VLOOKUP(X24,ＣＵＳＥＲ,2,FALSE)))))</f>
        <v/>
      </c>
      <c r="AS22" s="213" t="str">
        <f>IF(AB25="",AP24,AP24+(AB25/1000))</f>
        <v/>
      </c>
      <c r="AT22" s="216" t="str">
        <f>IF(AU24="",AT24,AU24)</f>
        <v/>
      </c>
      <c r="AU22" s="216" t="str">
        <f>IF(D22="","",IF(AND(D26="",D30&lt;&gt;"",AV25=AV33),AT30,IF(AND(D26="",D30="",D34&lt;&gt;"",AV29=AV37),AT34,IF(AND(D26="",D30="",D34="",D38&lt;&gt;"",AV33=AV41),AT38,IF(AND(D26="",D30="",D34="",D38="",D42&lt;&gt;"",AV37=AV45),AT42,IF(AND(D26="",D30="",D34="",D38="",D42="",D46&lt;&gt;"",AV41=AV49),AT46,IF(AND(D26="",D30="",D34="",D38="",D42="",D46="",D306&lt;&gt;"",AV45=AV309),AT306,"")))))))</f>
        <v/>
      </c>
      <c r="AV22" s="216" t="str">
        <f>IF(L22="ACG",IF(ISNA(VLOOKUP(L24,ＡＣＧ,2,FALSE)),0,VLOOKUP(L24,ＡＣＧ,2,FALSE)),"")</f>
        <v/>
      </c>
      <c r="AW22" s="217" t="str">
        <f>IF(AT22="","",AT22/((AT22*AP22)^2+(AT23*AP22-1)^2))</f>
        <v/>
      </c>
      <c r="AX22" s="218" t="str">
        <f>IF(BA24=0,"",IF(OR(AX18="",AF22&lt;&gt;""),AF22*SQRT(AS24^2+AS25^2)/SQRT(AT24^2+AT25^2),AX18*SQRT(AS24^2+AS25^2)/SQRT(AT24^2+AT25^2)))</f>
        <v/>
      </c>
      <c r="AY22" s="219">
        <f>IF(N(AY24)=10^30,10^30,IF(N(AY28)=10^30,(N(AY24)*(N(AY28)^2+N(AY29)^2)+N(AY28)*(N(AY24)^2+N(AY25)^2))/((N(AY24)+N(AY28))^2+(N(AY25)+N(AY29))^2),(N(AY24)*(N(AY26)^2+N(AY27)^2)+N(AY26)*(N(AY24)^2+N(AY25)^2))/((N(AY24)+N(AY26))^2+(N(AY25)+N(AY27))^2)))</f>
        <v>1E+30</v>
      </c>
      <c r="AZ22" s="23"/>
      <c r="BA22" s="220">
        <f>IF(AND(F22="",SUM(S22:S25)&lt;&gt;0),BA18,F22)</f>
        <v>0</v>
      </c>
      <c r="BB22" s="221">
        <f t="shared" si="0"/>
        <v>0</v>
      </c>
      <c r="BC22" s="232">
        <f>IF(OR(E22="",F25="",AND(OR(P22="",Q22="",R22="",T22=""),OR(P23="",Q23="",R23="",T23=""),OR(P24="",Q24="",R24="",T24=""),OR(P25="",Q25="",R25="",T25="")),AND(OR(X22="",X24="",Y24="",Z24=""),OR(AB22="",AB24="",AC24="",AD24=""))),0,1)</f>
        <v>0</v>
      </c>
      <c r="BD22" s="232">
        <f>BC22+BD18</f>
        <v>0</v>
      </c>
    </row>
    <row r="23" spans="2:57" ht="15" customHeight="1">
      <c r="B23" s="84" t="s">
        <v>64</v>
      </c>
      <c r="C23" s="271"/>
      <c r="D23" s="409"/>
      <c r="E23" s="362"/>
      <c r="F23" s="410"/>
      <c r="G23" s="266"/>
      <c r="H23" s="266"/>
      <c r="I23" s="266"/>
      <c r="J23" s="266"/>
      <c r="K23" s="273"/>
      <c r="L23" s="411"/>
      <c r="M23" s="197" t="str">
        <f>IF(L22="ACG",SQRT(AV22^2+AV23^2),IF(L24="","",IF(OR(L22="oil cooled type",L22="(F)molded type"),IF(BA22=1,SQRT(AN22^2+AN23^2),IF(BA22=3,SQRT(AN24^2+AN25^2))),SQRT(AO22^2+AO23^2))))</f>
        <v/>
      </c>
      <c r="N23" s="412"/>
      <c r="O23" s="198"/>
      <c r="P23" s="90"/>
      <c r="Q23" s="199"/>
      <c r="R23" s="91"/>
      <c r="S23" s="92" t="str">
        <f>IF(R24="","",IF(Q24="",P24/R24,P24/(Q24*R24)))</f>
        <v/>
      </c>
      <c r="T23" s="200"/>
      <c r="U23" s="201" t="str">
        <f>IF(OR(BA24="",S23=""),"",S23*1000*T23/(SQRT(BA22)*BA24))</f>
        <v/>
      </c>
      <c r="V23" s="255"/>
      <c r="W23" s="248"/>
      <c r="X23" s="258"/>
      <c r="Y23" s="245"/>
      <c r="Z23" s="246"/>
      <c r="AA23" s="240"/>
      <c r="AB23" s="244"/>
      <c r="AC23" s="245"/>
      <c r="AD23" s="246"/>
      <c r="AE23" s="248"/>
      <c r="AF23" s="235" t="str">
        <f>IF(OR(AF22="",AG18&lt;&gt;""),"",AF22*AQ23/SQRT(AT22^2+AT23^2))</f>
        <v/>
      </c>
      <c r="AG23" s="274" t="str">
        <f>IF(AG22="","",100*AG22*AQ23/BA24)</f>
        <v/>
      </c>
      <c r="AH23" s="275"/>
      <c r="AI23" s="260" t="str">
        <f>IF(BA24=0,"",IF(AI18="",AX24/SQRT(AT22^2+AT23^2),IF(AI26="","",IF(AT22&lt;0,-AX22*AQ19/SQRT(AT22^2+AT23^2),AX22*AQ19/SQRT(AT22^2+AT23^2)))))</f>
        <v/>
      </c>
      <c r="AJ23" s="258"/>
      <c r="AK23" s="259"/>
      <c r="AL23" s="187"/>
      <c r="AM23" s="28"/>
      <c r="AN23" s="213" t="b">
        <f>IF(BA22="","",IF(AND(BA22=1,F24=50,L22="oil cooled type"),VLOOKUP(L24,変１,3,FALSE),IF(AND(BA22=1,F24=50,L22="(F)molded type"),VLOOKUP(L24,変１,8,FALSE),IF(AND(BA22=1,F24=60,L22="oil cooled type"),VLOOKUP(L24,変１,13,FALSE),IF(AND(BA22=1,F24=60,L22="(F)molded type"),VLOOKUP(L24,変１,18,FALSE),FALSE)))))</f>
        <v>0</v>
      </c>
      <c r="AO23" s="213">
        <f>IF(ISNA(VLOOKUP(L24,変ＵＳＥＲ,3,FALSE)),0,VLOOKUP(L24,変ＵＳＥＲ,3,FALSE)*BA25/50)</f>
        <v>0</v>
      </c>
      <c r="AP23" s="214">
        <f>IF(W22="",0,W22*1000/BA24^2/SQRT(BA22))</f>
        <v>0</v>
      </c>
      <c r="AQ23" s="213">
        <f>IF(AND(BA22=1,BA23=2),1,IF(AND(BA22=3,BA23=3),1,IF(AND(BA22=1,BA23=3),2,IF(AND(BA22=3,BA23=4)*OR(BB22=1,BB23=1,BB24=1,BB25=1),1,SQRT(3)))))</f>
        <v>1.7320508075688772</v>
      </c>
      <c r="AR23" s="215" t="str">
        <f>IF(X22="","",IF(X22="600V IV",VLOOKUP(X24,ＩＶ,3,FALSE),IF(X22="600V CV-T",VLOOKUP(X24,ＣＶＴ,3,FALSE),IF(OR(X22="600V CV-1C",X22="600V CV-2C",X22="600V CV-3C",X22="600V CV-4C"),VLOOKUP(X24,ＣＶ２３Ｃ,3,FALSE),VLOOKUP(X24,ＣＵＳＥＲ,3,FALSE)))))</f>
        <v/>
      </c>
      <c r="AS23" s="213" t="str">
        <f>IF(AD25="",AP25,AP25+(AD25/1000))</f>
        <v/>
      </c>
      <c r="AT23" s="216" t="str">
        <f>IF(AU25="",AT25,AU25)</f>
        <v/>
      </c>
      <c r="AU23" s="216" t="str">
        <f>IF(D22="","",IF(AND(D26="",D30&lt;&gt;"",AV25=AV33),AT31,IF(AND(D26="",D30="",D34&lt;&gt;"",AV29=AV37),AT35,IF(AND(D26="",D30="",D34="",D38&lt;&gt;"",AV33=AV41),AT39,IF(AND(D26="",D30="",D34="",D38="",D42&lt;&gt;"",AV37=AV45),AT43,IF(AND(D26="",D30="",D34="",D38="",D42="",D46&lt;&gt;"",AV41=AV49),AT47,IF(AND(D26="",D30="",D34="",D38="",D42="",D46="",D306&lt;&gt;"",AV45=AV309),AT307,"")))))))</f>
        <v/>
      </c>
      <c r="AV23" s="215" t="str">
        <f>IF(L22="ACG",IF(ISNA(VLOOKUP(L24,ＡＣＧ,3,FALSE)),0,VLOOKUP(L24,ＡＣＧ,3,FALSE)*BA25/50),"")</f>
        <v/>
      </c>
      <c r="AW23" s="217" t="str">
        <f>IF(AT23="","",(AT23-AP22*(AT22^2+AT23^2))/((AT22*AP22)^2+(AP22*AT23-1)^2))</f>
        <v/>
      </c>
      <c r="AX23" s="218"/>
      <c r="AY23" s="219">
        <f>IF(N(AY25)=10^30,10^30,IF(N(AY29)=10^30,(N(AY25)*(N(AY28)^2+N(AY29)^2)+N(AY29)*(N(AY24)^2+N(AY25)^2))/((N(AY24)+N(AY28))^2+(N(AY25)+N(AY29))^2),(N(AY25)*(N(AY26)^2+N(AY27)^2)+N(AY27)*(N(AY24)^2+N(AY25)^2))/((N(AY24)+N(AY26))^2+(N(AY25)+N(AY27))^2)))</f>
        <v>1E+30</v>
      </c>
      <c r="AZ23" s="23"/>
      <c r="BA23" s="220">
        <f>IF(AND(H22="",SUM(S22:S25)&lt;&gt;0),BA19,H22)</f>
        <v>0</v>
      </c>
      <c r="BB23" s="221">
        <f t="shared" si="0"/>
        <v>0</v>
      </c>
      <c r="BC23" s="232"/>
      <c r="BD23" s="232"/>
    </row>
    <row r="24" spans="2:57" ht="15" customHeight="1">
      <c r="B24" s="84"/>
      <c r="C24" s="271"/>
      <c r="D24" s="409"/>
      <c r="E24" s="362"/>
      <c r="F24" s="413"/>
      <c r="G24" s="414"/>
      <c r="H24" s="414"/>
      <c r="I24" s="414"/>
      <c r="J24" s="414"/>
      <c r="K24" s="415"/>
      <c r="L24" s="416"/>
      <c r="M24" s="275"/>
      <c r="N24" s="412"/>
      <c r="O24" s="198"/>
      <c r="P24" s="93"/>
      <c r="Q24" s="202"/>
      <c r="R24" s="91"/>
      <c r="S24" s="92" t="str">
        <f>IF(R25="","",IF(Q25="",P25/R25,P25/(Q25*R25)))</f>
        <v/>
      </c>
      <c r="T24" s="200"/>
      <c r="U24" s="203" t="str">
        <f>IF(OR(BA24="",S24=""),"",S24*1000*T24/(SQRT(BA22)*BA24))</f>
        <v/>
      </c>
      <c r="V24" s="94" t="str">
        <f>IF(AND(N(U22)=0,N(U23)=0,N(U24)=0,N(U25)=0),"",V22*(P22*R22*T22+P23*R23*T23+P24*R24*T24+P25*R25*T25)/(P22*T22+P23*T23+P24*T24+P25*T25))</f>
        <v/>
      </c>
      <c r="W24" s="276" t="str">
        <f>IF(AND(N(AP24)=0,N(AP25)=0,N(AP23)=0),"",IF(AP25&gt;=0,COS(ATAN(AP25/AP24)),-COS(ATAN(AP25/AP24))))</f>
        <v/>
      </c>
      <c r="X24" s="95"/>
      <c r="Y24" s="204"/>
      <c r="Z24" s="96"/>
      <c r="AA24" s="97"/>
      <c r="AB24" s="98"/>
      <c r="AC24" s="204"/>
      <c r="AD24" s="96"/>
      <c r="AE24" s="99"/>
      <c r="AF24" s="236" t="str">
        <f>IF(OR(AF22="",AG18&lt;&gt;""),"",BA24/SQRT(AW24^2+AW25^2))</f>
        <v/>
      </c>
      <c r="AG24" s="274" t="str">
        <f>IF(AG22="","",100*((BA24/AQ23)-AG22)/(BA24/AQ23))</f>
        <v/>
      </c>
      <c r="AH24" s="275"/>
      <c r="AI24" s="261"/>
      <c r="AJ24" s="262"/>
      <c r="AK24" s="264"/>
      <c r="AL24" s="188"/>
      <c r="AM24" s="28"/>
      <c r="AN24" s="222" t="b">
        <f>IF(BA22="","",IF(AND(BA22=3,F24=50,L22="oil cooled type"),VLOOKUP(L24,変３,2,FALSE),IF(AND(BA22=3,F24=50,L22="(F)molded type"),VLOOKUP(L24,変３,7,FALSE),IF(AND(BA22=3,F24=60,L22="oil cooled type"),VLOOKUP(L24,変３,12,FALSE),IF(AND(BA22=3,F24=60,L22="(F)molded type"),VLOOKUP(L24,変３,17,FALSE),FALSE)))))</f>
        <v>0</v>
      </c>
      <c r="AO24" s="215" t="str">
        <f>IF(AND(L18="",N(AY22)&lt;10^29),AY22,"")</f>
        <v/>
      </c>
      <c r="AP24" s="223" t="str">
        <f>IF(V22="","",IF(AND(N(V24)=0,N(AP23)=0),"",AQ24/((AQ24*AP23)^2+(AP23*AQ25-1)^2)))</f>
        <v/>
      </c>
      <c r="AQ24" s="213">
        <f>IF(N(V24)=0,10^30,V24)</f>
        <v>1E+30</v>
      </c>
      <c r="AR24" s="215" t="str">
        <f>IF(AB22="","",IF(AB22="600V IV",VLOOKUP(AB24,ＩＶ,2,FALSE),IF(AB22="600V CV-T",VLOOKUP(AB24,ＣＶＴ,2,FALSE),IF(OR(AB22="600V CV-1C",AB22="600V CV-2C",AB22="600V CV-3C",AB22="600V CV-4C"),VLOOKUP(AB24,ＣＶ２３Ｃ,2,FALSE),VLOOKUP(AB24,ＣＵＳＥＲ,2,FALSE)))))</f>
        <v/>
      </c>
      <c r="AS24" s="213" t="str">
        <f>IF(OR(AND(AS26="",AS27=""),AND(D22="",D26&lt;&gt;"")),AS22,(AS22*(AT26^2+AT27^2)+AT26*(AS22^2+AS23^2))/((AS22+AT26)^2+(AS23+AT27)^2))</f>
        <v/>
      </c>
      <c r="AT24" s="216" t="str">
        <f>IF(X25="",AS24,N(AS24)+(X25/1000))</f>
        <v/>
      </c>
      <c r="AU24" s="216" t="str">
        <f>IF(AU22="","",(AT24*(AU22^2+AU23^2)+AU22*(AT24^2+AT25^2))/((AT24+AU22)^2+(AT25+AU23)^2))</f>
        <v/>
      </c>
      <c r="AV24" s="216">
        <f>IF(BA24=0,1,0)</f>
        <v>1</v>
      </c>
      <c r="AW24" s="217" t="str">
        <f>IF(AO24="","",AW22+AO24)</f>
        <v/>
      </c>
      <c r="AX24" s="218" t="str">
        <f>IF(AND(AX20="",AW24&lt;&gt;""),BA24*SQRT(AW22^2+AW23^2)/SQRT(AW24^2+AW25^2),IF(BA24&lt;&gt;0,AX20,""))</f>
        <v/>
      </c>
      <c r="AY24" s="224">
        <f>IF(L24="",10^30,SQRT(BA22)*(BA24^2)*(N(AN22)+N(AN24)+N(AO22)+N(AV22))/(100000*L24*M22))</f>
        <v>1E+30</v>
      </c>
      <c r="AZ24" s="225"/>
      <c r="BA24" s="220">
        <f>IF(AND(J22="",SUM(S22:S25)&lt;&gt;0),BA20,J22)</f>
        <v>0</v>
      </c>
      <c r="BB24" s="221">
        <f t="shared" si="0"/>
        <v>0</v>
      </c>
      <c r="BC24" s="232"/>
      <c r="BD24" s="232"/>
    </row>
    <row r="25" spans="2:57" ht="15" customHeight="1">
      <c r="B25" s="84" t="s">
        <v>65</v>
      </c>
      <c r="C25" s="271"/>
      <c r="D25" s="417"/>
      <c r="E25" s="418"/>
      <c r="F25" s="419"/>
      <c r="G25" s="270"/>
      <c r="H25" s="270"/>
      <c r="I25" s="270"/>
      <c r="J25" s="270"/>
      <c r="K25" s="268"/>
      <c r="L25" s="251" t="str">
        <f>IF(M22="","",L24*1000*M22/(SQRT(BA22)*BA24))</f>
        <v/>
      </c>
      <c r="M25" s="252"/>
      <c r="N25" s="277"/>
      <c r="O25" s="205"/>
      <c r="P25" s="106"/>
      <c r="Q25" s="206"/>
      <c r="R25" s="107"/>
      <c r="S25" s="108" t="str">
        <f>IF(R25="","",IF(Q25="",P25/R25,P25/(Q25*R25)))</f>
        <v/>
      </c>
      <c r="T25" s="207"/>
      <c r="U25" s="208" t="str">
        <f>IF(OR(BA24="",S25=""),"",S25*1000*T25/(SQRT(BA22)*BA24))</f>
        <v/>
      </c>
      <c r="V25" s="109" t="str">
        <f>IF(AND(N(U22)=0,N(U23)=0,N(U24)=0,N(U25)=0),"",IF(V22&gt;=0,SQRT(ABS(V22^2-V24^2)),-SQRT(V22^2-V24^2)))</f>
        <v/>
      </c>
      <c r="W25" s="277"/>
      <c r="X25" s="278" t="str">
        <f>IF(Y24="","",AQ22*Z24*AR22*((1+0.00393*(F25-20))/1.2751)/Y24)</f>
        <v/>
      </c>
      <c r="Y25" s="270"/>
      <c r="Z25" s="267" t="str">
        <f>IF(Y24="","",(BA25/50)*AQ22*Z24*AR23/Y24)</f>
        <v/>
      </c>
      <c r="AA25" s="252"/>
      <c r="AB25" s="279" t="str">
        <f>IF(AC24="","",AQ22*AD24*AR24*((1+0.00393*(F25-20))/1.2751)/AC24)</f>
        <v/>
      </c>
      <c r="AC25" s="270"/>
      <c r="AD25" s="267" t="str">
        <f>IF(AC24="","",(BA25/50)*AQ22*AD24*AR25/AC24)</f>
        <v/>
      </c>
      <c r="AE25" s="268"/>
      <c r="AF25" s="237" t="str">
        <f>IF(AND(AX22&lt;&gt;"",D22=""),AX22,"")</f>
        <v/>
      </c>
      <c r="AG25" s="269" t="str">
        <f>IF(AP24="","",AP24)</f>
        <v/>
      </c>
      <c r="AH25" s="270"/>
      <c r="AI25" s="238" t="str">
        <f>IF(AP25="","",AP25)</f>
        <v/>
      </c>
      <c r="AJ25" s="263"/>
      <c r="AK25" s="253"/>
      <c r="AL25" s="189"/>
      <c r="AM25" s="28"/>
      <c r="AN25" s="226" t="b">
        <f>IF(BA22="","",IF(AND(BA22=3,F24=50,L22="oil cooled type"),VLOOKUP(L24,変３,3,FALSE),IF(AND(BA22=3,F24=50,L22="(F)molded type"),VLOOKUP(L24,変３,8,FALSE),IF(AND(BA22=3,F24=60,L22="oil cooled type"),VLOOKUP(L24,変３,13,FALSE),IF(AND(BA22=3,F24=60,L22="(F)molded type"),VLOOKUP(L24,変３,18,FALSE),FALSE)))))</f>
        <v>0</v>
      </c>
      <c r="AO25" s="226" t="str">
        <f>IF(AND(L18="",N(AY23)&lt;10^29),AY23,"")</f>
        <v/>
      </c>
      <c r="AP25" s="227" t="str">
        <f>IF(V22="","",IF(AND(N(V25)=0,N(AP23)=0),0,(AQ25-AP23*(AQ24^2+AQ25^2))/((AQ24*AP23)^2+(AP23*AQ25-1)^2)))</f>
        <v/>
      </c>
      <c r="AQ25" s="228">
        <f>IF(N(V25)=0,10^30,V25)</f>
        <v>1E+30</v>
      </c>
      <c r="AR25" s="226" t="str">
        <f>IF(AB22="","",IF(AB22="600V IV",VLOOKUP(AB24,ＩＶ,3,FALSE),IF(AB22="600V CV-T",VLOOKUP(AB24,ＣＶＴ,3,FALSE),IF(OR(AB22="600V CV-1C",AB22="600V CV-2C",AB22="600V CV-3C",AB22="600V CV-4C"),VLOOKUP(AB24,ＣＶ２３Ｃ,3,FALSE),VLOOKUP(AB24,ＣＵＳＥＲ,3,FALSE)))))</f>
        <v/>
      </c>
      <c r="AS25" s="228" t="str">
        <f>IF(OR(AND(AS26="",AS27=""),AND(D22="",D26&lt;&gt;"")),AS23,(AS23*(AT26^2+AT27^2)+AT27*(AS22^2+AS23^2))/((AS22+AT26)^2+(AS23+AT27)^2))</f>
        <v/>
      </c>
      <c r="AT25" s="229" t="str">
        <f>IF(Z25="",AS25,N(AS25)+(Z25/1000))</f>
        <v/>
      </c>
      <c r="AU25" s="229" t="str">
        <f>IF(AU23="","",(AT25*(AU22^2+AU23^2)+AU23*(AT24^2+AT25^2))/((AT24+AU22)^2+(AT25+AU23)^2))</f>
        <v/>
      </c>
      <c r="AV25" s="229">
        <f>AV21+AV24</f>
        <v>2</v>
      </c>
      <c r="AW25" s="228" t="str">
        <f>IF(AO25="","",AW23+AO25)</f>
        <v/>
      </c>
      <c r="AX25" s="230"/>
      <c r="AY25" s="224">
        <f>IF(L24="",10^30,SQRT(BA22)*(BA24^2)*(N(AN23)+N(AN25)+N(AO23)+N(AV23))/(100000*L24*M22))</f>
        <v>1E+30</v>
      </c>
      <c r="AZ25" s="225"/>
      <c r="BA25" s="220">
        <f>IF(AND(F24="",SUM(S22:S25)&lt;&gt;0),BA21,F24)</f>
        <v>0</v>
      </c>
      <c r="BB25" s="221">
        <f t="shared" si="0"/>
        <v>0</v>
      </c>
      <c r="BC25" s="232"/>
      <c r="BD25" s="232"/>
    </row>
    <row r="26" spans="2:57" ht="15" customHeight="1">
      <c r="B26" s="84" t="s">
        <v>32</v>
      </c>
      <c r="C26" s="271" t="str">
        <f>IF(BC26=1,"●","・")</f>
        <v>・</v>
      </c>
      <c r="D26" s="402"/>
      <c r="E26" s="403"/>
      <c r="F26" s="404"/>
      <c r="G26" s="265" t="str">
        <f>IF(F26="","","φ")</f>
        <v/>
      </c>
      <c r="H26" s="405"/>
      <c r="I26" s="265" t="str">
        <f>IF(H26="","","W")</f>
        <v/>
      </c>
      <c r="J26" s="405"/>
      <c r="K26" s="272" t="str">
        <f>IF(J26="","","V")</f>
        <v/>
      </c>
      <c r="L26" s="406"/>
      <c r="M26" s="407"/>
      <c r="N26" s="408"/>
      <c r="O26" s="193"/>
      <c r="P26" s="86"/>
      <c r="Q26" s="194"/>
      <c r="R26" s="87"/>
      <c r="S26" s="88" t="str">
        <f>IF(R26="","",IF(Q26="",P26/R26,P26/(Q26*R26)))</f>
        <v/>
      </c>
      <c r="T26" s="195"/>
      <c r="U26" s="196" t="str">
        <f>IF(OR(BA28="",S26=""),"",S26*1000*T26/(SQRT(BA26)*BA28))</f>
        <v/>
      </c>
      <c r="V26" s="254" t="str">
        <f>IF(AND(N(U26)=0,N(U27)=0,N(U28)=0,N(U29)=0),"",BA28/(SUM(U26:U29)))</f>
        <v/>
      </c>
      <c r="W26" s="280"/>
      <c r="X26" s="281"/>
      <c r="Y26" s="242"/>
      <c r="Z26" s="243"/>
      <c r="AA26" s="239"/>
      <c r="AB26" s="241"/>
      <c r="AC26" s="242"/>
      <c r="AD26" s="243"/>
      <c r="AE26" s="247"/>
      <c r="AF26" s="233" t="str">
        <f>IF(OR(AND(AF22="",N(BA24)=0,BA28&lt;&gt;0),D26&lt;&gt;""),AX28/AQ27,"")</f>
        <v/>
      </c>
      <c r="AG26" s="249" t="str">
        <f>IF(BA28=0,"",IF(AD28="",AX26,IF(AND(D26&lt;&gt;"",AU26=""),AX28*SQRT(AP28^2+AP29^2)/SQRT(AS26^2+AS27^2)/AQ27,AX26*SQRT(AP28^2+AP29^2)/SQRT(AS26^2+AS27^2))))</f>
        <v/>
      </c>
      <c r="AH26" s="250"/>
      <c r="AI26" s="234" t="str">
        <f>IF(AG26="","",IF(N(U26)&lt;0,-AX26*AQ27/SQRT(AS26^2+AS27^2),AX26*AQ27/SQRT(AS26^2+AS27^2)))</f>
        <v/>
      </c>
      <c r="AJ26" s="256"/>
      <c r="AK26" s="257"/>
      <c r="AL26" s="186"/>
      <c r="AM26" s="28"/>
      <c r="AN26" s="213" t="b">
        <f>IF(BA26="","",IF(AND(BA26=1,F28=50,L26="oil cooled type"),VLOOKUP(L28,変１,2,FALSE),IF(AND(BA26=1,F28=50,L26="(F)molded type"),VLOOKUP(L28,変１,7,FALSE),IF(AND(BA26=1,F28=60,L26="oil cooled type"),VLOOKUP(L28,変１,12,FALSE),IF(AND(BA26=1,F28=60,L26="(F)molded type"),VLOOKUP(L28,変１,17,FALSE),FALSE)))))</f>
        <v>0</v>
      </c>
      <c r="AO26" s="213">
        <f>IF(ISNA(VLOOKUP(L28,変ＵＳＥＲ,2,FALSE)),0,VLOOKUP(L28,変ＵＳＥＲ,2,FALSE))</f>
        <v>0</v>
      </c>
      <c r="AP26" s="214">
        <f>IF(N26="",0,N26*1000/BA28^2/SQRT(BA26))</f>
        <v>0</v>
      </c>
      <c r="AQ26" s="213" t="b">
        <f>IF(BA26=1,2,IF(BA26=3,SQRT(3),FALSE))</f>
        <v>0</v>
      </c>
      <c r="AR26" s="215" t="str">
        <f>IF(X26="","",IF(X26="600V IV",VLOOKUP(X28,ＩＶ,2,FALSE),IF(X26="600V CV-T",VLOOKUP(X28,ＣＶＴ,2,FALSE),IF(OR(X26="600V CV-1C",X26="600V CV-2C",X26="600V CV-3C",X26="600V CV-4C"),VLOOKUP(X28,ＣＶ２３Ｃ,2,FALSE),VLOOKUP(X28,ＣＵＳＥＲ,2,FALSE)))))</f>
        <v/>
      </c>
      <c r="AS26" s="213" t="str">
        <f>IF(AB29="",AP28,AP28+(AB29/1000))</f>
        <v/>
      </c>
      <c r="AT26" s="216" t="str">
        <f>IF(AU28="",AT28,AU28)</f>
        <v/>
      </c>
      <c r="AU26" s="216" t="str">
        <f>IF(D26="","",IF(AND(D30="",D34&lt;&gt;"",AV29=AV37),AT34,IF(AND(D30="",D34="",D38&lt;&gt;"",AV33=AV41),AT38,IF(AND(D30="",D34="",D38="",D42&lt;&gt;"",AV37=AV45),AT42,IF(AND(D30="",D34="",D38="",D42="",D46&lt;&gt;"",AV41=AV49),AT46,IF(AND(D30="",D34="",D38="",D42="",D46="",D306&lt;&gt;"",AV45=AV309),AT306,IF(AND(D30="",D34="",D38="",D42="",D46="",D306="",D310&lt;&gt;"",AV49=AV313),AT310,"")))))))</f>
        <v/>
      </c>
      <c r="AV26" s="216" t="str">
        <f>IF(L26="ACG",IF(ISNA(VLOOKUP(L28,ＡＣＧ,2,FALSE)),0,VLOOKUP(L28,ＡＣＧ,2,FALSE)),"")</f>
        <v/>
      </c>
      <c r="AW26" s="217" t="str">
        <f>IF(AT26="","",AT26/((AT26*AP26)^2+(AT27*AP26-1)^2))</f>
        <v/>
      </c>
      <c r="AX26" s="218" t="str">
        <f>IF(BA28=0,"",IF(OR(AX22="",AF26&lt;&gt;""),AF26*SQRT(AS28^2+AS29^2)/SQRT(AT28^2+AT29^2),AX22*SQRT(AS28^2+AS29^2)/SQRT(AT28^2+AT29^2)))</f>
        <v/>
      </c>
      <c r="AY26" s="219">
        <f>IF(N(AY28)=10^30,10^30,IF(N(AY32)=10^30,(N(AY28)*(N(AY32)^2+N(AY33)^2)+N(AY32)*(N(AY28)^2+N(AY29)^2))/((N(AY28)+N(AY32))^2+(N(AY29)+N(AY33))^2),(N(AY28)*(N(AY30)^2+N(AY31)^2)+N(AY30)*(N(AY28)^2+N(AY29)^2))/((N(AY28)+N(AY30))^2+(N(AY29)+N(AY31))^2)))</f>
        <v>1E+30</v>
      </c>
      <c r="AZ26" s="23"/>
      <c r="BA26" s="220">
        <f>IF(AND(F26="",SUM(S26:S29)&lt;&gt;0),BA22,F26)</f>
        <v>0</v>
      </c>
      <c r="BB26" s="221">
        <f t="shared" si="0"/>
        <v>0</v>
      </c>
      <c r="BC26" s="232">
        <f>IF(OR(E26="",F29="",AND(OR(P26="",Q26="",R26="",T26=""),OR(P27="",Q27="",R27="",T27=""),OR(P28="",Q28="",R28="",T28=""),OR(P29="",Q29="",R29="",T29="")),AND(OR(X26="",X28="",Y28="",Z28=""),OR(AB26="",AB28="",AC28="",AD28=""))),0,1)</f>
        <v>0</v>
      </c>
      <c r="BD26" s="232">
        <f>BC26+BD22</f>
        <v>0</v>
      </c>
    </row>
    <row r="27" spans="2:57" ht="15" customHeight="1">
      <c r="B27" s="84"/>
      <c r="C27" s="271"/>
      <c r="D27" s="409"/>
      <c r="E27" s="362"/>
      <c r="F27" s="410"/>
      <c r="G27" s="266"/>
      <c r="H27" s="266"/>
      <c r="I27" s="266"/>
      <c r="J27" s="266"/>
      <c r="K27" s="273"/>
      <c r="L27" s="411"/>
      <c r="M27" s="197" t="str">
        <f>IF(L26="ACG",SQRT(AV26^2+AV27^2),IF(L28="","",IF(OR(L26="oil cooled type",L26="(F)molded type"),IF(BA26=1,SQRT(AN26^2+AN27^2),IF(BA26=3,SQRT(AN28^2+AN29^2))),SQRT(AO26^2+AO27^2))))</f>
        <v/>
      </c>
      <c r="N27" s="412"/>
      <c r="O27" s="198"/>
      <c r="P27" s="90"/>
      <c r="Q27" s="199"/>
      <c r="R27" s="91"/>
      <c r="S27" s="92" t="str">
        <f>IF(R28="","",IF(Q28="",P28/R28,P28/(Q28*R28)))</f>
        <v/>
      </c>
      <c r="T27" s="200"/>
      <c r="U27" s="201" t="str">
        <f>IF(OR(BA28="",S27=""),"",S27*1000*T27/(SQRT(BA26)*BA28))</f>
        <v/>
      </c>
      <c r="V27" s="255"/>
      <c r="W27" s="248"/>
      <c r="X27" s="258"/>
      <c r="Y27" s="245"/>
      <c r="Z27" s="246"/>
      <c r="AA27" s="240"/>
      <c r="AB27" s="244"/>
      <c r="AC27" s="245"/>
      <c r="AD27" s="246"/>
      <c r="AE27" s="248"/>
      <c r="AF27" s="235" t="str">
        <f>IF(OR(AF26="",AG22&lt;&gt;""),"",AF26*AQ27/SQRT(AT26^2+AT27^2))</f>
        <v/>
      </c>
      <c r="AG27" s="274" t="str">
        <f>IF(AG26="","",100*AG26*AQ27/BA28)</f>
        <v/>
      </c>
      <c r="AH27" s="275"/>
      <c r="AI27" s="260" t="str">
        <f>IF(BA28=0,"",IF(AI22="",AX28/SQRT(AT26^2+AT27^2),IF(AI30="","",IF(AT26&lt;0,-AX26*AQ23/SQRT(AT26^2+AT27^2),AX26*AQ23/SQRT(AT26^2+AT27^2)))))</f>
        <v/>
      </c>
      <c r="AJ27" s="258"/>
      <c r="AK27" s="259"/>
      <c r="AL27" s="187"/>
      <c r="AM27" s="28"/>
      <c r="AN27" s="213" t="b">
        <f>IF(BA26="","",IF(AND(BA26=1,F28=50,L26="oil cooled type"),VLOOKUP(L28,変１,3,FALSE),IF(AND(BA26=1,F28=50,L26="(F)molded type"),VLOOKUP(L28,変１,8,FALSE),IF(AND(BA26=1,F28=60,L26="oil cooled type"),VLOOKUP(L28,変１,13,FALSE),IF(AND(BA26=1,F28=60,L26="(F)molded type"),VLOOKUP(L28,変１,18,FALSE),FALSE)))))</f>
        <v>0</v>
      </c>
      <c r="AO27" s="213">
        <f>IF(ISNA(VLOOKUP(L28,変ＵＳＥＲ,3,FALSE)),0,VLOOKUP(L28,変ＵＳＥＲ,3,FALSE)*BA29/50)</f>
        <v>0</v>
      </c>
      <c r="AP27" s="214">
        <f>IF(W26="",0,W26*1000/BA28^2/SQRT(BA26))</f>
        <v>0</v>
      </c>
      <c r="AQ27" s="213">
        <f>IF(AND(BA26=1,BA27=2),1,IF(AND(BA26=3,BA27=3),1,IF(AND(BA26=1,BA27=3),2,IF(AND(BA26=3,BA27=4)*OR(BB26=1,BB27=1,BB28=1,BB29=1),1,SQRT(3)))))</f>
        <v>1.7320508075688772</v>
      </c>
      <c r="AR27" s="215" t="str">
        <f>IF(X26="","",IF(X26="600V IV",VLOOKUP(X28,ＩＶ,3,FALSE),IF(X26="600V CV-T",VLOOKUP(X28,ＣＶＴ,3,FALSE),IF(OR(X26="600V CV-1C",X26="600V CV-2C",X26="600V CV-3C",X26="600V CV-4C"),VLOOKUP(X28,ＣＶ２３Ｃ,3,FALSE),VLOOKUP(X28,ＣＵＳＥＲ,3,FALSE)))))</f>
        <v/>
      </c>
      <c r="AS27" s="213" t="str">
        <f>IF(AD29="",AP29,AP29+(AD29/1000))</f>
        <v/>
      </c>
      <c r="AT27" s="216" t="str">
        <f>IF(AU29="",AT29,AU29)</f>
        <v/>
      </c>
      <c r="AU27" s="216" t="str">
        <f>IF(D26="","",IF(AND(D30="",D34&lt;&gt;"",AV29=AV37),AT35,IF(AND(D30="",D34="",D38&lt;&gt;"",AV33=AV41),AT39,IF(AND(D30="",D34="",D38="",D42&lt;&gt;"",AV37=AV45),AT43,IF(AND(D30="",D34="",D38="",D42="",D46&lt;&gt;"",AV41=AV49),AT47,IF(AND(D30="",D34="",D38="",D42="",D46="",D306&lt;&gt;"",AV45=AV309),AT307,IF(AND(D30="",D34="",D38="",D42="",D46="",D306="",D310&lt;&gt;"",AV49=AV313),AT311,"")))))))</f>
        <v/>
      </c>
      <c r="AV27" s="215" t="str">
        <f>IF(L26="ACG",IF(ISNA(VLOOKUP(L28,ＡＣＧ,3,FALSE)),0,VLOOKUP(L28,ＡＣＧ,3,FALSE)*BA29/50),"")</f>
        <v/>
      </c>
      <c r="AW27" s="217" t="str">
        <f>IF(AT27="","",(AT27-AP26*(AT26^2+AT27^2))/((AT26*AP26)^2+(AP26*AT27-1)^2))</f>
        <v/>
      </c>
      <c r="AX27" s="218"/>
      <c r="AY27" s="219">
        <f>IF(N(AY29)=10^30,10^30,IF(N(AY33)=10^30,(N(AY29)*(N(AY32)^2+N(AY33)^2)+N(AY33)*(N(AY28)^2+N(AY29)^2))/((N(AY28)+N(AY32))^2+(N(AY29)+N(AY33))^2),(N(AY29)*(N(AY30)^2+N(AY31)^2)+N(AY31)*(N(AY28)^2+N(AY29)^2))/((N(AY28)+N(AY30))^2+(N(AY29)+N(AY31))^2)))</f>
        <v>1E+30</v>
      </c>
      <c r="AZ27" s="23"/>
      <c r="BA27" s="220">
        <f>IF(AND(H26="",SUM(S26:S29)&lt;&gt;0),BA23,H26)</f>
        <v>0</v>
      </c>
      <c r="BB27" s="221">
        <f t="shared" si="0"/>
        <v>0</v>
      </c>
      <c r="BC27" s="232"/>
      <c r="BD27" s="232"/>
    </row>
    <row r="28" spans="2:57" ht="15" customHeight="1">
      <c r="B28" s="84"/>
      <c r="C28" s="271"/>
      <c r="D28" s="409"/>
      <c r="E28" s="362"/>
      <c r="F28" s="413"/>
      <c r="G28" s="414"/>
      <c r="H28" s="414"/>
      <c r="I28" s="414"/>
      <c r="J28" s="414"/>
      <c r="K28" s="415"/>
      <c r="L28" s="416"/>
      <c r="M28" s="275"/>
      <c r="N28" s="412"/>
      <c r="O28" s="198"/>
      <c r="P28" s="93"/>
      <c r="Q28" s="202"/>
      <c r="R28" s="91"/>
      <c r="S28" s="92" t="str">
        <f>IF(R29="","",IF(Q29="",P29/R29,P29/(Q29*R29)))</f>
        <v/>
      </c>
      <c r="T28" s="200"/>
      <c r="U28" s="203" t="str">
        <f>IF(OR(BA28="",S28=""),"",S28*1000*T28/(SQRT(BA26)*BA28))</f>
        <v/>
      </c>
      <c r="V28" s="94" t="str">
        <f>IF(AND(N(U26)=0,N(U27)=0,N(U28)=0,N(U29)=0),"",V26*(P26*R26*T26+P27*R27*T27+P28*R28*T28+P29*R29*T29)/(P26*T26+P27*T27+P28*T28+P29*T29))</f>
        <v/>
      </c>
      <c r="W28" s="276" t="str">
        <f>IF(AND(N(AP28)=0,N(AP29)=0,N(AP27)=0),"",IF(AP29&gt;=0,COS(ATAN(AP29/AP28)),-COS(ATAN(AP29/AP28))))</f>
        <v/>
      </c>
      <c r="X28" s="95"/>
      <c r="Y28" s="204"/>
      <c r="Z28" s="96"/>
      <c r="AA28" s="97"/>
      <c r="AB28" s="98"/>
      <c r="AC28" s="204"/>
      <c r="AD28" s="96"/>
      <c r="AE28" s="99"/>
      <c r="AF28" s="236" t="str">
        <f>IF(OR(AF26="",AG22&lt;&gt;""),"",BA28/SQRT(AW28^2+AW29^2))</f>
        <v/>
      </c>
      <c r="AG28" s="274" t="str">
        <f>IF(AG26="","",100*((BA28/AQ27)-AG26)/(BA28/AQ27))</f>
        <v/>
      </c>
      <c r="AH28" s="275"/>
      <c r="AI28" s="261"/>
      <c r="AJ28" s="262"/>
      <c r="AK28" s="264"/>
      <c r="AL28" s="188"/>
      <c r="AM28" s="28"/>
      <c r="AN28" s="222" t="b">
        <f>IF(BA26="","",IF(AND(BA26=3,F28=50,L26="oil cooled type"),VLOOKUP(L28,変３,2,FALSE),IF(AND(BA26=3,F28=50,L26="(F)molded type"),VLOOKUP(L28,変３,7,FALSE),IF(AND(BA26=3,F28=60,L26="oil cooled type"),VLOOKUP(L28,変３,12,FALSE),IF(AND(BA26=3,F28=60,L26="(F)molded type"),VLOOKUP(L28,変３,17,FALSE),FALSE)))))</f>
        <v>0</v>
      </c>
      <c r="AO28" s="215" t="str">
        <f>IF(AND(L22="",N(AY26)&lt;10^29),AY26,"")</f>
        <v/>
      </c>
      <c r="AP28" s="223" t="str">
        <f>IF(V26="","",IF(AND(N(V28)=0,N(AP27)=0),"",AQ28/((AQ28*AP27)^2+(AP27*AQ29-1)^2)))</f>
        <v/>
      </c>
      <c r="AQ28" s="213">
        <f>IF(N(V28)=0,10^30,V28)</f>
        <v>1E+30</v>
      </c>
      <c r="AR28" s="215" t="str">
        <f>IF(AB26="","",IF(AB26="600V IV",VLOOKUP(AB28,ＩＶ,2,FALSE),IF(AB26="600V CV-T",VLOOKUP(AB28,ＣＶＴ,2,FALSE),IF(OR(AB26="600V CV-1C",AB26="600V CV-2C",AB26="600V CV-3C",AB26="600V CV-4C"),VLOOKUP(AB28,ＣＶ２３Ｃ,2,FALSE),VLOOKUP(AB28,ＣＵＳＥＲ,2,FALSE)))))</f>
        <v/>
      </c>
      <c r="AS28" s="213" t="str">
        <f>IF(OR(AND(AS30="",AS31=""),AND(D26="",D30&lt;&gt;"")),AS26,(AS26*(AT30^2+AT31^2)+AT30*(AS26^2+AS27^2))/((AS26+AT30)^2+(AS27+AT31)^2))</f>
        <v/>
      </c>
      <c r="AT28" s="216" t="str">
        <f>IF(X29="",AS28,N(AS28)+(X29/1000))</f>
        <v/>
      </c>
      <c r="AU28" s="216" t="str">
        <f>IF(AU26="","",(AT28*(AU26^2+AU27^2)+AU26*(AT28^2+AT29^2))/((AT28+AU26)^2+(AT29+AU27)^2))</f>
        <v/>
      </c>
      <c r="AV28" s="216">
        <f>IF(BA28=0,1,0)</f>
        <v>1</v>
      </c>
      <c r="AW28" s="217" t="str">
        <f>IF(AO28="","",AW26+AO28)</f>
        <v/>
      </c>
      <c r="AX28" s="218" t="str">
        <f>IF(AND(AX24="",AW28&lt;&gt;""),BA28*SQRT(AW26^2+AW27^2)/SQRT(AW28^2+AW29^2),IF(BA28&lt;&gt;0,AX24,""))</f>
        <v/>
      </c>
      <c r="AY28" s="224">
        <f>IF(L28="",10^30,SQRT(BA26)*(BA28^2)*(N(AN26)+N(AN28)+N(AO26)+N(AV26))/(100000*L28*M26))</f>
        <v>1E+30</v>
      </c>
      <c r="AZ28" s="225"/>
      <c r="BA28" s="220">
        <f>IF(AND(J26="",SUM(S26:S29)&lt;&gt;0),BA24,J26)</f>
        <v>0</v>
      </c>
      <c r="BB28" s="221">
        <f t="shared" si="0"/>
        <v>0</v>
      </c>
      <c r="BC28" s="232"/>
      <c r="BD28" s="232"/>
    </row>
    <row r="29" spans="2:57" ht="15" customHeight="1">
      <c r="B29" s="84" t="s">
        <v>66</v>
      </c>
      <c r="C29" s="271"/>
      <c r="D29" s="417"/>
      <c r="E29" s="418"/>
      <c r="F29" s="419"/>
      <c r="G29" s="270"/>
      <c r="H29" s="270"/>
      <c r="I29" s="270"/>
      <c r="J29" s="270"/>
      <c r="K29" s="268"/>
      <c r="L29" s="251" t="str">
        <f>IF(M26="","",L28*1000*M26/(SQRT(BA26)*BA28))</f>
        <v/>
      </c>
      <c r="M29" s="252"/>
      <c r="N29" s="277"/>
      <c r="O29" s="205"/>
      <c r="P29" s="106"/>
      <c r="Q29" s="206"/>
      <c r="R29" s="107"/>
      <c r="S29" s="108" t="str">
        <f>IF(R29="","",IF(Q29="",P29/R29,P29/(Q29*R29)))</f>
        <v/>
      </c>
      <c r="T29" s="207"/>
      <c r="U29" s="208" t="str">
        <f>IF(OR(BA28="",S29=""),"",S29*1000*T29/(SQRT(BA26)*BA28))</f>
        <v/>
      </c>
      <c r="V29" s="109" t="str">
        <f>IF(AND(N(U26)=0,N(U27)=0,N(U28)=0,N(U29)=0),"",IF(V26&gt;=0,SQRT(ABS(V26^2-V28^2)),-SQRT(V26^2-V28^2)))</f>
        <v/>
      </c>
      <c r="W29" s="277"/>
      <c r="X29" s="278" t="str">
        <f>IF(Y28="","",AQ26*Z28*AR26*((1+0.00393*(F29-20))/1.2751)/Y28)</f>
        <v/>
      </c>
      <c r="Y29" s="270"/>
      <c r="Z29" s="267" t="str">
        <f>IF(Y28="","",(BA29/50)*AQ26*Z28*AR27/Y28)</f>
        <v/>
      </c>
      <c r="AA29" s="252"/>
      <c r="AB29" s="279" t="str">
        <f>IF(AC28="","",AQ26*AD28*AR28*((1+0.00393*(F29-20))/1.2751)/AC28)</f>
        <v/>
      </c>
      <c r="AC29" s="270"/>
      <c r="AD29" s="267" t="str">
        <f>IF(AC28="","",(BA29/50)*AQ26*AD28*AR29/AC28)</f>
        <v/>
      </c>
      <c r="AE29" s="268"/>
      <c r="AF29" s="237" t="str">
        <f>IF(AND(AX26&lt;&gt;"",D26=""),AX26,"")</f>
        <v/>
      </c>
      <c r="AG29" s="269" t="str">
        <f>IF(AP28="","",AP28)</f>
        <v/>
      </c>
      <c r="AH29" s="270"/>
      <c r="AI29" s="238" t="str">
        <f>IF(AP29="","",AP29)</f>
        <v/>
      </c>
      <c r="AJ29" s="263"/>
      <c r="AK29" s="253"/>
      <c r="AL29" s="189"/>
      <c r="AM29" s="28"/>
      <c r="AN29" s="226" t="b">
        <f>IF(BA26="","",IF(AND(BA26=3,F28=50,L26="oil cooled type"),VLOOKUP(L28,変３,3,FALSE),IF(AND(BA26=3,F28=50,L26="(F)molded type"),VLOOKUP(L28,変３,8,FALSE),IF(AND(BA26=3,F28=60,L26="oil cooled type"),VLOOKUP(L28,変３,13,FALSE),IF(AND(BA26=3,F28=60,L26="(F)molded type"),VLOOKUP(L28,変３,18,FALSE),FALSE)))))</f>
        <v>0</v>
      </c>
      <c r="AO29" s="226" t="str">
        <f>IF(AND(L22="",N(AY27)&lt;10^29),AY27,"")</f>
        <v/>
      </c>
      <c r="AP29" s="227" t="str">
        <f>IF(V26="","",IF(AND(N(V29)=0,N(AP27)=0),0,(AQ29-AP27*(AQ28^2+AQ29^2))/((AQ28*AP27)^2+(AP27*AQ29-1)^2)))</f>
        <v/>
      </c>
      <c r="AQ29" s="228">
        <f>IF(N(V29)=0,10^30,V29)</f>
        <v>1E+30</v>
      </c>
      <c r="AR29" s="226" t="str">
        <f>IF(AB26="","",IF(AB26="600V IV",VLOOKUP(AB28,ＩＶ,3,FALSE),IF(AB26="600V CV-T",VLOOKUP(AB28,ＣＶＴ,3,FALSE),IF(OR(AB26="600V CV-1C",AB26="600V CV-2C",AB26="600V CV-3C",AB26="600V CV-4C"),VLOOKUP(AB28,ＣＶ２３Ｃ,3,FALSE),VLOOKUP(AB28,ＣＵＳＥＲ,3,FALSE)))))</f>
        <v/>
      </c>
      <c r="AS29" s="228" t="str">
        <f>IF(OR(AND(AS30="",AS31=""),AND(D26="",D30&lt;&gt;"")),AS27,(AS27*(AT30^2+AT31^2)+AT31*(AS26^2+AS27^2))/((AS26+AT30)^2+(AS27+AT31)^2))</f>
        <v/>
      </c>
      <c r="AT29" s="229" t="str">
        <f>IF(Z29="",AS29,N(AS29)+(Z29/1000))</f>
        <v/>
      </c>
      <c r="AU29" s="229" t="str">
        <f>IF(AU27="","",(AT29*(AU26^2+AU27^2)+AU27*(AT28^2+AT29^2))/((AT28+AU26)^2+(AT29+AU27)^2))</f>
        <v/>
      </c>
      <c r="AV29" s="229">
        <f>AV25+AV28</f>
        <v>3</v>
      </c>
      <c r="AW29" s="228" t="str">
        <f>IF(AO29="","",AW27+AO29)</f>
        <v/>
      </c>
      <c r="AX29" s="230"/>
      <c r="AY29" s="224">
        <f>IF(L28="",10^30,SQRT(BA26)*(BA28^2)*(N(AN27)+N(AN29)+N(AO27)+N(AV27))/(100000*L28*M26))</f>
        <v>1E+30</v>
      </c>
      <c r="AZ29" s="225"/>
      <c r="BA29" s="220">
        <f>IF(AND(F28="",SUM(S26:S29)&lt;&gt;0),BA25,F28)</f>
        <v>0</v>
      </c>
      <c r="BB29" s="221">
        <f t="shared" si="0"/>
        <v>0</v>
      </c>
      <c r="BC29" s="232"/>
      <c r="BD29" s="232"/>
    </row>
    <row r="30" spans="2:57" ht="15" customHeight="1">
      <c r="B30" s="84"/>
      <c r="C30" s="271" t="str">
        <f>IF(BC30=1,"●","・")</f>
        <v>・</v>
      </c>
      <c r="D30" s="402"/>
      <c r="E30" s="403"/>
      <c r="F30" s="404"/>
      <c r="G30" s="265" t="str">
        <f>IF(F30="","","φ")</f>
        <v/>
      </c>
      <c r="H30" s="405"/>
      <c r="I30" s="265" t="str">
        <f>IF(H30="","","W")</f>
        <v/>
      </c>
      <c r="J30" s="405"/>
      <c r="K30" s="272" t="str">
        <f>IF(J30="","","V")</f>
        <v/>
      </c>
      <c r="L30" s="406"/>
      <c r="M30" s="407"/>
      <c r="N30" s="408"/>
      <c r="O30" s="193"/>
      <c r="P30" s="86"/>
      <c r="Q30" s="194"/>
      <c r="R30" s="87"/>
      <c r="S30" s="88" t="str">
        <f>IF(R30="","",IF(Q30="",P30/R30,P30/(Q30*R30)))</f>
        <v/>
      </c>
      <c r="T30" s="195"/>
      <c r="U30" s="196" t="str">
        <f>IF(OR(BA32="",S30=""),"",S30*1000*T30/(SQRT(BA30)*BA32))</f>
        <v/>
      </c>
      <c r="V30" s="254" t="str">
        <f>IF(AND(N(U30)=0,N(U31)=0,N(U32)=0,N(U33)=0),"",BA32/(SUM(U30:U33)))</f>
        <v/>
      </c>
      <c r="W30" s="280"/>
      <c r="X30" s="281"/>
      <c r="Y30" s="242"/>
      <c r="Z30" s="243"/>
      <c r="AA30" s="239"/>
      <c r="AB30" s="241"/>
      <c r="AC30" s="242"/>
      <c r="AD30" s="243"/>
      <c r="AE30" s="247"/>
      <c r="AF30" s="233" t="str">
        <f>IF(OR(AND(AF26="",N(BA28)=0,BA32&lt;&gt;0),D30&lt;&gt;""),AX32/AQ31,"")</f>
        <v/>
      </c>
      <c r="AG30" s="249" t="str">
        <f>IF(BA32=0,"",IF(AD32="",AX30,IF(AND(D30&lt;&gt;"",AU30=""),AX32*SQRT(AP32^2+AP33^2)/SQRT(AS30^2+AS31^2)/AQ31,AX30*SQRT(AP32^2+AP33^2)/SQRT(AS30^2+AS31^2))))</f>
        <v/>
      </c>
      <c r="AH30" s="250"/>
      <c r="AI30" s="234" t="str">
        <f>IF(AG30="","",IF(N(U30)&lt;0,-AX30*AQ31/SQRT(AS30^2+AS31^2),AX30*AQ31/SQRT(AS30^2+AS31^2)))</f>
        <v/>
      </c>
      <c r="AJ30" s="256"/>
      <c r="AK30" s="257"/>
      <c r="AL30" s="186"/>
      <c r="AM30" s="28"/>
      <c r="AN30" s="213" t="b">
        <f>IF(BA30="","",IF(AND(BA30=1,F32=50,L30="oil cooled type"),VLOOKUP(L32,変１,2,FALSE),IF(AND(BA30=1,F32=50,L30="(F)molded type"),VLOOKUP(L32,変１,7,FALSE),IF(AND(BA30=1,F32=60,L30="oil cooled type"),VLOOKUP(L32,変１,12,FALSE),IF(AND(BA30=1,F32=60,L30="(F)molded type"),VLOOKUP(L32,変１,17,FALSE),FALSE)))))</f>
        <v>0</v>
      </c>
      <c r="AO30" s="213">
        <f>IF(ISNA(VLOOKUP(L32,変ＵＳＥＲ,2,FALSE)),0,VLOOKUP(L32,変ＵＳＥＲ,2,FALSE))</f>
        <v>0</v>
      </c>
      <c r="AP30" s="214">
        <f>IF(N30="",0,N30*1000/BA32^2/SQRT(BA30))</f>
        <v>0</v>
      </c>
      <c r="AQ30" s="213" t="b">
        <f>IF(BA30=1,2,IF(BA30=3,SQRT(3),FALSE))</f>
        <v>0</v>
      </c>
      <c r="AR30" s="215" t="str">
        <f>IF(X30="","",IF(X30="600V IV",VLOOKUP(X32,ＩＶ,2,FALSE),IF(X30="600V CV-T",VLOOKUP(X32,ＣＶＴ,2,FALSE),IF(OR(X30="600V CV-1C",X30="600V CV-2C",X30="600V CV-3C",X30="600V CV-4C"),VLOOKUP(X32,ＣＶ２３Ｃ,2,FALSE),VLOOKUP(X32,ＣＵＳＥＲ,2,FALSE)))))</f>
        <v/>
      </c>
      <c r="AS30" s="213" t="str">
        <f>IF(AB33="",AP32,AP32+(AB33/1000))</f>
        <v/>
      </c>
      <c r="AT30" s="216" t="str">
        <f>IF(AU32="",AT32,AU32)</f>
        <v/>
      </c>
      <c r="AU30" s="216" t="str">
        <f>IF(D30="","",IF(AND(D34="",D38&lt;&gt;"",AV33=AV41),AT38,IF(AND(D34="",D38="",D42&lt;&gt;"",AV37=AV45),AT42,IF(AND(D34="",D38="",D42="",D46&lt;&gt;"",AV41=AV49),AT46,IF(AND(D34="",D38="",D42="",D46="",D306&lt;&gt;"",AV45=AV309),AT306,IF(AND(D34="",D38="",D42="",D46="",D306="",D310&lt;&gt;"",AV49=AV313),AT310,IF(AND(D34="",D38="",D42="",D46="",D306="",D310="",D314&lt;&gt;"",AV309=AV317),AT314,"")))))))</f>
        <v/>
      </c>
      <c r="AV30" s="216" t="str">
        <f>IF(L30="ACG",IF(ISNA(VLOOKUP(L32,ＡＣＧ,2,FALSE)),0,VLOOKUP(L32,ＡＣＧ,2,FALSE)),"")</f>
        <v/>
      </c>
      <c r="AW30" s="217" t="str">
        <f>IF(AT30="","",AT30/((AT30*AP30)^2+(AT31*AP30-1)^2))</f>
        <v/>
      </c>
      <c r="AX30" s="218" t="str">
        <f>IF(BA32=0,"",IF(OR(AX26="",AF30&lt;&gt;""),AF30*SQRT(AS32^2+AS33^2)/SQRT(AT32^2+AT33^2),AX26*SQRT(AS32^2+AS33^2)/SQRT(AT32^2+AT33^2)))</f>
        <v/>
      </c>
      <c r="AY30" s="219">
        <f>IF(N(AY32)=10^30,10^30,IF(N(AY36)=10^30,(N(AY32)*(N(AY36)^2+N(AY37)^2)+N(AY36)*(N(AY32)^2+N(AY33)^2))/((N(AY32)+N(AY36))^2+(N(AY33)+N(AY37))^2),(N(AY32)*(N(AY34)^2+N(AY35)^2)+N(AY34)*(N(AY32)^2+N(AY33)^2))/((N(AY32)+N(AY34))^2+(N(AY33)+N(AY35))^2)))</f>
        <v>1E+30</v>
      </c>
      <c r="AZ30" s="23"/>
      <c r="BA30" s="220">
        <f>IF(AND(F30="",SUM(S30:S33)&lt;&gt;0),BA26,F30)</f>
        <v>0</v>
      </c>
      <c r="BB30" s="221">
        <f t="shared" si="0"/>
        <v>0</v>
      </c>
      <c r="BC30" s="232">
        <f>IF(OR(E30="",F33="",AND(OR(P30="",Q30="",R30="",T30=""),OR(P31="",Q31="",R31="",T31=""),OR(P32="",Q32="",R32="",T32=""),OR(P33="",Q33="",R33="",T33="")),AND(OR(X30="",X32="",Y32="",Z32=""),OR(AB30="",AB32="",AC32="",AD32=""))),0,1)</f>
        <v>0</v>
      </c>
      <c r="BD30" s="232">
        <f>BC30+BD26</f>
        <v>0</v>
      </c>
    </row>
    <row r="31" spans="2:57" ht="15" customHeight="1">
      <c r="B31" s="84"/>
      <c r="C31" s="271"/>
      <c r="D31" s="409"/>
      <c r="E31" s="362"/>
      <c r="F31" s="410"/>
      <c r="G31" s="266"/>
      <c r="H31" s="266"/>
      <c r="I31" s="266"/>
      <c r="J31" s="266"/>
      <c r="K31" s="273"/>
      <c r="L31" s="411"/>
      <c r="M31" s="197" t="str">
        <f>IF(L30="ACG",SQRT(AV30^2+AV31^2),IF(L32="","",IF(OR(L30="oil cooled type",L30="(F)molded type"),IF(BA30=1,SQRT(AN30^2+AN31^2),IF(BA30=3,SQRT(AN32^2+AN33^2))),SQRT(AO30^2+AO31^2))))</f>
        <v/>
      </c>
      <c r="N31" s="412"/>
      <c r="O31" s="198"/>
      <c r="P31" s="90"/>
      <c r="Q31" s="199"/>
      <c r="R31" s="91"/>
      <c r="S31" s="92" t="str">
        <f>IF(R32="","",IF(Q32="",P32/R32,P32/(Q32*R32)))</f>
        <v/>
      </c>
      <c r="T31" s="200"/>
      <c r="U31" s="201" t="str">
        <f>IF(OR(BA32="",S31=""),"",S31*1000*T31/(SQRT(BA30)*BA32))</f>
        <v/>
      </c>
      <c r="V31" s="255"/>
      <c r="W31" s="248"/>
      <c r="X31" s="258"/>
      <c r="Y31" s="245"/>
      <c r="Z31" s="246"/>
      <c r="AA31" s="240"/>
      <c r="AB31" s="244"/>
      <c r="AC31" s="245"/>
      <c r="AD31" s="246"/>
      <c r="AE31" s="248"/>
      <c r="AF31" s="235" t="str">
        <f>IF(OR(AF30="",AG26&lt;&gt;""),"",AF30*AQ31/SQRT(AT30^2+AT31^2))</f>
        <v/>
      </c>
      <c r="AG31" s="274" t="str">
        <f>IF(AG30="","",100*AG30*AQ31/BA32)</f>
        <v/>
      </c>
      <c r="AH31" s="275"/>
      <c r="AI31" s="260" t="str">
        <f>IF(BA32=0,"",IF(AI26="",AX32/SQRT(AT30^2+AT31^2),IF(AI34="","",IF(AT30&lt;0,-AX30*AQ27/SQRT(AT30^2+AT31^2),AX30*AQ27/SQRT(AT30^2+AT31^2)))))</f>
        <v/>
      </c>
      <c r="AJ31" s="258"/>
      <c r="AK31" s="259"/>
      <c r="AL31" s="187"/>
      <c r="AM31" s="28"/>
      <c r="AN31" s="213" t="b">
        <f>IF(BA30="","",IF(AND(BA30=1,F32=50,L30="oil cooled type"),VLOOKUP(L32,変１,3,FALSE),IF(AND(BA30=1,F32=50,L30="(F)molded type"),VLOOKUP(L32,変１,8,FALSE),IF(AND(BA30=1,F32=60,L30="oil cooled type"),VLOOKUP(L32,変１,13,FALSE),IF(AND(BA30=1,F32=60,L30="(F)molded type"),VLOOKUP(L32,変１,18,FALSE),FALSE)))))</f>
        <v>0</v>
      </c>
      <c r="AO31" s="213">
        <f>IF(ISNA(VLOOKUP(L32,変ＵＳＥＲ,3,FALSE)),0,VLOOKUP(L32,変ＵＳＥＲ,3,FALSE)*BA33/50)</f>
        <v>0</v>
      </c>
      <c r="AP31" s="214">
        <f>IF(W30="",0,W30*1000/BA32^2/SQRT(BA30))</f>
        <v>0</v>
      </c>
      <c r="AQ31" s="213">
        <f>IF(AND(BA30=1,BA31=2),1,IF(AND(BA30=3,BA31=3),1,IF(AND(BA30=1,BA31=3),2,IF(AND(BA30=3,BA31=4)*OR(BB30=1,BB31=1,BB32=1,BB33=1),1,SQRT(3)))))</f>
        <v>1.7320508075688772</v>
      </c>
      <c r="AR31" s="215" t="str">
        <f>IF(X30="","",IF(X30="600V IV",VLOOKUP(X32,ＩＶ,3,FALSE),IF(X30="600V CV-T",VLOOKUP(X32,ＣＶＴ,3,FALSE),IF(OR(X30="600V CV-1C",X30="600V CV-2C",X30="600V CV-3C",X30="600V CV-4C"),VLOOKUP(X32,ＣＶ２３Ｃ,3,FALSE),VLOOKUP(X32,ＣＵＳＥＲ,3,FALSE)))))</f>
        <v/>
      </c>
      <c r="AS31" s="213" t="str">
        <f>IF(AD33="",AP33,AP33+(AD33/1000))</f>
        <v/>
      </c>
      <c r="AT31" s="216" t="str">
        <f>IF(AU33="",AT33,AU33)</f>
        <v/>
      </c>
      <c r="AU31" s="216" t="str">
        <f>IF(D30="","",IF(AND(D34="",D38&lt;&gt;"",AV33=AV41),AT39,IF(AND(D34="",D38="",D42&lt;&gt;"",AV37=AV45),AT43,IF(AND(D34="",D38="",D42="",D46&lt;&gt;"",AV41=AV49),AT47,IF(AND(D34="",D38="",D42="",D46="",D306&lt;&gt;"",AV45=AV309),AT307,IF(AND(D34="",D38="",D42="",D46="",D306="",D310&lt;&gt;"",AV49=AV313),AT311,IF(AND(D34="",D38="",D42="",D46="",D306="",D310="",D314&lt;&gt;"",AV309=AV317),AT315,"")))))))</f>
        <v/>
      </c>
      <c r="AV31" s="215" t="str">
        <f>IF(L30="ACG",IF(ISNA(VLOOKUP(L32,ＡＣＧ,3,FALSE)),0,VLOOKUP(L32,ＡＣＧ,3,FALSE)*BA33/50),"")</f>
        <v/>
      </c>
      <c r="AW31" s="217" t="str">
        <f>IF(AT31="","",(AT31-AP30*(AT30^2+AT31^2))/((AT30*AP30)^2+(AP30*AT31-1)^2))</f>
        <v/>
      </c>
      <c r="AX31" s="218"/>
      <c r="AY31" s="219">
        <f>IF(N(AY33)=10^30,10^30,IF(N(AY37)=10^30,(N(AY33)*(N(AY36)^2+N(AY37)^2)+N(AY37)*(N(AY32)^2+N(AY33)^2))/((N(AY32)+N(AY36))^2+(N(AY33)+N(AY37))^2),(N(AY33)*(N(AY34)^2+N(AY35)^2)+N(AY35)*(N(AY32)^2+N(AY33)^2))/((N(AY32)+N(AY34))^2+(N(AY33)+N(AY35))^2)))</f>
        <v>1E+30</v>
      </c>
      <c r="AZ31" s="23"/>
      <c r="BA31" s="220">
        <f>IF(AND(H30="",SUM(S30:S33)&lt;&gt;0),BA27,H30)</f>
        <v>0</v>
      </c>
      <c r="BB31" s="221">
        <f t="shared" si="0"/>
        <v>0</v>
      </c>
      <c r="BC31" s="232"/>
      <c r="BD31" s="232"/>
    </row>
    <row r="32" spans="2:57" ht="15" customHeight="1">
      <c r="B32" s="84" t="s">
        <v>67</v>
      </c>
      <c r="C32" s="271"/>
      <c r="D32" s="409"/>
      <c r="E32" s="362"/>
      <c r="F32" s="413"/>
      <c r="G32" s="414"/>
      <c r="H32" s="414"/>
      <c r="I32" s="414"/>
      <c r="J32" s="414"/>
      <c r="K32" s="415"/>
      <c r="L32" s="416"/>
      <c r="M32" s="275"/>
      <c r="N32" s="412"/>
      <c r="O32" s="198"/>
      <c r="P32" s="93"/>
      <c r="Q32" s="202"/>
      <c r="R32" s="91"/>
      <c r="S32" s="92" t="str">
        <f>IF(R33="","",IF(Q33="",P33/R33,P33/(Q33*R33)))</f>
        <v/>
      </c>
      <c r="T32" s="200"/>
      <c r="U32" s="203" t="str">
        <f>IF(OR(BA32="",S32=""),"",S32*1000*T32/(SQRT(BA30)*BA32))</f>
        <v/>
      </c>
      <c r="V32" s="94" t="str">
        <f>IF(AND(N(U30)=0,N(U31)=0,N(U32)=0,N(U33)=0),"",V30*(P30*R30*T30+P31*R31*T31+P32*R32*T32+P33*R33*T33)/(P30*T30+P31*T31+P32*T32+P33*T33))</f>
        <v/>
      </c>
      <c r="W32" s="276" t="str">
        <f>IF(AND(N(AP32)=0,N(AP33)=0,N(AP31)=0),"",IF(AP33&gt;=0,COS(ATAN(AP33/AP32)),-COS(ATAN(AP33/AP32))))</f>
        <v/>
      </c>
      <c r="X32" s="95"/>
      <c r="Y32" s="204"/>
      <c r="Z32" s="96"/>
      <c r="AA32" s="97"/>
      <c r="AB32" s="98"/>
      <c r="AC32" s="204"/>
      <c r="AD32" s="96"/>
      <c r="AE32" s="99"/>
      <c r="AF32" s="236" t="str">
        <f>IF(OR(AF30="",AG26&lt;&gt;""),"",BA32/SQRT(AW32^2+AW33^2))</f>
        <v/>
      </c>
      <c r="AG32" s="274" t="str">
        <f>IF(AG30="","",100*((BA32/AQ31)-AG30)/(BA32/AQ31))</f>
        <v/>
      </c>
      <c r="AH32" s="275"/>
      <c r="AI32" s="261"/>
      <c r="AJ32" s="262"/>
      <c r="AK32" s="264"/>
      <c r="AL32" s="188"/>
      <c r="AM32" s="28"/>
      <c r="AN32" s="222" t="b">
        <f>IF(BA30="","",IF(AND(BA30=3,F32=50,L30="oil cooled type"),VLOOKUP(L32,変３,2,FALSE),IF(AND(BA30=3,F32=50,L30="(F)molded type"),VLOOKUP(L32,変３,7,FALSE),IF(AND(BA30=3,F32=60,L30="oil cooled type"),VLOOKUP(L32,変３,12,FALSE),IF(AND(BA30=3,F32=60,L30="(F)molded type"),VLOOKUP(L32,変３,17,FALSE),FALSE)))))</f>
        <v>0</v>
      </c>
      <c r="AO32" s="215" t="str">
        <f>IF(AND(L26="",N(AY30)&lt;10^29),AY30,"")</f>
        <v/>
      </c>
      <c r="AP32" s="223" t="str">
        <f>IF(V30="","",IF(AND(N(V32)=0,N(AP31)=0),"",AQ32/((AQ32*AP31)^2+(AP31*AQ33-1)^2)))</f>
        <v/>
      </c>
      <c r="AQ32" s="213">
        <f>IF(N(V32)=0,10^30,V32)</f>
        <v>1E+30</v>
      </c>
      <c r="AR32" s="215" t="str">
        <f>IF(AB30="","",IF(AB30="600V IV",VLOOKUP(AB32,ＩＶ,2,FALSE),IF(AB30="600V CV-T",VLOOKUP(AB32,ＣＶＴ,2,FALSE),IF(OR(AB30="600V CV-1C",AB30="600V CV-2C",AB30="600V CV-3C",AB30="600V CV-4C"),VLOOKUP(AB32,ＣＶ２３Ｃ,2,FALSE),VLOOKUP(AB32,ＣＵＳＥＲ,2,FALSE)))))</f>
        <v/>
      </c>
      <c r="AS32" s="213" t="str">
        <f>IF(OR(AND(AS34="",AS35=""),AND(D30="",D34&lt;&gt;"")),AS30,(AS30*(AT34^2+AT35^2)+AT34*(AS30^2+AS31^2))/((AS30+AT34)^2+(AS31+AT35)^2))</f>
        <v/>
      </c>
      <c r="AT32" s="216" t="str">
        <f>IF(X33="",AS32,N(AS32)+(X33/1000))</f>
        <v/>
      </c>
      <c r="AU32" s="216" t="str">
        <f>IF(AU30="","",(AT32*(AU30^2+AU31^2)+AU30*(AT32^2+AT33^2))/((AT32+AU30)^2+(AT33+AU31)^2))</f>
        <v/>
      </c>
      <c r="AV32" s="216">
        <f>IF(BA32=0,1,0)</f>
        <v>1</v>
      </c>
      <c r="AW32" s="217" t="str">
        <f>IF(AO32="","",AW30+AO32)</f>
        <v/>
      </c>
      <c r="AX32" s="218" t="str">
        <f>IF(AND(AX28="",AW32&lt;&gt;""),BA32*SQRT(AW30^2+AW31^2)/SQRT(AW32^2+AW33^2),IF(BA32&lt;&gt;0,AX28,""))</f>
        <v/>
      </c>
      <c r="AY32" s="224">
        <f>IF(L32="",10^30,SQRT(BA30)*(BA32^2)*(N(AN30)+N(AN32)+N(AO30)+N(AV30))/(100000*L32*M30))</f>
        <v>1E+30</v>
      </c>
      <c r="AZ32" s="225"/>
      <c r="BA32" s="220">
        <f>IF(AND(J30="",SUM(S30:S33)&lt;&gt;0),BA28,J30)</f>
        <v>0</v>
      </c>
      <c r="BB32" s="221">
        <f t="shared" si="0"/>
        <v>0</v>
      </c>
      <c r="BC32" s="232"/>
      <c r="BD32" s="232"/>
    </row>
    <row r="33" spans="2:56" ht="15" customHeight="1">
      <c r="B33" s="84" t="s">
        <v>68</v>
      </c>
      <c r="C33" s="271"/>
      <c r="D33" s="417"/>
      <c r="E33" s="418"/>
      <c r="F33" s="419"/>
      <c r="G33" s="270"/>
      <c r="H33" s="270"/>
      <c r="I33" s="270"/>
      <c r="J33" s="270"/>
      <c r="K33" s="268"/>
      <c r="L33" s="251" t="str">
        <f>IF(M30="","",L32*1000*M30/(SQRT(BA30)*BA32))</f>
        <v/>
      </c>
      <c r="M33" s="252"/>
      <c r="N33" s="277"/>
      <c r="O33" s="205"/>
      <c r="P33" s="106"/>
      <c r="Q33" s="206"/>
      <c r="R33" s="107"/>
      <c r="S33" s="108" t="str">
        <f>IF(R33="","",IF(Q33="",P33/R33,P33/(Q33*R33)))</f>
        <v/>
      </c>
      <c r="T33" s="207"/>
      <c r="U33" s="208" t="str">
        <f>IF(OR(BA32="",S33=""),"",S33*1000*T33/(SQRT(BA30)*BA32))</f>
        <v/>
      </c>
      <c r="V33" s="109" t="str">
        <f>IF(AND(N(U30)=0,N(U31)=0,N(U32)=0,N(U33)=0),"",IF(V30&gt;=0,SQRT(ABS(V30^2-V32^2)),-SQRT(V30^2-V32^2)))</f>
        <v/>
      </c>
      <c r="W33" s="277"/>
      <c r="X33" s="278" t="str">
        <f>IF(Y32="","",AQ30*Z32*AR30*((1+0.00393*(F33-20))/1.2751)/Y32)</f>
        <v/>
      </c>
      <c r="Y33" s="270"/>
      <c r="Z33" s="267" t="str">
        <f>IF(Y32="","",(BA33/50)*AQ30*Z32*AR31/Y32)</f>
        <v/>
      </c>
      <c r="AA33" s="252"/>
      <c r="AB33" s="279" t="str">
        <f>IF(AC32="","",AQ30*AD32*AR32*((1+0.00393*(F33-20))/1.2751)/AC32)</f>
        <v/>
      </c>
      <c r="AC33" s="270"/>
      <c r="AD33" s="267" t="str">
        <f>IF(AC32="","",(BA33/50)*AQ30*AD32*AR33/AC32)</f>
        <v/>
      </c>
      <c r="AE33" s="268"/>
      <c r="AF33" s="237" t="str">
        <f>IF(AND(AX30&lt;&gt;"",D30=""),AX30,"")</f>
        <v/>
      </c>
      <c r="AG33" s="269" t="str">
        <f>IF(AP32="","",AP32)</f>
        <v/>
      </c>
      <c r="AH33" s="270"/>
      <c r="AI33" s="238" t="str">
        <f>IF(AP33="","",AP33)</f>
        <v/>
      </c>
      <c r="AJ33" s="263"/>
      <c r="AK33" s="253"/>
      <c r="AL33" s="189"/>
      <c r="AM33" s="28"/>
      <c r="AN33" s="226" t="b">
        <f>IF(BA30="","",IF(AND(BA30=3,F32=50,L30="oil cooled type"),VLOOKUP(L32,変３,3,FALSE),IF(AND(BA30=3,F32=50,L30="(F)molded type"),VLOOKUP(L32,変３,8,FALSE),IF(AND(BA30=3,F32=60,L30="oil cooled type"),VLOOKUP(L32,変３,13,FALSE),IF(AND(BA30=3,F32=60,L30="(F)molded type"),VLOOKUP(L32,変３,18,FALSE),FALSE)))))</f>
        <v>0</v>
      </c>
      <c r="AO33" s="226" t="str">
        <f>IF(AND(L26="",N(AY31)&lt;10^29),AY31,"")</f>
        <v/>
      </c>
      <c r="AP33" s="227" t="str">
        <f>IF(V30="","",IF(AND(N(V33)=0,N(AP31)=0),0,(AQ33-AP31*(AQ32^2+AQ33^2))/((AQ32*AP31)^2+(AP31*AQ33-1)^2)))</f>
        <v/>
      </c>
      <c r="AQ33" s="228">
        <f>IF(N(V33)=0,10^30,V33)</f>
        <v>1E+30</v>
      </c>
      <c r="AR33" s="226" t="str">
        <f>IF(AB30="","",IF(AB30="600V IV",VLOOKUP(AB32,ＩＶ,3,FALSE),IF(AB30="600V CV-T",VLOOKUP(AB32,ＣＶＴ,3,FALSE),IF(OR(AB30="600V CV-1C",AB30="600V CV-2C",AB30="600V CV-3C",AB30="600V CV-4C"),VLOOKUP(AB32,ＣＶ２３Ｃ,3,FALSE),VLOOKUP(AB32,ＣＵＳＥＲ,3,FALSE)))))</f>
        <v/>
      </c>
      <c r="AS33" s="228" t="str">
        <f>IF(OR(AND(AS34="",AS35=""),AND(D30="",D34&lt;&gt;"")),AS31,(AS31*(AT34^2+AT35^2)+AT35*(AS30^2+AS31^2))/((AS30+AT34)^2+(AS31+AT35)^2))</f>
        <v/>
      </c>
      <c r="AT33" s="229" t="str">
        <f>IF(Z33="",AS33,N(AS33)+(Z33/1000))</f>
        <v/>
      </c>
      <c r="AU33" s="229" t="str">
        <f>IF(AU31="","",(AT33*(AU30^2+AU31^2)+AU31*(AT32^2+AT33^2))/((AT32+AU30)^2+(AT33+AU31)^2))</f>
        <v/>
      </c>
      <c r="AV33" s="229">
        <f>AV29+AV32</f>
        <v>4</v>
      </c>
      <c r="AW33" s="228" t="str">
        <f>IF(AO33="","",AW31+AO33)</f>
        <v/>
      </c>
      <c r="AX33" s="230"/>
      <c r="AY33" s="224">
        <f>IF(L32="",10^30,SQRT(BA30)*(BA32^2)*(N(AN31)+N(AN33)+N(AO31)+N(AV31))/(100000*L32*M30))</f>
        <v>1E+30</v>
      </c>
      <c r="AZ33" s="225"/>
      <c r="BA33" s="220">
        <f>IF(AND(F32="",SUM(S30:S33)&lt;&gt;0),BA29,F32)</f>
        <v>0</v>
      </c>
      <c r="BB33" s="221">
        <f t="shared" si="0"/>
        <v>0</v>
      </c>
      <c r="BC33" s="232"/>
      <c r="BD33" s="232"/>
    </row>
    <row r="34" spans="2:56" ht="15" customHeight="1">
      <c r="B34" s="84"/>
      <c r="C34" s="271" t="str">
        <f>IF(BC34=1,"●","・")</f>
        <v>・</v>
      </c>
      <c r="D34" s="402"/>
      <c r="E34" s="403"/>
      <c r="F34" s="404"/>
      <c r="G34" s="265" t="str">
        <f>IF(F34="","","φ")</f>
        <v/>
      </c>
      <c r="H34" s="405"/>
      <c r="I34" s="265" t="str">
        <f>IF(H34="","","W")</f>
        <v/>
      </c>
      <c r="J34" s="405"/>
      <c r="K34" s="272" t="str">
        <f>IF(J34="","","V")</f>
        <v/>
      </c>
      <c r="L34" s="406"/>
      <c r="M34" s="407"/>
      <c r="N34" s="408"/>
      <c r="O34" s="193"/>
      <c r="P34" s="86"/>
      <c r="Q34" s="194"/>
      <c r="R34" s="87"/>
      <c r="S34" s="88" t="str">
        <f>IF(R34="","",IF(Q34="",P34/R34,P34/(Q34*R34)))</f>
        <v/>
      </c>
      <c r="T34" s="195"/>
      <c r="U34" s="196" t="str">
        <f>IF(OR(BA36="",S34=""),"",S34*1000*T34/(SQRT(BA34)*BA36))</f>
        <v/>
      </c>
      <c r="V34" s="254" t="str">
        <f>IF(AND(N(U34)=0,N(U35)=0,N(U36)=0,N(U37)=0),"",BA36/(SUM(U34:U37)))</f>
        <v/>
      </c>
      <c r="W34" s="280"/>
      <c r="X34" s="281"/>
      <c r="Y34" s="242"/>
      <c r="Z34" s="243"/>
      <c r="AA34" s="239"/>
      <c r="AB34" s="241"/>
      <c r="AC34" s="242"/>
      <c r="AD34" s="243"/>
      <c r="AE34" s="247"/>
      <c r="AF34" s="233" t="str">
        <f>IF(OR(AND(AF30="",N(BA32)=0,BA36&lt;&gt;0),D34&lt;&gt;""),AX36/AQ35,"")</f>
        <v/>
      </c>
      <c r="AG34" s="249" t="str">
        <f>IF(BA36=0,"",IF(AD36="",AX34,IF(AND(D34&lt;&gt;"",AU34=""),AX36*SQRT(AP36^2+AP37^2)/SQRT(AS34^2+AS35^2)/AQ35,AX34*SQRT(AP36^2+AP37^2)/SQRT(AS34^2+AS35^2))))</f>
        <v/>
      </c>
      <c r="AH34" s="250"/>
      <c r="AI34" s="234" t="str">
        <f>IF(AG34="","",IF(N(U34)&lt;0,-AX34*AQ35/SQRT(AS34^2+AS35^2),AX34*AQ35/SQRT(AS34^2+AS35^2)))</f>
        <v/>
      </c>
      <c r="AJ34" s="256"/>
      <c r="AK34" s="257"/>
      <c r="AL34" s="186"/>
      <c r="AM34" s="28"/>
      <c r="AN34" s="213" t="b">
        <f>IF(BA34="","",IF(AND(BA34=1,F36=50,L34="oil cooled type"),VLOOKUP(L36,変１,2,FALSE),IF(AND(BA34=1,F36=50,L34="(F)molded type"),VLOOKUP(L36,変１,7,FALSE),IF(AND(BA34=1,F36=60,L34="oil cooled type"),VLOOKUP(L36,変１,12,FALSE),IF(AND(BA34=1,F36=60,L34="(F)molded type"),VLOOKUP(L36,変１,17,FALSE),FALSE)))))</f>
        <v>0</v>
      </c>
      <c r="AO34" s="213">
        <f>IF(ISNA(VLOOKUP(L36,変ＵＳＥＲ,2,FALSE)),0,VLOOKUP(L36,変ＵＳＥＲ,2,FALSE))</f>
        <v>0</v>
      </c>
      <c r="AP34" s="214">
        <f>IF(N34="",0,N34*1000/BA36^2/SQRT(BA34))</f>
        <v>0</v>
      </c>
      <c r="AQ34" s="213" t="b">
        <f>IF(BA34=1,2,IF(BA34=3,SQRT(3),FALSE))</f>
        <v>0</v>
      </c>
      <c r="AR34" s="215" t="str">
        <f>IF(X34="","",IF(X34="600V IV",VLOOKUP(X36,ＩＶ,2,FALSE),IF(X34="600V CV-T",VLOOKUP(X36,ＣＶＴ,2,FALSE),IF(OR(X34="600V CV-1C",X34="600V CV-2C",X34="600V CV-3C",X34="600V CV-4C"),VLOOKUP(X36,ＣＶ２３Ｃ,2,FALSE),VLOOKUP(X36,ＣＵＳＥＲ,2,FALSE)))))</f>
        <v/>
      </c>
      <c r="AS34" s="213" t="str">
        <f>IF(AB37="",AP36,AP36+(AB37/1000))</f>
        <v/>
      </c>
      <c r="AT34" s="216" t="str">
        <f>IF(AU36="",AT36,AU36)</f>
        <v/>
      </c>
      <c r="AU34" s="216" t="str">
        <f>IF(D34="","",IF(AND(D38="",D42&lt;&gt;"",AV37=AV45),AT42,IF(AND(D38="",D42="",D46&lt;&gt;"",AV41=AV49),AT46,IF(AND(D38="",D42="",D46="",D306&lt;&gt;"",AV45=AV309),AT306,IF(AND(D38="",D42="",D46="",D306="",D310&lt;&gt;"",AV49=AV313),AT310,IF(AND(D38="",D42="",D46="",D306="",D310="",D314&lt;&gt;"",AV309=AV317),AT314,IF(AND(D38="",D42="",D46="",D306="",D310="",D314="",D318&lt;&gt;"",AV313=AV321),AT318,"")))))))</f>
        <v/>
      </c>
      <c r="AV34" s="216" t="str">
        <f>IF(L34="ACG",IF(ISNA(VLOOKUP(L36,ＡＣＧ,2,FALSE)),0,VLOOKUP(L36,ＡＣＧ,2,FALSE)),"")</f>
        <v/>
      </c>
      <c r="AW34" s="217" t="str">
        <f>IF(AT34="","",AT34/((AT34*AP34)^2+(AT35*AP34-1)^2))</f>
        <v/>
      </c>
      <c r="AX34" s="218" t="str">
        <f>IF(BA36=0,"",IF(OR(AX30="",AF34&lt;&gt;""),AF34*SQRT(AS36^2+AS37^2)/SQRT(AT36^2+AT37^2),AX30*SQRT(AS36^2+AS37^2)/SQRT(AT36^2+AT37^2)))</f>
        <v/>
      </c>
      <c r="AY34" s="219">
        <f>IF(N(AY36)=10^30,10^30,IF(N(AY40)=10^30,(N(AY36)*(N(AY40)^2+N(AY41)^2)+N(AY40)*(N(AY36)^2+N(AY37)^2))/((N(AY36)+N(AY40))^2+(N(AY37)+N(AY41))^2),(N(AY36)*(N(AY38)^2+N(AY39)^2)+N(AY38)*(N(AY36)^2+N(AY37)^2))/((N(AY36)+N(AY38))^2+(N(AY37)+N(AY39))^2)))</f>
        <v>1E+30</v>
      </c>
      <c r="AZ34" s="23"/>
      <c r="BA34" s="220">
        <f>IF(AND(F34="",SUM(S34:S37)&lt;&gt;0),BA30,F34)</f>
        <v>0</v>
      </c>
      <c r="BB34" s="221">
        <f t="shared" si="0"/>
        <v>0</v>
      </c>
      <c r="BC34" s="232">
        <f>IF(OR(E34="",F37="",AND(OR(P34="",Q34="",R34="",T34=""),OR(P35="",Q35="",R35="",T35=""),OR(P36="",Q36="",R36="",T36=""),OR(P37="",Q37="",R37="",T37="")),AND(OR(X34="",X36="",Y36="",Z36=""),OR(AB34="",AB36="",AC36="",AD36=""))),0,1)</f>
        <v>0</v>
      </c>
      <c r="BD34" s="232">
        <f>BC34+BD30</f>
        <v>0</v>
      </c>
    </row>
    <row r="35" spans="2:56" ht="15" customHeight="1">
      <c r="B35" s="84"/>
      <c r="C35" s="271"/>
      <c r="D35" s="409"/>
      <c r="E35" s="362"/>
      <c r="F35" s="410"/>
      <c r="G35" s="266"/>
      <c r="H35" s="266"/>
      <c r="I35" s="266"/>
      <c r="J35" s="266"/>
      <c r="K35" s="273"/>
      <c r="L35" s="411"/>
      <c r="M35" s="197" t="str">
        <f>IF(L34="ACG",SQRT(AV34^2+AV35^2),IF(L36="","",IF(OR(L34="oil cooled type",L34="(F)molded type"),IF(BA34=1,SQRT(AN34^2+AN35^2),IF(BA34=3,SQRT(AN36^2+AN37^2))),SQRT(AO34^2+AO35^2))))</f>
        <v/>
      </c>
      <c r="N35" s="412"/>
      <c r="O35" s="198"/>
      <c r="P35" s="90"/>
      <c r="Q35" s="199"/>
      <c r="R35" s="91"/>
      <c r="S35" s="92" t="str">
        <f>IF(R36="","",IF(Q36="",P36/R36,P36/(Q36*R36)))</f>
        <v/>
      </c>
      <c r="T35" s="200"/>
      <c r="U35" s="201" t="str">
        <f>IF(OR(BA36="",S35=""),"",S35*1000*T35/(SQRT(BA34)*BA36))</f>
        <v/>
      </c>
      <c r="V35" s="255"/>
      <c r="W35" s="248"/>
      <c r="X35" s="258"/>
      <c r="Y35" s="245"/>
      <c r="Z35" s="246"/>
      <c r="AA35" s="240"/>
      <c r="AB35" s="244"/>
      <c r="AC35" s="245"/>
      <c r="AD35" s="246"/>
      <c r="AE35" s="248"/>
      <c r="AF35" s="235" t="str">
        <f>IF(OR(AF34="",AG30&lt;&gt;""),"",AF34*AQ35/SQRT(AT34^2+AT35^2))</f>
        <v/>
      </c>
      <c r="AG35" s="274" t="str">
        <f>IF(AG34="","",100*AG34*AQ35/BA36)</f>
        <v/>
      </c>
      <c r="AH35" s="275"/>
      <c r="AI35" s="260" t="str">
        <f>IF(BA36=0,"",IF(AI30="",AX36/SQRT(AT34^2+AT35^2),IF(AI38="","",IF(AT34&lt;0,-AX34*AQ31/SQRT(AT34^2+AT35^2),AX34*AQ31/SQRT(AT34^2+AT35^2)))))</f>
        <v/>
      </c>
      <c r="AJ35" s="258"/>
      <c r="AK35" s="259"/>
      <c r="AL35" s="187"/>
      <c r="AM35" s="28"/>
      <c r="AN35" s="213" t="b">
        <f>IF(BA34="","",IF(AND(BA34=1,F36=50,L34="oil cooled type"),VLOOKUP(L36,変１,3,FALSE),IF(AND(BA34=1,F36=50,L34="(F)molded type"),VLOOKUP(L36,変１,8,FALSE),IF(AND(BA34=1,F36=60,L34="oil cooled type"),VLOOKUP(L36,変１,13,FALSE),IF(AND(BA34=1,F36=60,L34="(F)molded type"),VLOOKUP(L36,変１,18,FALSE),FALSE)))))</f>
        <v>0</v>
      </c>
      <c r="AO35" s="213">
        <f>IF(ISNA(VLOOKUP(L36,変ＵＳＥＲ,3,FALSE)),0,VLOOKUP(L36,変ＵＳＥＲ,3,FALSE)*BA37/50)</f>
        <v>0</v>
      </c>
      <c r="AP35" s="214">
        <f>IF(W34="",0,W34*1000/BA36^2/SQRT(BA34))</f>
        <v>0</v>
      </c>
      <c r="AQ35" s="213">
        <f>IF(AND(BA34=1,BA35=2),1,IF(AND(BA34=3,BA35=3),1,IF(AND(BA34=1,BA35=3),2,IF(AND(BA34=3,BA35=4)*OR(BB34=1,BB35=1,BB36=1,BB37=1),1,SQRT(3)))))</f>
        <v>1.7320508075688772</v>
      </c>
      <c r="AR35" s="215" t="str">
        <f>IF(X34="","",IF(X34="600V IV",VLOOKUP(X36,ＩＶ,3,FALSE),IF(X34="600V CV-T",VLOOKUP(X36,ＣＶＴ,3,FALSE),IF(OR(X34="600V CV-1C",X34="600V CV-2C",X34="600V CV-3C",X34="600V CV-4C"),VLOOKUP(X36,ＣＶ２３Ｃ,3,FALSE),VLOOKUP(X36,ＣＵＳＥＲ,3,FALSE)))))</f>
        <v/>
      </c>
      <c r="AS35" s="213" t="str">
        <f>IF(AD37="",AP37,AP37+(AD37/1000))</f>
        <v/>
      </c>
      <c r="AT35" s="216" t="str">
        <f>IF(AU37="",AT37,AU37)</f>
        <v/>
      </c>
      <c r="AU35" s="216" t="str">
        <f>IF(D34="","",IF(AND(D38="",D42&lt;&gt;"",AV37=AV45),AT43,IF(AND(D38="",D42="",D46&lt;&gt;"",AV41=AV49),AT47,IF(AND(D38="",D42="",D46="",D306&lt;&gt;"",AV45=AV309),AT307,IF(AND(D38="",D42="",D46="",D306="",D310&lt;&gt;"",AV49=AV313),AT311,IF(AND(D38="",D42="",D46="",D306="",D310="",D314&lt;&gt;"",AV309=AV317),AT315,IF(AND(D38="",D42="",D46="",D306="",D310="",D314="",D318&lt;&gt;"",AV313=AV321),AT319,"")))))))</f>
        <v/>
      </c>
      <c r="AV35" s="215" t="str">
        <f>IF(L34="ACG",IF(ISNA(VLOOKUP(L36,ＡＣＧ,3,FALSE)),0,VLOOKUP(L36,ＡＣＧ,3,FALSE)*BA37/50),"")</f>
        <v/>
      </c>
      <c r="AW35" s="217" t="str">
        <f>IF(AT35="","",(AT35-AP34*(AT34^2+AT35^2))/((AT34*AP34)^2+(AP34*AT35-1)^2))</f>
        <v/>
      </c>
      <c r="AX35" s="218"/>
      <c r="AY35" s="219">
        <f>IF(N(AY37)=10^30,10^30,IF(N(AY41)=10^30,(N(AY37)*(N(AY40)^2+N(AY41)^2)+N(AY41)*(N(AY36)^2+N(AY37)^2))/((N(AY36)+N(AY40))^2+(N(AY37)+N(AY41))^2),(N(AY37)*(N(AY38)^2+N(AY39)^2)+N(AY39)*(N(AY36)^2+N(AY37)^2))/((N(AY36)+N(AY38))^2+(N(AY37)+N(AY39))^2)))</f>
        <v>1E+30</v>
      </c>
      <c r="AZ35" s="23"/>
      <c r="BA35" s="220">
        <f>IF(AND(H34="",SUM(S34:S37)&lt;&gt;0),BA31,H34)</f>
        <v>0</v>
      </c>
      <c r="BB35" s="221">
        <f t="shared" si="0"/>
        <v>0</v>
      </c>
      <c r="BC35" s="232"/>
      <c r="BD35" s="232"/>
    </row>
    <row r="36" spans="2:56" ht="15" customHeight="1">
      <c r="B36" s="84"/>
      <c r="C36" s="271"/>
      <c r="D36" s="409"/>
      <c r="E36" s="362"/>
      <c r="F36" s="413"/>
      <c r="G36" s="414"/>
      <c r="H36" s="414"/>
      <c r="I36" s="414"/>
      <c r="J36" s="414"/>
      <c r="K36" s="415"/>
      <c r="L36" s="416"/>
      <c r="M36" s="275"/>
      <c r="N36" s="412"/>
      <c r="O36" s="198"/>
      <c r="P36" s="93"/>
      <c r="Q36" s="202"/>
      <c r="R36" s="91"/>
      <c r="S36" s="92" t="str">
        <f>IF(R37="","",IF(Q37="",P37/R37,P37/(Q37*R37)))</f>
        <v/>
      </c>
      <c r="T36" s="200"/>
      <c r="U36" s="203" t="str">
        <f>IF(OR(BA36="",S36=""),"",S36*1000*T36/(SQRT(BA34)*BA36))</f>
        <v/>
      </c>
      <c r="V36" s="94" t="str">
        <f>IF(AND(N(U34)=0,N(U35)=0,N(U36)=0,N(U37)=0),"",V34*(P34*R34*T34+P35*R35*T35+P36*R36*T36+P37*R37*T37)/(P34*T34+P35*T35+P36*T36+P37*T37))</f>
        <v/>
      </c>
      <c r="W36" s="276" t="str">
        <f>IF(AND(N(AP36)=0,N(AP37)=0,N(AP35)=0),"",IF(AP37&gt;=0,COS(ATAN(AP37/AP36)),-COS(ATAN(AP37/AP36))))</f>
        <v/>
      </c>
      <c r="X36" s="95"/>
      <c r="Y36" s="204"/>
      <c r="Z36" s="96"/>
      <c r="AA36" s="97"/>
      <c r="AB36" s="98"/>
      <c r="AC36" s="204"/>
      <c r="AD36" s="96"/>
      <c r="AE36" s="99"/>
      <c r="AF36" s="236" t="str">
        <f>IF(OR(AF34="",AG30&lt;&gt;""),"",BA36/SQRT(AW36^2+AW37^2))</f>
        <v/>
      </c>
      <c r="AG36" s="274" t="str">
        <f>IF(AG34="","",100*((BA36/AQ35)-AG34)/(BA36/AQ35))</f>
        <v/>
      </c>
      <c r="AH36" s="275"/>
      <c r="AI36" s="261"/>
      <c r="AJ36" s="262"/>
      <c r="AK36" s="264"/>
      <c r="AL36" s="188"/>
      <c r="AM36" s="28"/>
      <c r="AN36" s="222" t="b">
        <f>IF(BA34="","",IF(AND(BA34=3,F36=50,L34="oil cooled type"),VLOOKUP(L36,変３,2,FALSE),IF(AND(BA34=3,F36=50,L34="(F)molded type"),VLOOKUP(L36,変３,7,FALSE),IF(AND(BA34=3,F36=60,L34="oil cooled type"),VLOOKUP(L36,変３,12,FALSE),IF(AND(BA34=3,F36=60,L34="(F)molded type"),VLOOKUP(L36,変３,17,FALSE),FALSE)))))</f>
        <v>0</v>
      </c>
      <c r="AO36" s="215" t="str">
        <f>IF(AND(L30="",N(AY34)&lt;10^29),AY34,"")</f>
        <v/>
      </c>
      <c r="AP36" s="223" t="str">
        <f>IF(V34="","",IF(AND(N(V36)=0,N(AP35)=0),"",AQ36/((AQ36*AP35)^2+(AP35*AQ37-1)^2)))</f>
        <v/>
      </c>
      <c r="AQ36" s="213">
        <f>IF(N(V36)=0,10^30,V36)</f>
        <v>1E+30</v>
      </c>
      <c r="AR36" s="215" t="str">
        <f>IF(AB34="","",IF(AB34="600V IV",VLOOKUP(AB36,ＩＶ,2,FALSE),IF(AB34="600V CV-T",VLOOKUP(AB36,ＣＶＴ,2,FALSE),IF(OR(AB34="600V CV-1C",AB34="600V CV-2C",AB34="600V CV-3C",AB34="600V CV-4C"),VLOOKUP(AB36,ＣＶ２３Ｃ,2,FALSE),VLOOKUP(AB36,ＣＵＳＥＲ,2,FALSE)))))</f>
        <v/>
      </c>
      <c r="AS36" s="213" t="str">
        <f>IF(OR(AND(AS38="",AS39=""),AND(D34="",D38&lt;&gt;"")),AS34,(AS34*(AT38^2+AT39^2)+AT38*(AS34^2+AS35^2))/((AS34+AT38)^2+(AS35+AT39)^2))</f>
        <v/>
      </c>
      <c r="AT36" s="216" t="str">
        <f>IF(X37="",AS36,N(AS36)+(X37/1000))</f>
        <v/>
      </c>
      <c r="AU36" s="216" t="str">
        <f>IF(AU34="","",(AT36*(AU34^2+AU35^2)+AU34*(AT36^2+AT37^2))/((AT36+AU34)^2+(AT37+AU35)^2))</f>
        <v/>
      </c>
      <c r="AV36" s="216">
        <f>IF(BA36=0,1,0)</f>
        <v>1</v>
      </c>
      <c r="AW36" s="217" t="str">
        <f>IF(AO36="","",AW34+AO36)</f>
        <v/>
      </c>
      <c r="AX36" s="218" t="str">
        <f>IF(AND(AX32="",AW36&lt;&gt;""),BA36*SQRT(AW34^2+AW35^2)/SQRT(AW36^2+AW37^2),IF(BA36&lt;&gt;0,AX32,""))</f>
        <v/>
      </c>
      <c r="AY36" s="224">
        <f>IF(L36="",10^30,SQRT(BA34)*(BA36^2)*(N(AN34)+N(AN36)+N(AO34)+N(AV34))/(100000*L36*M34))</f>
        <v>1E+30</v>
      </c>
      <c r="AZ36" s="225"/>
      <c r="BA36" s="220">
        <f>IF(AND(J34="",SUM(S34:S37)&lt;&gt;0),BA32,J34)</f>
        <v>0</v>
      </c>
      <c r="BB36" s="221">
        <f t="shared" si="0"/>
        <v>0</v>
      </c>
      <c r="BC36" s="232"/>
      <c r="BD36" s="232"/>
    </row>
    <row r="37" spans="2:56" ht="15" customHeight="1">
      <c r="B37" s="84"/>
      <c r="C37" s="271"/>
      <c r="D37" s="417"/>
      <c r="E37" s="418"/>
      <c r="F37" s="419"/>
      <c r="G37" s="270"/>
      <c r="H37" s="270"/>
      <c r="I37" s="270"/>
      <c r="J37" s="270"/>
      <c r="K37" s="268"/>
      <c r="L37" s="251" t="str">
        <f>IF(M34="","",L36*1000*M34/(SQRT(BA34)*BA36))</f>
        <v/>
      </c>
      <c r="M37" s="252"/>
      <c r="N37" s="277"/>
      <c r="O37" s="205"/>
      <c r="P37" s="106"/>
      <c r="Q37" s="206"/>
      <c r="R37" s="107"/>
      <c r="S37" s="108" t="str">
        <f>IF(R37="","",IF(Q37="",P37/R37,P37/(Q37*R37)))</f>
        <v/>
      </c>
      <c r="T37" s="207"/>
      <c r="U37" s="208" t="str">
        <f>IF(OR(BA36="",S37=""),"",S37*1000*T37/(SQRT(BA34)*BA36))</f>
        <v/>
      </c>
      <c r="V37" s="109" t="str">
        <f>IF(AND(N(U34)=0,N(U35)=0,N(U36)=0,N(U37)=0),"",IF(V34&gt;=0,SQRT(ABS(V34^2-V36^2)),-SQRT(V34^2-V36^2)))</f>
        <v/>
      </c>
      <c r="W37" s="277"/>
      <c r="X37" s="278" t="str">
        <f>IF(Y36="","",AQ34*Z36*AR34*((1+0.00393*(F37-20))/1.2751)/Y36)</f>
        <v/>
      </c>
      <c r="Y37" s="270"/>
      <c r="Z37" s="267" t="str">
        <f>IF(Y36="","",(BA37/50)*AQ34*Z36*AR35/Y36)</f>
        <v/>
      </c>
      <c r="AA37" s="252"/>
      <c r="AB37" s="279" t="str">
        <f>IF(AC36="","",AQ34*AD36*AR36*((1+0.00393*(F37-20))/1.2751)/AC36)</f>
        <v/>
      </c>
      <c r="AC37" s="270"/>
      <c r="AD37" s="267" t="str">
        <f>IF(AC36="","",(BA37/50)*AQ34*AD36*AR37/AC36)</f>
        <v/>
      </c>
      <c r="AE37" s="268"/>
      <c r="AF37" s="237" t="str">
        <f>IF(AND(AX34&lt;&gt;"",D34=""),AX34,"")</f>
        <v/>
      </c>
      <c r="AG37" s="269" t="str">
        <f>IF(AP36="","",AP36)</f>
        <v/>
      </c>
      <c r="AH37" s="270"/>
      <c r="AI37" s="238" t="str">
        <f>IF(AP37="","",AP37)</f>
        <v/>
      </c>
      <c r="AJ37" s="263"/>
      <c r="AK37" s="253"/>
      <c r="AL37" s="189"/>
      <c r="AM37" s="28"/>
      <c r="AN37" s="226" t="b">
        <f>IF(BA34="","",IF(AND(BA34=3,F36=50,L34="oil cooled type"),VLOOKUP(L36,変３,3,FALSE),IF(AND(BA34=3,F36=50,L34="(F)molded type"),VLOOKUP(L36,変３,8,FALSE),IF(AND(BA34=3,F36=60,L34="oil cooled type"),VLOOKUP(L36,変３,13,FALSE),IF(AND(BA34=3,F36=60,L34="(F)molded type"),VLOOKUP(L36,変３,18,FALSE),FALSE)))))</f>
        <v>0</v>
      </c>
      <c r="AO37" s="226" t="str">
        <f>IF(AND(L30="",N(AY35)&lt;10^29),AY35,"")</f>
        <v/>
      </c>
      <c r="AP37" s="227" t="str">
        <f>IF(V34="","",IF(AND(N(V37)=0,N(AP35)=0),0,(AQ37-AP35*(AQ36^2+AQ37^2))/((AQ36*AP35)^2+(AP35*AQ37-1)^2)))</f>
        <v/>
      </c>
      <c r="AQ37" s="228">
        <f>IF(N(V37)=0,10^30,V37)</f>
        <v>1E+30</v>
      </c>
      <c r="AR37" s="226" t="str">
        <f>IF(AB34="","",IF(AB34="600V IV",VLOOKUP(AB36,ＩＶ,3,FALSE),IF(AB34="600V CV-T",VLOOKUP(AB36,ＣＶＴ,3,FALSE),IF(OR(AB34="600V CV-1C",AB34="600V CV-2C",AB34="600V CV-3C",AB34="600V CV-4C"),VLOOKUP(AB36,ＣＶ２３Ｃ,3,FALSE),VLOOKUP(AB36,ＣＵＳＥＲ,3,FALSE)))))</f>
        <v/>
      </c>
      <c r="AS37" s="228" t="str">
        <f>IF(OR(AND(AS38="",AS39=""),AND(D34="",D38&lt;&gt;"")),AS35,(AS35*(AT38^2+AT39^2)+AT39*(AS34^2+AS35^2))/((AS34+AT38)^2+(AS35+AT39)^2))</f>
        <v/>
      </c>
      <c r="AT37" s="229" t="str">
        <f>IF(Z37="",AS37,N(AS37)+(Z37/1000))</f>
        <v/>
      </c>
      <c r="AU37" s="229" t="str">
        <f>IF(AU35="","",(AT37*(AU34^2+AU35^2)+AU35*(AT36^2+AT37^2))/((AT36+AU34)^2+(AT37+AU35)^2))</f>
        <v/>
      </c>
      <c r="AV37" s="229">
        <f>AV33+AV36</f>
        <v>5</v>
      </c>
      <c r="AW37" s="228" t="str">
        <f>IF(AO37="","",AW35+AO37)</f>
        <v/>
      </c>
      <c r="AX37" s="230"/>
      <c r="AY37" s="224">
        <f>IF(L36="",10^30,SQRT(BA34)*(BA36^2)*(N(AN35)+N(AN37)+N(AO35)+N(AV35))/(100000*L36*M34))</f>
        <v>1E+30</v>
      </c>
      <c r="AZ37" s="225"/>
      <c r="BA37" s="220">
        <f>IF(AND(F36="",SUM(S34:S37)&lt;&gt;0),BA33,F36)</f>
        <v>0</v>
      </c>
      <c r="BB37" s="221">
        <f t="shared" si="0"/>
        <v>0</v>
      </c>
      <c r="BC37" s="232"/>
      <c r="BD37" s="232"/>
    </row>
    <row r="38" spans="2:56" ht="15" customHeight="1">
      <c r="B38" s="84"/>
      <c r="C38" s="271" t="str">
        <f>IF(BC38=1,"●","・")</f>
        <v>・</v>
      </c>
      <c r="D38" s="402"/>
      <c r="E38" s="403"/>
      <c r="F38" s="404"/>
      <c r="G38" s="265" t="str">
        <f>IF(F38="","","φ")</f>
        <v/>
      </c>
      <c r="H38" s="405"/>
      <c r="I38" s="265" t="str">
        <f>IF(H38="","","W")</f>
        <v/>
      </c>
      <c r="J38" s="405"/>
      <c r="K38" s="272" t="str">
        <f>IF(J38="","","V")</f>
        <v/>
      </c>
      <c r="L38" s="406"/>
      <c r="M38" s="407"/>
      <c r="N38" s="408"/>
      <c r="O38" s="193"/>
      <c r="P38" s="86"/>
      <c r="Q38" s="194"/>
      <c r="R38" s="87"/>
      <c r="S38" s="88" t="str">
        <f>IF(R38="","",IF(Q38="",P38/R38,P38/(Q38*R38)))</f>
        <v/>
      </c>
      <c r="T38" s="195"/>
      <c r="U38" s="196" t="str">
        <f>IF(OR(BA40="",S38=""),"",S38*1000*T38/(SQRT(BA38)*BA40))</f>
        <v/>
      </c>
      <c r="V38" s="254" t="str">
        <f>IF(AND(N(U38)=0,N(U39)=0,N(U40)=0,N(U41)=0),"",BA40/(SUM(U38:U41)))</f>
        <v/>
      </c>
      <c r="W38" s="280"/>
      <c r="X38" s="281"/>
      <c r="Y38" s="242"/>
      <c r="Z38" s="243"/>
      <c r="AA38" s="239"/>
      <c r="AB38" s="241"/>
      <c r="AC38" s="242"/>
      <c r="AD38" s="243"/>
      <c r="AE38" s="247"/>
      <c r="AF38" s="233" t="str">
        <f>IF(OR(AND(AF34="",N(BA36)=0,BA40&lt;&gt;0),D38&lt;&gt;""),AX40/AQ39,"")</f>
        <v/>
      </c>
      <c r="AG38" s="249" t="str">
        <f>IF(BA40=0,"",IF(AD40="",AX38,IF(AND(D38&lt;&gt;"",AU38=""),AX40*SQRT(AP40^2+AP41^2)/SQRT(AS38^2+AS39^2)/AQ39,AX38*SQRT(AP40^2+AP41^2)/SQRT(AS38^2+AS39^2))))</f>
        <v/>
      </c>
      <c r="AH38" s="250"/>
      <c r="AI38" s="234" t="str">
        <f>IF(AG38="","",IF(N(U38)&lt;0,-AX38*AQ39/SQRT(AS38^2+AS39^2),AX38*AQ39/SQRT(AS38^2+AS39^2)))</f>
        <v/>
      </c>
      <c r="AJ38" s="256"/>
      <c r="AK38" s="257"/>
      <c r="AL38" s="186"/>
      <c r="AM38" s="28"/>
      <c r="AN38" s="213" t="b">
        <f>IF(BA38="","",IF(AND(BA38=1,F40=50,L38="oil cooled type"),VLOOKUP(L40,変１,2,FALSE),IF(AND(BA38=1,F40=50,L38="(F)molded type"),VLOOKUP(L40,変１,7,FALSE),IF(AND(BA38=1,F40=60,L38="oil cooled type"),VLOOKUP(L40,変１,12,FALSE),IF(AND(BA38=1,F40=60,L38="(F)molded type"),VLOOKUP(L40,変１,17,FALSE),FALSE)))))</f>
        <v>0</v>
      </c>
      <c r="AO38" s="213">
        <f>IF(ISNA(VLOOKUP(L40,変ＵＳＥＲ,2,FALSE)),0,VLOOKUP(L40,変ＵＳＥＲ,2,FALSE))</f>
        <v>0</v>
      </c>
      <c r="AP38" s="214">
        <f>IF(N38="",0,N38*1000/BA40^2/SQRT(BA38))</f>
        <v>0</v>
      </c>
      <c r="AQ38" s="213" t="b">
        <f>IF(BA38=1,2,IF(BA38=3,SQRT(3),FALSE))</f>
        <v>0</v>
      </c>
      <c r="AR38" s="215" t="str">
        <f>IF(X38="","",IF(X38="600V IV",VLOOKUP(X40,ＩＶ,2,FALSE),IF(X38="600V CV-T",VLOOKUP(X40,ＣＶＴ,2,FALSE),IF(OR(X38="600V CV-1C",X38="600V CV-2C",X38="600V CV-3C",X38="600V CV-4C"),VLOOKUP(X40,ＣＶ２３Ｃ,2,FALSE),VLOOKUP(X40,ＣＵＳＥＲ,2,FALSE)))))</f>
        <v/>
      </c>
      <c r="AS38" s="213" t="str">
        <f>IF(AB41="",AP40,AP40+(AB41/1000))</f>
        <v/>
      </c>
      <c r="AT38" s="216" t="str">
        <f>IF(AU40="",AT40,AU40)</f>
        <v/>
      </c>
      <c r="AU38" s="216" t="str">
        <f>IF(D38="","",IF(AND(D42="",D46&lt;&gt;"",AV41=AV49),AT46,IF(AND(D42="",D46="",D306&lt;&gt;"",AV45=AV309),AT306,IF(AND(D42="",D46="",D306="",D310&lt;&gt;"",AV49=AV313),AT310,IF(AND(D42="",D46="",D306="",D310="",D314&lt;&gt;"",AV309=AV317),AT314,IF(AND(D42="",D46="",D306="",D310="",D314="",D318&lt;&gt;"",AV313=AV321),AT318,IF(AND(D42="",D46="",D306="",D310="",D314="",D318="",#REF!&lt;&gt;"",AV317=#REF!),#REF!,"")))))))</f>
        <v/>
      </c>
      <c r="AV38" s="216" t="str">
        <f>IF(L38="ACG",IF(ISNA(VLOOKUP(L40,ＡＣＧ,2,FALSE)),0,VLOOKUP(L40,ＡＣＧ,2,FALSE)),"")</f>
        <v/>
      </c>
      <c r="AW38" s="217" t="str">
        <f>IF(AT38="","",AT38/((AT38*AP38)^2+(AT39*AP38-1)^2))</f>
        <v/>
      </c>
      <c r="AX38" s="218" t="str">
        <f>IF(BA40=0,"",IF(OR(AX34="",AF38&lt;&gt;""),AF38*SQRT(AS40^2+AS41^2)/SQRT(AT40^2+AT41^2),AX34*SQRT(AS40^2+AS41^2)/SQRT(AT40^2+AT41^2)))</f>
        <v/>
      </c>
      <c r="AY38" s="219">
        <f>IF(N(AY40)=10^30,10^30,IF(N(AY44)=10^30,(N(AY40)*(N(AY44)^2+N(AY45)^2)+N(AY44)*(N(AY40)^2+N(AY41)^2))/((N(AY40)+N(AY44))^2+(N(AY41)+N(AY45))^2),(N(AY40)*(N(AY42)^2+N(AY43)^2)+N(AY42)*(N(AY40)^2+N(AY41)^2))/((N(AY40)+N(AY42))^2+(N(AY41)+N(AY43))^2)))</f>
        <v>1E+30</v>
      </c>
      <c r="AZ38" s="23"/>
      <c r="BA38" s="220">
        <f>IF(AND(F38="",SUM(S38:S41)&lt;&gt;0),BA34,F38)</f>
        <v>0</v>
      </c>
      <c r="BB38" s="221">
        <f t="shared" si="0"/>
        <v>0</v>
      </c>
      <c r="BC38" s="232">
        <f>IF(OR(E38="",F41="",AND(OR(P38="",Q38="",R38="",T38=""),OR(P39="",Q39="",R39="",T39=""),OR(P40="",Q40="",R40="",T40=""),OR(P41="",Q41="",R41="",T41="")),AND(OR(X38="",X40="",Y40="",Z40=""),OR(AB38="",AB40="",AC40="",AD40=""))),0,1)</f>
        <v>0</v>
      </c>
      <c r="BD38" s="232">
        <f>BC38+BD34</f>
        <v>0</v>
      </c>
    </row>
    <row r="39" spans="2:56" ht="15" customHeight="1">
      <c r="B39" s="84"/>
      <c r="C39" s="271"/>
      <c r="D39" s="409"/>
      <c r="E39" s="362"/>
      <c r="F39" s="410"/>
      <c r="G39" s="266"/>
      <c r="H39" s="266"/>
      <c r="I39" s="266"/>
      <c r="J39" s="266"/>
      <c r="K39" s="273"/>
      <c r="L39" s="411"/>
      <c r="M39" s="197" t="str">
        <f>IF(L38="ACG",SQRT(AV38^2+AV39^2),IF(L40="","",IF(OR(L38="oil cooled type",L38="(F)molded type"),IF(BA38=1,SQRT(AN38^2+AN39^2),IF(BA38=3,SQRT(AN40^2+AN41^2))),SQRT(AO38^2+AO39^2))))</f>
        <v/>
      </c>
      <c r="N39" s="412"/>
      <c r="O39" s="198"/>
      <c r="P39" s="90"/>
      <c r="Q39" s="199"/>
      <c r="R39" s="91"/>
      <c r="S39" s="92" t="str">
        <f>IF(R40="","",IF(Q40="",P40/R40,P40/(Q40*R40)))</f>
        <v/>
      </c>
      <c r="T39" s="200"/>
      <c r="U39" s="201" t="str">
        <f>IF(OR(BA40="",S39=""),"",S39*1000*T39/(SQRT(BA38)*BA40))</f>
        <v/>
      </c>
      <c r="V39" s="255"/>
      <c r="W39" s="248"/>
      <c r="X39" s="258"/>
      <c r="Y39" s="245"/>
      <c r="Z39" s="246"/>
      <c r="AA39" s="240"/>
      <c r="AB39" s="244"/>
      <c r="AC39" s="245"/>
      <c r="AD39" s="246"/>
      <c r="AE39" s="248"/>
      <c r="AF39" s="235" t="str">
        <f>IF(OR(AF38="",AG34&lt;&gt;""),"",AF38*AQ39/SQRT(AT38^2+AT39^2))</f>
        <v/>
      </c>
      <c r="AG39" s="274" t="str">
        <f>IF(AG38="","",100*AG38*AQ39/BA40)</f>
        <v/>
      </c>
      <c r="AH39" s="275"/>
      <c r="AI39" s="260" t="str">
        <f>IF(BA40=0,"",IF(AI34="",AX40/SQRT(AT38^2+AT39^2),IF(AI42="","",IF(AT38&lt;0,-AX38*AQ35/SQRT(AT38^2+AT39^2),AX38*AQ35/SQRT(AT38^2+AT39^2)))))</f>
        <v/>
      </c>
      <c r="AJ39" s="258"/>
      <c r="AK39" s="259"/>
      <c r="AL39" s="187"/>
      <c r="AM39" s="28"/>
      <c r="AN39" s="213" t="b">
        <f>IF(BA38="","",IF(AND(BA38=1,F40=50,L38="oil cooled type"),VLOOKUP(L40,変１,3,FALSE),IF(AND(BA38=1,F40=50,L38="(F)molded type"),VLOOKUP(L40,変１,8,FALSE),IF(AND(BA38=1,F40=60,L38="oil cooled type"),VLOOKUP(L40,変１,13,FALSE),IF(AND(BA38=1,F40=60,L38="(F)molded type"),VLOOKUP(L40,変１,18,FALSE),FALSE)))))</f>
        <v>0</v>
      </c>
      <c r="AO39" s="213">
        <f>IF(ISNA(VLOOKUP(L40,変ＵＳＥＲ,3,FALSE)),0,VLOOKUP(L40,変ＵＳＥＲ,3,FALSE)*BA41/50)</f>
        <v>0</v>
      </c>
      <c r="AP39" s="214">
        <f>IF(W38="",0,W38*1000/BA40^2/SQRT(BA38))</f>
        <v>0</v>
      </c>
      <c r="AQ39" s="213">
        <f>IF(AND(BA38=1,BA39=2),1,IF(AND(BA38=3,BA39=3),1,IF(AND(BA38=1,BA39=3),2,IF(AND(BA38=3,BA39=4)*OR(BB38=1,BB39=1,BB40=1,BB41=1),1,SQRT(3)))))</f>
        <v>1.7320508075688772</v>
      </c>
      <c r="AR39" s="215" t="str">
        <f>IF(X38="","",IF(X38="600V IV",VLOOKUP(X40,ＩＶ,3,FALSE),IF(X38="600V CV-T",VLOOKUP(X40,ＣＶＴ,3,FALSE),IF(OR(X38="600V CV-1C",X38="600V CV-2C",X38="600V CV-3C",X38="600V CV-4C"),VLOOKUP(X40,ＣＶ２３Ｃ,3,FALSE),VLOOKUP(X40,ＣＵＳＥＲ,3,FALSE)))))</f>
        <v/>
      </c>
      <c r="AS39" s="213" t="str">
        <f>IF(AD41="",AP41,AP41+(AD41/1000))</f>
        <v/>
      </c>
      <c r="AT39" s="216" t="str">
        <f>IF(AU41="",AT41,AU41)</f>
        <v/>
      </c>
      <c r="AU39" s="216" t="str">
        <f>IF(D38="","",IF(AND(D42="",D46&lt;&gt;"",AV41=AV49),AT47,IF(AND(D42="",D46="",D306&lt;&gt;"",AV45=AV309),AT307,IF(AND(D42="",D46="",D306="",D310&lt;&gt;"",AV49=AV313),AT311,IF(AND(D42="",D46="",D306="",D310="",D314&lt;&gt;"",AV309=AV317),AT315,IF(AND(D42="",D46="",D306="",D310="",D314="",D318&lt;&gt;"",AV313=AV321),AT319,IF(AND(D42="",D46="",D306="",D310="",D314="",D318="",#REF!&lt;&gt;"",AV317=#REF!),#REF!,"")))))))</f>
        <v/>
      </c>
      <c r="AV39" s="215" t="str">
        <f>IF(L38="ACG",IF(ISNA(VLOOKUP(L40,ＡＣＧ,3,FALSE)),0,VLOOKUP(L40,ＡＣＧ,3,FALSE)*BA41/50),"")</f>
        <v/>
      </c>
      <c r="AW39" s="217" t="str">
        <f>IF(AT39="","",(AT39-AP38*(AT38^2+AT39^2))/((AT38*AP38)^2+(AP38*AT39-1)^2))</f>
        <v/>
      </c>
      <c r="AX39" s="218"/>
      <c r="AY39" s="219">
        <f>IF(N(AY41)=10^30,10^30,IF(N(AY45)=10^30,(N(AY41)*(N(AY44)^2+N(AY45)^2)+N(AY45)*(N(AY40)^2+N(AY41)^2))/((N(AY40)+N(AY44))^2+(N(AY41)+N(AY45))^2),(N(AY41)*(N(AY42)^2+N(AY43)^2)+N(AY43)*(N(AY40)^2+N(AY41)^2))/((N(AY40)+N(AY42))^2+(N(AY41)+N(AY43))^2)))</f>
        <v>1E+30</v>
      </c>
      <c r="AZ39" s="23"/>
      <c r="BA39" s="220">
        <f>IF(AND(H38="",SUM(S38:S41)&lt;&gt;0),BA35,H38)</f>
        <v>0</v>
      </c>
      <c r="BB39" s="221">
        <f t="shared" si="0"/>
        <v>0</v>
      </c>
      <c r="BC39" s="232"/>
      <c r="BD39" s="232"/>
    </row>
    <row r="40" spans="2:56" ht="15" customHeight="1">
      <c r="B40" s="84"/>
      <c r="C40" s="271"/>
      <c r="D40" s="409"/>
      <c r="E40" s="362"/>
      <c r="F40" s="413"/>
      <c r="G40" s="414"/>
      <c r="H40" s="414"/>
      <c r="I40" s="414"/>
      <c r="J40" s="414"/>
      <c r="K40" s="415"/>
      <c r="L40" s="416"/>
      <c r="M40" s="275"/>
      <c r="N40" s="412"/>
      <c r="O40" s="198"/>
      <c r="P40" s="93"/>
      <c r="Q40" s="202"/>
      <c r="R40" s="91"/>
      <c r="S40" s="92" t="str">
        <f>IF(R41="","",IF(Q41="",P41/R41,P41/(Q41*R41)))</f>
        <v/>
      </c>
      <c r="T40" s="200"/>
      <c r="U40" s="203" t="str">
        <f>IF(OR(BA40="",S40=""),"",S40*1000*T40/(SQRT(BA38)*BA40))</f>
        <v/>
      </c>
      <c r="V40" s="94" t="str">
        <f>IF(AND(N(U38)=0,N(U39)=0,N(U40)=0,N(U41)=0),"",V38*(P38*R38*T38+P39*R39*T39+P40*R40*T40+P41*R41*T41)/(P38*T38+P39*T39+P40*T40+P41*T41))</f>
        <v/>
      </c>
      <c r="W40" s="276" t="str">
        <f>IF(AND(N(AP40)=0,N(AP41)=0,N(AP39)=0),"",IF(AP41&gt;=0,COS(ATAN(AP41/AP40)),-COS(ATAN(AP41/AP40))))</f>
        <v/>
      </c>
      <c r="X40" s="95"/>
      <c r="Y40" s="204"/>
      <c r="Z40" s="96"/>
      <c r="AA40" s="97"/>
      <c r="AB40" s="98"/>
      <c r="AC40" s="204"/>
      <c r="AD40" s="96"/>
      <c r="AE40" s="99"/>
      <c r="AF40" s="236" t="str">
        <f>IF(OR(AF38="",AG34&lt;&gt;""),"",BA40/SQRT(AW40^2+AW41^2))</f>
        <v/>
      </c>
      <c r="AG40" s="274" t="str">
        <f>IF(AG38="","",100*((BA40/AQ39)-AG38)/(BA40/AQ39))</f>
        <v/>
      </c>
      <c r="AH40" s="275"/>
      <c r="AI40" s="261"/>
      <c r="AJ40" s="262"/>
      <c r="AK40" s="264"/>
      <c r="AL40" s="188"/>
      <c r="AM40" s="28"/>
      <c r="AN40" s="222" t="b">
        <f>IF(BA38="","",IF(AND(BA38=3,F40=50,L38="oil cooled type"),VLOOKUP(L40,変３,2,FALSE),IF(AND(BA38=3,F40=50,L38="(F)molded type"),VLOOKUP(L40,変３,7,FALSE),IF(AND(BA38=3,F40=60,L38="oil cooled type"),VLOOKUP(L40,変３,12,FALSE),IF(AND(BA38=3,F40=60,L38="(F)molded type"),VLOOKUP(L40,変３,17,FALSE),FALSE)))))</f>
        <v>0</v>
      </c>
      <c r="AO40" s="215" t="str">
        <f>IF(AND(L34="",N(AY38)&lt;10^29),AY38,"")</f>
        <v/>
      </c>
      <c r="AP40" s="223" t="str">
        <f>IF(V38="","",IF(AND(N(V40)=0,N(AP39)=0),"",AQ40/((AQ40*AP39)^2+(AP39*AQ41-1)^2)))</f>
        <v/>
      </c>
      <c r="AQ40" s="213">
        <f>IF(N(V40)=0,10^30,V40)</f>
        <v>1E+30</v>
      </c>
      <c r="AR40" s="215" t="str">
        <f>IF(AB38="","",IF(AB38="600V IV",VLOOKUP(AB40,ＩＶ,2,FALSE),IF(AB38="600V CV-T",VLOOKUP(AB40,ＣＶＴ,2,FALSE),IF(OR(AB38="600V CV-1C",AB38="600V CV-2C",AB38="600V CV-3C",AB38="600V CV-4C"),VLOOKUP(AB40,ＣＶ２３Ｃ,2,FALSE),VLOOKUP(AB40,ＣＵＳＥＲ,2,FALSE)))))</f>
        <v/>
      </c>
      <c r="AS40" s="213" t="str">
        <f>IF(OR(AND(AS42="",AS43=""),AND(D38="",D42&lt;&gt;"")),AS38,(AS38*(AT42^2+AT43^2)+AT42*(AS38^2+AS39^2))/((AS38+AT42)^2+(AS39+AT43)^2))</f>
        <v/>
      </c>
      <c r="AT40" s="216" t="str">
        <f>IF(X41="",AS40,N(AS40)+(X41/1000))</f>
        <v/>
      </c>
      <c r="AU40" s="216" t="str">
        <f>IF(AU38="","",(AT40*(AU38^2+AU39^2)+AU38*(AT40^2+AT41^2))/((AT40+AU38)^2+(AT41+AU39)^2))</f>
        <v/>
      </c>
      <c r="AV40" s="216">
        <f>IF(BA40=0,1,0)</f>
        <v>1</v>
      </c>
      <c r="AW40" s="217" t="str">
        <f>IF(AO40="","",AW38+AO40)</f>
        <v/>
      </c>
      <c r="AX40" s="218" t="str">
        <f>IF(AND(AX36="",AW40&lt;&gt;""),BA40*SQRT(AW38^2+AW39^2)/SQRT(AW40^2+AW41^2),IF(BA40&lt;&gt;0,AX36,""))</f>
        <v/>
      </c>
      <c r="AY40" s="224">
        <f>IF(L40="",10^30,SQRT(BA38)*(BA40^2)*(N(AN38)+N(AN40)+N(AO38)+N(AV38))/(100000*L40*M38))</f>
        <v>1E+30</v>
      </c>
      <c r="AZ40" s="225"/>
      <c r="BA40" s="220">
        <f>IF(AND(J38="",SUM(S38:S41)&lt;&gt;0),BA36,J38)</f>
        <v>0</v>
      </c>
      <c r="BB40" s="221">
        <f t="shared" si="0"/>
        <v>0</v>
      </c>
      <c r="BC40" s="232"/>
      <c r="BD40" s="232"/>
    </row>
    <row r="41" spans="2:56" ht="15" customHeight="1">
      <c r="B41" s="84"/>
      <c r="C41" s="271"/>
      <c r="D41" s="417"/>
      <c r="E41" s="418"/>
      <c r="F41" s="419"/>
      <c r="G41" s="270"/>
      <c r="H41" s="270"/>
      <c r="I41" s="270"/>
      <c r="J41" s="270"/>
      <c r="K41" s="268"/>
      <c r="L41" s="251" t="str">
        <f>IF(M38="","",L40*1000*M38/(SQRT(BA38)*BA40))</f>
        <v/>
      </c>
      <c r="M41" s="252"/>
      <c r="N41" s="277"/>
      <c r="O41" s="205"/>
      <c r="P41" s="106"/>
      <c r="Q41" s="206"/>
      <c r="R41" s="107"/>
      <c r="S41" s="108" t="str">
        <f>IF(R41="","",IF(Q41="",P41/R41,P41/(Q41*R41)))</f>
        <v/>
      </c>
      <c r="T41" s="207"/>
      <c r="U41" s="208" t="str">
        <f>IF(OR(BA40="",S41=""),"",S41*1000*T41/(SQRT(BA38)*BA40))</f>
        <v/>
      </c>
      <c r="V41" s="109" t="str">
        <f>IF(AND(N(U38)=0,N(U39)=0,N(U40)=0,N(U41)=0),"",IF(V38&gt;=0,SQRT(ABS(V38^2-V40^2)),-SQRT(V38^2-V40^2)))</f>
        <v/>
      </c>
      <c r="W41" s="277"/>
      <c r="X41" s="278" t="str">
        <f>IF(Y40="","",AQ38*Z40*AR38*((1+0.00393*(F41-20))/1.2751)/Y40)</f>
        <v/>
      </c>
      <c r="Y41" s="270"/>
      <c r="Z41" s="267" t="str">
        <f>IF(Y40="","",(BA41/50)*AQ38*Z40*AR39/Y40)</f>
        <v/>
      </c>
      <c r="AA41" s="252"/>
      <c r="AB41" s="279" t="str">
        <f>IF(AC40="","",AQ38*AD40*AR40*((1+0.00393*(F41-20))/1.2751)/AC40)</f>
        <v/>
      </c>
      <c r="AC41" s="270"/>
      <c r="AD41" s="267" t="str">
        <f>IF(AC40="","",(BA41/50)*AQ38*AD40*AR41/AC40)</f>
        <v/>
      </c>
      <c r="AE41" s="268"/>
      <c r="AF41" s="237" t="str">
        <f>IF(AND(AX38&lt;&gt;"",D38=""),AX38,"")</f>
        <v/>
      </c>
      <c r="AG41" s="269" t="str">
        <f>IF(AP40="","",AP40)</f>
        <v/>
      </c>
      <c r="AH41" s="270"/>
      <c r="AI41" s="238" t="str">
        <f>IF(AP41="","",AP41)</f>
        <v/>
      </c>
      <c r="AJ41" s="263"/>
      <c r="AK41" s="253"/>
      <c r="AL41" s="189"/>
      <c r="AM41" s="28"/>
      <c r="AN41" s="226" t="b">
        <f>IF(BA38="","",IF(AND(BA38=3,F40=50,L38="oil cooled type"),VLOOKUP(L40,変３,3,FALSE),IF(AND(BA38=3,F40=50,L38="(F)molded type"),VLOOKUP(L40,変３,8,FALSE),IF(AND(BA38=3,F40=60,L38="oil cooled type"),VLOOKUP(L40,変３,13,FALSE),IF(AND(BA38=3,F40=60,L38="(F)molded type"),VLOOKUP(L40,変３,18,FALSE),FALSE)))))</f>
        <v>0</v>
      </c>
      <c r="AO41" s="226" t="str">
        <f>IF(AND(L34="",N(AY39)&lt;10^29),AY39,"")</f>
        <v/>
      </c>
      <c r="AP41" s="227" t="str">
        <f>IF(V38="","",IF(AND(N(V41)=0,N(AP39)=0),0,(AQ41-AP39*(AQ40^2+AQ41^2))/((AQ40*AP39)^2+(AP39*AQ41-1)^2)))</f>
        <v/>
      </c>
      <c r="AQ41" s="228">
        <f>IF(N(V41)=0,10^30,V41)</f>
        <v>1E+30</v>
      </c>
      <c r="AR41" s="226" t="str">
        <f>IF(AB38="","",IF(AB38="600V IV",VLOOKUP(AB40,ＩＶ,3,FALSE),IF(AB38="600V CV-T",VLOOKUP(AB40,ＣＶＴ,3,FALSE),IF(OR(AB38="600V CV-1C",AB38="600V CV-2C",AB38="600V CV-3C",AB38="600V CV-4C"),VLOOKUP(AB40,ＣＶ２３Ｃ,3,FALSE),VLOOKUP(AB40,ＣＵＳＥＲ,3,FALSE)))))</f>
        <v/>
      </c>
      <c r="AS41" s="228" t="str">
        <f>IF(OR(AND(AS42="",AS43=""),AND(D38="",D42&lt;&gt;"")),AS39,(AS39*(AT42^2+AT43^2)+AT43*(AS38^2+AS39^2))/((AS38+AT42)^2+(AS39+AT43)^2))</f>
        <v/>
      </c>
      <c r="AT41" s="229" t="str">
        <f>IF(Z41="",AS41,N(AS41)+(Z41/1000))</f>
        <v/>
      </c>
      <c r="AU41" s="229" t="str">
        <f>IF(AU39="","",(AT41*(AU38^2+AU39^2)+AU39*(AT40^2+AT41^2))/((AT40+AU38)^2+(AT41+AU39)^2))</f>
        <v/>
      </c>
      <c r="AV41" s="229">
        <f>AV37+AV40</f>
        <v>6</v>
      </c>
      <c r="AW41" s="228" t="str">
        <f>IF(AO41="","",AW39+AO41)</f>
        <v/>
      </c>
      <c r="AX41" s="230"/>
      <c r="AY41" s="224">
        <f>IF(L40="",10^30,SQRT(BA38)*(BA40^2)*(N(AN39)+N(AN41)+N(AO39)+N(AV39))/(100000*L40*M38))</f>
        <v>1E+30</v>
      </c>
      <c r="AZ41" s="225"/>
      <c r="BA41" s="220">
        <f>IF(AND(F40="",SUM(S38:S41)&lt;&gt;0),BA37,F40)</f>
        <v>0</v>
      </c>
      <c r="BB41" s="221">
        <f t="shared" si="0"/>
        <v>0</v>
      </c>
      <c r="BC41" s="232"/>
      <c r="BD41" s="232"/>
    </row>
    <row r="42" spans="2:56" ht="15" customHeight="1">
      <c r="B42" s="84"/>
      <c r="C42" s="271" t="str">
        <f>IF(BC42=1,"●","・")</f>
        <v>・</v>
      </c>
      <c r="D42" s="402"/>
      <c r="E42" s="403"/>
      <c r="F42" s="404"/>
      <c r="G42" s="265" t="str">
        <f>IF(F42="","","φ")</f>
        <v/>
      </c>
      <c r="H42" s="405"/>
      <c r="I42" s="265" t="str">
        <f>IF(H42="","","W")</f>
        <v/>
      </c>
      <c r="J42" s="405"/>
      <c r="K42" s="272" t="str">
        <f>IF(J42="","","V")</f>
        <v/>
      </c>
      <c r="L42" s="406"/>
      <c r="M42" s="407"/>
      <c r="N42" s="408"/>
      <c r="O42" s="193"/>
      <c r="P42" s="86"/>
      <c r="Q42" s="194"/>
      <c r="R42" s="87"/>
      <c r="S42" s="88" t="str">
        <f>IF(R42="","",IF(Q42="",P42/R42,P42/(Q42*R42)))</f>
        <v/>
      </c>
      <c r="T42" s="195"/>
      <c r="U42" s="196" t="str">
        <f>IF(OR(BA44="",S42=""),"",S42*1000*T42/(SQRT(BA42)*BA44))</f>
        <v/>
      </c>
      <c r="V42" s="254" t="str">
        <f>IF(AND(N(U42)=0,N(U43)=0,N(U44)=0,N(U45)=0),"",BA44/(SUM(U42:U45)))</f>
        <v/>
      </c>
      <c r="W42" s="280"/>
      <c r="X42" s="281"/>
      <c r="Y42" s="242"/>
      <c r="Z42" s="243"/>
      <c r="AA42" s="239"/>
      <c r="AB42" s="241"/>
      <c r="AC42" s="242"/>
      <c r="AD42" s="243"/>
      <c r="AE42" s="247"/>
      <c r="AF42" s="233" t="str">
        <f>IF(OR(AND(AF38="",N(BA40)=0,BA44&lt;&gt;0),D42&lt;&gt;""),AX44/AQ43,"")</f>
        <v/>
      </c>
      <c r="AG42" s="249" t="str">
        <f>IF(BA44=0,"",IF(AD44="",AX42,IF(AND(D42&lt;&gt;"",AU42=""),AX44*SQRT(AP44^2+AP45^2)/SQRT(AS42^2+AS43^2)/AQ43,AX42*SQRT(AP44^2+AP45^2)/SQRT(AS42^2+AS43^2))))</f>
        <v/>
      </c>
      <c r="AH42" s="250"/>
      <c r="AI42" s="234" t="str">
        <f>IF(AG42="","",IF(N(U42)&lt;0,-AX42*AQ43/SQRT(AS42^2+AS43^2),AX42*AQ43/SQRT(AS42^2+AS43^2)))</f>
        <v/>
      </c>
      <c r="AJ42" s="256"/>
      <c r="AK42" s="257"/>
      <c r="AL42" s="186"/>
      <c r="AM42" s="28"/>
      <c r="AN42" s="213" t="b">
        <f>IF(BA42="","",IF(AND(BA42=1,F44=50,L42="oil cooled type"),VLOOKUP(L44,変１,2,FALSE),IF(AND(BA42=1,F44=50,L42="(F)molded type"),VLOOKUP(L44,変１,7,FALSE),IF(AND(BA42=1,F44=60,L42="oil cooled type"),VLOOKUP(L44,変１,12,FALSE),IF(AND(BA42=1,F44=60,L42="(F)molded type"),VLOOKUP(L44,変１,17,FALSE),FALSE)))))</f>
        <v>0</v>
      </c>
      <c r="AO42" s="213">
        <f>IF(ISNA(VLOOKUP(L44,変ＵＳＥＲ,2,FALSE)),0,VLOOKUP(L44,変ＵＳＥＲ,2,FALSE))</f>
        <v>0</v>
      </c>
      <c r="AP42" s="214">
        <f>IF(N42="",0,N42*1000/BA44^2/SQRT(BA42))</f>
        <v>0</v>
      </c>
      <c r="AQ42" s="213" t="b">
        <f>IF(BA42=1,2,IF(BA42=3,SQRT(3),FALSE))</f>
        <v>0</v>
      </c>
      <c r="AR42" s="215" t="str">
        <f>IF(X42="","",IF(X42="600V IV",VLOOKUP(X44,ＩＶ,2,FALSE),IF(X42="600V CV-T",VLOOKUP(X44,ＣＶＴ,2,FALSE),IF(OR(X42="600V CV-1C",X42="600V CV-2C",X42="600V CV-3C",X42="600V CV-4C"),VLOOKUP(X44,ＣＶ２３Ｃ,2,FALSE),VLOOKUP(X44,ＣＵＳＥＲ,2,FALSE)))))</f>
        <v/>
      </c>
      <c r="AS42" s="213" t="str">
        <f>IF(AB45="",AP44,AP44+(AB45/1000))</f>
        <v/>
      </c>
      <c r="AT42" s="216" t="str">
        <f>IF(AU44="",AT44,AU44)</f>
        <v/>
      </c>
      <c r="AU42" s="216" t="str">
        <f>IF(D42="","",IF(AND(D46="",D306&lt;&gt;"",AV45=AV309),AT306,IF(AND(D46="",D306="",D310&lt;&gt;"",AV49=AV313),AT310,IF(AND(D46="",D306="",D310="",D314&lt;&gt;"",AV309=AV317),AT314,IF(AND(D46="",D306="",D310="",D314="",D318&lt;&gt;"",AV313=AV321),AT318,IF(AND(D46="",D306="",D310="",D314="",D318="",#REF!&lt;&gt;"",AV317=#REF!),#REF!,IF(AND(D46="",D306="",D310="",D314="",D318="",#REF!="",#REF!&lt;&gt;"",AV321=#REF!),#REF!,"")))))))</f>
        <v/>
      </c>
      <c r="AV42" s="216" t="str">
        <f>IF(L42="ACG",IF(ISNA(VLOOKUP(L44,ＡＣＧ,2,FALSE)),0,VLOOKUP(L44,ＡＣＧ,2,FALSE)),"")</f>
        <v/>
      </c>
      <c r="AW42" s="217" t="str">
        <f>IF(AT42="","",AT42/((AT42*AP42)^2+(AT43*AP42-1)^2))</f>
        <v/>
      </c>
      <c r="AX42" s="218" t="str">
        <f>IF(BA44=0,"",IF(OR(AX38="",AF42&lt;&gt;""),AF42*SQRT(AS44^2+AS45^2)/SQRT(AT44^2+AT45^2),AX38*SQRT(AS44^2+AS45^2)/SQRT(AT44^2+AT45^2)))</f>
        <v/>
      </c>
      <c r="AY42" s="219">
        <f>IF(N(AY44)=10^30,10^30,IF(N(AY48)=10^30,(N(AY44)*(N(AY48)^2+N(AY49)^2)+N(AY48)*(N(AY44)^2+N(AY45)^2))/((N(AY44)+N(AY48))^2+(N(AY45)+N(AY49))^2),(N(AY44)*(N(AY46)^2+N(AY47)^2)+N(AY46)*(N(AY44)^2+N(AY45)^2))/((N(AY44)+N(AY46))^2+(N(AY45)+N(AY47))^2)))</f>
        <v>1E+30</v>
      </c>
      <c r="AZ42" s="23"/>
      <c r="BA42" s="220">
        <f>IF(AND(F42="",SUM(S42:S45)&lt;&gt;0),BA38,F42)</f>
        <v>0</v>
      </c>
      <c r="BB42" s="221">
        <f t="shared" si="0"/>
        <v>0</v>
      </c>
      <c r="BC42" s="232">
        <f>IF(OR(E42="",F45="",AND(OR(P42="",Q42="",R42="",T42=""),OR(P43="",Q43="",R43="",T43=""),OR(P44="",Q44="",R44="",T44=""),OR(P45="",Q45="",R45="",T45="")),AND(OR(X42="",X44="",Y44="",Z44=""),OR(AB42="",AB44="",AC44="",AD44=""))),0,1)</f>
        <v>0</v>
      </c>
      <c r="BD42" s="232">
        <f>BC42+BD38</f>
        <v>0</v>
      </c>
    </row>
    <row r="43" spans="2:56" ht="15" customHeight="1">
      <c r="B43" s="84"/>
      <c r="C43" s="271"/>
      <c r="D43" s="409"/>
      <c r="E43" s="362"/>
      <c r="F43" s="410"/>
      <c r="G43" s="266"/>
      <c r="H43" s="266"/>
      <c r="I43" s="266"/>
      <c r="J43" s="266"/>
      <c r="K43" s="273"/>
      <c r="L43" s="411"/>
      <c r="M43" s="197" t="str">
        <f>IF(L42="ACG",SQRT(AV42^2+AV43^2),IF(L44="","",IF(OR(L42="oil cooled type",L42="(F)molded type"),IF(BA42=1,SQRT(AN42^2+AN43^2),IF(BA42=3,SQRT(AN44^2+AN45^2))),SQRT(AO42^2+AO43^2))))</f>
        <v/>
      </c>
      <c r="N43" s="412"/>
      <c r="O43" s="198"/>
      <c r="P43" s="90"/>
      <c r="Q43" s="199"/>
      <c r="R43" s="91"/>
      <c r="S43" s="92" t="str">
        <f>IF(R44="","",IF(Q44="",P44/R44,P44/(Q44*R44)))</f>
        <v/>
      </c>
      <c r="T43" s="200"/>
      <c r="U43" s="201" t="str">
        <f>IF(OR(BA44="",S43=""),"",S43*1000*T43/(SQRT(BA42)*BA44))</f>
        <v/>
      </c>
      <c r="V43" s="255"/>
      <c r="W43" s="248"/>
      <c r="X43" s="258"/>
      <c r="Y43" s="245"/>
      <c r="Z43" s="246"/>
      <c r="AA43" s="240"/>
      <c r="AB43" s="244"/>
      <c r="AC43" s="245"/>
      <c r="AD43" s="246"/>
      <c r="AE43" s="248"/>
      <c r="AF43" s="235" t="str">
        <f>IF(OR(AF42="",AG38&lt;&gt;""),"",AF42*AQ43/SQRT(AT42^2+AT43^2))</f>
        <v/>
      </c>
      <c r="AG43" s="274" t="str">
        <f>IF(AG42="","",100*AG42*AQ43/BA44)</f>
        <v/>
      </c>
      <c r="AH43" s="275"/>
      <c r="AI43" s="260" t="str">
        <f>IF(BA44=0,"",IF(AI38="",AX44/SQRT(AT42^2+AT43^2),IF(AI46="","",IF(AT42&lt;0,-AX42*AQ39/SQRT(AT42^2+AT43^2),AX42*AQ39/SQRT(AT42^2+AT43^2)))))</f>
        <v/>
      </c>
      <c r="AJ43" s="258"/>
      <c r="AK43" s="259"/>
      <c r="AL43" s="187"/>
      <c r="AM43" s="28"/>
      <c r="AN43" s="213" t="b">
        <f>IF(BA42="","",IF(AND(BA42=1,F44=50,L42="oil cooled type"),VLOOKUP(L44,変１,3,FALSE),IF(AND(BA42=1,F44=50,L42="(F)molded type"),VLOOKUP(L44,変１,8,FALSE),IF(AND(BA42=1,F44=60,L42="oil cooled type"),VLOOKUP(L44,変１,13,FALSE),IF(AND(BA42=1,F44=60,L42="(F)molded type"),VLOOKUP(L44,変１,18,FALSE),FALSE)))))</f>
        <v>0</v>
      </c>
      <c r="AO43" s="213">
        <f>IF(ISNA(VLOOKUP(L44,変ＵＳＥＲ,3,FALSE)),0,VLOOKUP(L44,変ＵＳＥＲ,3,FALSE)*BA45/50)</f>
        <v>0</v>
      </c>
      <c r="AP43" s="214">
        <f>IF(W42="",0,W42*1000/BA44^2/SQRT(BA42))</f>
        <v>0</v>
      </c>
      <c r="AQ43" s="213">
        <f>IF(AND(BA42=1,BA43=2),1,IF(AND(BA42=3,BA43=3),1,IF(AND(BA42=1,BA43=3),2,IF(AND(BA42=3,BA43=4)*OR(BB42=1,BB43=1,BB44=1,BB45=1),1,SQRT(3)))))</f>
        <v>1.7320508075688772</v>
      </c>
      <c r="AR43" s="215" t="str">
        <f>IF(X42="","",IF(X42="600V IV",VLOOKUP(X44,ＩＶ,3,FALSE),IF(X42="600V CV-T",VLOOKUP(X44,ＣＶＴ,3,FALSE),IF(OR(X42="600V CV-1C",X42="600V CV-2C",X42="600V CV-3C",X42="600V CV-4C"),VLOOKUP(X44,ＣＶ２３Ｃ,3,FALSE),VLOOKUP(X44,ＣＵＳＥＲ,3,FALSE)))))</f>
        <v/>
      </c>
      <c r="AS43" s="213" t="str">
        <f>IF(AD45="",AP45,AP45+(AD45/1000))</f>
        <v/>
      </c>
      <c r="AT43" s="216" t="str">
        <f>IF(AU45="",AT45,AU45)</f>
        <v/>
      </c>
      <c r="AU43" s="216" t="str">
        <f>IF(D42="","",IF(AND(D46="",D306&lt;&gt;"",AV45=AV309),AT307,IF(AND(D46="",D306="",D310&lt;&gt;"",AV49=AV313),AT311,IF(AND(D46="",D306="",D310="",D314&lt;&gt;"",AV309=AV317),AT315,IF(AND(D46="",D306="",D310="",D314="",D318&lt;&gt;"",AV313=AV321),AT319,IF(AND(D46="",D306="",D310="",D314="",D318="",#REF!&lt;&gt;"",AV317=#REF!),#REF!,IF(AND(D46="",D306="",D310="",D314="",D318="",#REF!="",#REF!&lt;&gt;"",AV321=#REF!),#REF!,"")))))))</f>
        <v/>
      </c>
      <c r="AV43" s="215" t="str">
        <f>IF(L42="ACG",IF(ISNA(VLOOKUP(L44,ＡＣＧ,3,FALSE)),0,VLOOKUP(L44,ＡＣＧ,3,FALSE)*BA45/50),"")</f>
        <v/>
      </c>
      <c r="AW43" s="217" t="str">
        <f>IF(AT43="","",(AT43-AP42*(AT42^2+AT43^2))/((AT42*AP42)^2+(AP42*AT43-1)^2))</f>
        <v/>
      </c>
      <c r="AX43" s="218"/>
      <c r="AY43" s="219">
        <f>IF(N(AY45)=10^30,10^30,IF(N(AY49)=10^30,(N(AY45)*(N(AY48)^2+N(AY49)^2)+N(AY49)*(N(AY44)^2+N(AY45)^2))/((N(AY44)+N(AY48))^2+(N(AY45)+N(AY49))^2),(N(AY45)*(N(AY46)^2+N(AY47)^2)+N(AY47)*(N(AY44)^2+N(AY45)^2))/((N(AY44)+N(AY46))^2+(N(AY45)+N(AY47))^2)))</f>
        <v>1E+30</v>
      </c>
      <c r="AZ43" s="23"/>
      <c r="BA43" s="220">
        <f>IF(AND(H42="",SUM(S42:S45)&lt;&gt;0),BA39,H42)</f>
        <v>0</v>
      </c>
      <c r="BB43" s="221">
        <f t="shared" si="0"/>
        <v>0</v>
      </c>
      <c r="BC43" s="232"/>
      <c r="BD43" s="232"/>
    </row>
    <row r="44" spans="2:56" ht="15" customHeight="1">
      <c r="C44" s="271"/>
      <c r="D44" s="409"/>
      <c r="E44" s="362"/>
      <c r="F44" s="413"/>
      <c r="G44" s="414"/>
      <c r="H44" s="414"/>
      <c r="I44" s="414"/>
      <c r="J44" s="414"/>
      <c r="K44" s="415"/>
      <c r="L44" s="416"/>
      <c r="M44" s="275"/>
      <c r="N44" s="412"/>
      <c r="O44" s="198"/>
      <c r="P44" s="93"/>
      <c r="Q44" s="202"/>
      <c r="R44" s="91"/>
      <c r="S44" s="92" t="str">
        <f>IF(R45="","",IF(Q45="",P45/R45,P45/(Q45*R45)))</f>
        <v/>
      </c>
      <c r="T44" s="200"/>
      <c r="U44" s="203" t="str">
        <f>IF(OR(BA44="",S44=""),"",S44*1000*T44/(SQRT(BA42)*BA44))</f>
        <v/>
      </c>
      <c r="V44" s="94" t="str">
        <f>IF(AND(N(U42)=0,N(U43)=0,N(U44)=0,N(U45)=0),"",V42*(P42*R42*T42+P43*R43*T43+P44*R44*T44+P45*R45*T45)/(P42*T42+P43*T43+P44*T44+P45*T45))</f>
        <v/>
      </c>
      <c r="W44" s="276" t="str">
        <f>IF(AND(N(AP44)=0,N(AP45)=0,N(AP43)=0),"",IF(AP45&gt;=0,COS(ATAN(AP45/AP44)),-COS(ATAN(AP45/AP44))))</f>
        <v/>
      </c>
      <c r="X44" s="95"/>
      <c r="Y44" s="204"/>
      <c r="Z44" s="96"/>
      <c r="AA44" s="97"/>
      <c r="AB44" s="98"/>
      <c r="AC44" s="204"/>
      <c r="AD44" s="96"/>
      <c r="AE44" s="99"/>
      <c r="AF44" s="236" t="str">
        <f>IF(OR(AF42="",AG38&lt;&gt;""),"",BA44/SQRT(AW44^2+AW45^2))</f>
        <v/>
      </c>
      <c r="AG44" s="274" t="str">
        <f>IF(AG42="","",100*((BA44/AQ43)-AG42)/(BA44/AQ43))</f>
        <v/>
      </c>
      <c r="AH44" s="275"/>
      <c r="AI44" s="261"/>
      <c r="AJ44" s="262"/>
      <c r="AK44" s="264"/>
      <c r="AL44" s="188"/>
      <c r="AM44" s="28"/>
      <c r="AN44" s="222" t="b">
        <f>IF(BA42="","",IF(AND(BA42=3,F44=50,L42="oil cooled type"),VLOOKUP(L44,変３,2,FALSE),IF(AND(BA42=3,F44=50,L42="(F)molded type"),VLOOKUP(L44,変３,7,FALSE),IF(AND(BA42=3,F44=60,L42="oil cooled type"),VLOOKUP(L44,変３,12,FALSE),IF(AND(BA42=3,F44=60,L42="(F)molded type"),VLOOKUP(L44,変３,17,FALSE),FALSE)))))</f>
        <v>0</v>
      </c>
      <c r="AO44" s="215" t="str">
        <f>IF(AND(L38="",N(AY42)&lt;10^29),AY42,"")</f>
        <v/>
      </c>
      <c r="AP44" s="223" t="str">
        <f>IF(V42="","",IF(AND(N(V44)=0,N(AP43)=0),"",AQ44/((AQ44*AP43)^2+(AP43*AQ45-1)^2)))</f>
        <v/>
      </c>
      <c r="AQ44" s="213">
        <f>IF(N(V44)=0,10^30,V44)</f>
        <v>1E+30</v>
      </c>
      <c r="AR44" s="215" t="str">
        <f>IF(AB42="","",IF(AB42="600V IV",VLOOKUP(AB44,ＩＶ,2,FALSE),IF(AB42="600V CV-T",VLOOKUP(AB44,ＣＶＴ,2,FALSE),IF(OR(AB42="600V CV-1C",AB42="600V CV-2C",AB42="600V CV-3C",AB42="600V CV-4C"),VLOOKUP(AB44,ＣＶ２３Ｃ,2,FALSE),VLOOKUP(AB44,ＣＵＳＥＲ,2,FALSE)))))</f>
        <v/>
      </c>
      <c r="AS44" s="213" t="str">
        <f>IF(OR(AND(AS46="",AS47=""),AND(D42="",D46&lt;&gt;"")),AS42,(AS42*(AT46^2+AT47^2)+AT46*(AS42^2+AS43^2))/((AS42+AT46)^2+(AS43+AT47)^2))</f>
        <v/>
      </c>
      <c r="AT44" s="216" t="str">
        <f>IF(X45="",AS44,N(AS44)+(X45/1000))</f>
        <v/>
      </c>
      <c r="AU44" s="216" t="str">
        <f>IF(AU42="","",(AT44*(AU42^2+AU43^2)+AU42*(AT44^2+AT45^2))/((AT44+AU42)^2+(AT45+AU43)^2))</f>
        <v/>
      </c>
      <c r="AV44" s="216">
        <f>IF(BA44=0,1,0)</f>
        <v>1</v>
      </c>
      <c r="AW44" s="217" t="str">
        <f>IF(AO44="","",AW42+AO44)</f>
        <v/>
      </c>
      <c r="AX44" s="218" t="str">
        <f>IF(AND(AX40="",AW44&lt;&gt;""),BA44*SQRT(AW42^2+AW43^2)/SQRT(AW44^2+AW45^2),IF(BA44&lt;&gt;0,AX40,""))</f>
        <v/>
      </c>
      <c r="AY44" s="224">
        <f>IF(L44="",10^30,SQRT(BA42)*(BA44^2)*(N(AN42)+N(AN44)+N(AO42)+N(AV42))/(100000*L44*M42))</f>
        <v>1E+30</v>
      </c>
      <c r="AZ44" s="225"/>
      <c r="BA44" s="220">
        <f>IF(AND(J42="",SUM(S42:S45)&lt;&gt;0),BA40,J42)</f>
        <v>0</v>
      </c>
      <c r="BB44" s="221">
        <f t="shared" si="0"/>
        <v>0</v>
      </c>
      <c r="BC44" s="232"/>
      <c r="BD44" s="232"/>
    </row>
    <row r="45" spans="2:56" ht="15" customHeight="1">
      <c r="C45" s="271"/>
      <c r="D45" s="417"/>
      <c r="E45" s="418"/>
      <c r="F45" s="419"/>
      <c r="G45" s="270"/>
      <c r="H45" s="270"/>
      <c r="I45" s="270"/>
      <c r="J45" s="270"/>
      <c r="K45" s="268"/>
      <c r="L45" s="251" t="str">
        <f>IF(M42="","",L44*1000*M42/(SQRT(BA42)*BA44))</f>
        <v/>
      </c>
      <c r="M45" s="252"/>
      <c r="N45" s="277"/>
      <c r="O45" s="205"/>
      <c r="P45" s="106"/>
      <c r="Q45" s="206"/>
      <c r="R45" s="107"/>
      <c r="S45" s="108" t="str">
        <f>IF(R45="","",IF(Q45="",P45/R45,P45/(Q45*R45)))</f>
        <v/>
      </c>
      <c r="T45" s="207"/>
      <c r="U45" s="208" t="str">
        <f>IF(OR(BA44="",S45=""),"",S45*1000*T45/(SQRT(BA42)*BA44))</f>
        <v/>
      </c>
      <c r="V45" s="109" t="str">
        <f>IF(AND(N(U42)=0,N(U43)=0,N(U44)=0,N(U45)=0),"",IF(V42&gt;=0,SQRT(ABS(V42^2-V44^2)),-SQRT(V42^2-V44^2)))</f>
        <v/>
      </c>
      <c r="W45" s="277"/>
      <c r="X45" s="278" t="str">
        <f>IF(Y44="","",AQ42*Z44*AR42*((1+0.00393*(F45-20))/1.2751)/Y44)</f>
        <v/>
      </c>
      <c r="Y45" s="270"/>
      <c r="Z45" s="267" t="str">
        <f>IF(Y44="","",(BA45/50)*AQ42*Z44*AR43/Y44)</f>
        <v/>
      </c>
      <c r="AA45" s="252"/>
      <c r="AB45" s="279" t="str">
        <f>IF(AC44="","",AQ42*AD44*AR44*((1+0.00393*(F45-20))/1.2751)/AC44)</f>
        <v/>
      </c>
      <c r="AC45" s="270"/>
      <c r="AD45" s="267" t="str">
        <f>IF(AC44="","",(BA45/50)*AQ42*AD44*AR45/AC44)</f>
        <v/>
      </c>
      <c r="AE45" s="268"/>
      <c r="AF45" s="237" t="str">
        <f>IF(AND(AX42&lt;&gt;"",D42=""),AX42,"")</f>
        <v/>
      </c>
      <c r="AG45" s="269" t="str">
        <f>IF(AP44="","",AP44)</f>
        <v/>
      </c>
      <c r="AH45" s="270"/>
      <c r="AI45" s="238" t="str">
        <f>IF(AP45="","",AP45)</f>
        <v/>
      </c>
      <c r="AJ45" s="263"/>
      <c r="AK45" s="253"/>
      <c r="AL45" s="189"/>
      <c r="AM45" s="28"/>
      <c r="AN45" s="226" t="b">
        <f>IF(BA42="","",IF(AND(BA42=3,F44=50,L42="oil cooled type"),VLOOKUP(L44,変３,3,FALSE),IF(AND(BA42=3,F44=50,L42="(F)molded type"),VLOOKUP(L44,変３,8,FALSE),IF(AND(BA42=3,F44=60,L42="oil cooled type"),VLOOKUP(L44,変３,13,FALSE),IF(AND(BA42=3,F44=60,L42="(F)molded type"),VLOOKUP(L44,変３,18,FALSE),FALSE)))))</f>
        <v>0</v>
      </c>
      <c r="AO45" s="226" t="str">
        <f>IF(AND(L38="",N(AY43)&lt;10^29),AY43,"")</f>
        <v/>
      </c>
      <c r="AP45" s="227" t="str">
        <f>IF(V42="","",IF(AND(N(V45)=0,N(AP43)=0),0,(AQ45-AP43*(AQ44^2+AQ45^2))/((AQ44*AP43)^2+(AP43*AQ45-1)^2)))</f>
        <v/>
      </c>
      <c r="AQ45" s="228">
        <f>IF(N(V45)=0,10^30,V45)</f>
        <v>1E+30</v>
      </c>
      <c r="AR45" s="226" t="str">
        <f>IF(AB42="","",IF(AB42="600V IV",VLOOKUP(AB44,ＩＶ,3,FALSE),IF(AB42="600V CV-T",VLOOKUP(AB44,ＣＶＴ,3,FALSE),IF(OR(AB42="600V CV-1C",AB42="600V CV-2C",AB42="600V CV-3C",AB42="600V CV-4C"),VLOOKUP(AB44,ＣＶ２３Ｃ,3,FALSE),VLOOKUP(AB44,ＣＵＳＥＲ,3,FALSE)))))</f>
        <v/>
      </c>
      <c r="AS45" s="228" t="str">
        <f>IF(OR(AND(AS46="",AS47=""),AND(D42="",D46&lt;&gt;"")),AS43,(AS43*(AT46^2+AT47^2)+AT47*(AS42^2+AS43^2))/((AS42+AT46)^2+(AS43+AT47)^2))</f>
        <v/>
      </c>
      <c r="AT45" s="229" t="str">
        <f>IF(Z45="",AS45,N(AS45)+(Z45/1000))</f>
        <v/>
      </c>
      <c r="AU45" s="229" t="str">
        <f>IF(AU43="","",(AT45*(AU42^2+AU43^2)+AU43*(AT44^2+AT45^2))/((AT44+AU42)^2+(AT45+AU43)^2))</f>
        <v/>
      </c>
      <c r="AV45" s="229">
        <f>AV41+AV44</f>
        <v>7</v>
      </c>
      <c r="AW45" s="228" t="str">
        <f>IF(AO45="","",AW43+AO45)</f>
        <v/>
      </c>
      <c r="AX45" s="230"/>
      <c r="AY45" s="224">
        <f>IF(L44="",10^30,SQRT(BA42)*(BA44^2)*(N(AN43)+N(AN45)+N(AO43)+N(AV43))/(100000*L44*M42))</f>
        <v>1E+30</v>
      </c>
      <c r="AZ45" s="225"/>
      <c r="BA45" s="220">
        <f>IF(AND(F44="",SUM(S42:S45)&lt;&gt;0),BA41,F44)</f>
        <v>0</v>
      </c>
      <c r="BB45" s="221">
        <f t="shared" si="0"/>
        <v>0</v>
      </c>
      <c r="BC45" s="232"/>
      <c r="BD45" s="232"/>
    </row>
    <row r="46" spans="2:56" ht="15" customHeight="1">
      <c r="B46" s="40" t="s">
        <v>52</v>
      </c>
      <c r="C46" s="271" t="str">
        <f>IF(BC46=1,"●","・")</f>
        <v>・</v>
      </c>
      <c r="D46" s="402"/>
      <c r="E46" s="403"/>
      <c r="F46" s="404"/>
      <c r="G46" s="265" t="str">
        <f>IF(F46="","","φ")</f>
        <v/>
      </c>
      <c r="H46" s="405"/>
      <c r="I46" s="265" t="str">
        <f>IF(H46="","","W")</f>
        <v/>
      </c>
      <c r="J46" s="405"/>
      <c r="K46" s="272" t="str">
        <f>IF(J46="","","V")</f>
        <v/>
      </c>
      <c r="L46" s="406"/>
      <c r="M46" s="407"/>
      <c r="N46" s="408"/>
      <c r="O46" s="193"/>
      <c r="P46" s="86"/>
      <c r="Q46" s="194"/>
      <c r="R46" s="87"/>
      <c r="S46" s="88" t="str">
        <f>IF(R46="","",IF(Q46="",P46/R46,P46/(Q46*R46)))</f>
        <v/>
      </c>
      <c r="T46" s="195"/>
      <c r="U46" s="196" t="str">
        <f>IF(OR(BA48="",S46=""),"",S46*1000*T46/(SQRT(BA46)*BA48))</f>
        <v/>
      </c>
      <c r="V46" s="254" t="str">
        <f>IF(AND(N(U46)=0,N(U47)=0,N(U48)=0,N(U49)=0),"",BA48/(SUM(U46:U49)))</f>
        <v/>
      </c>
      <c r="W46" s="280"/>
      <c r="X46" s="281"/>
      <c r="Y46" s="242"/>
      <c r="Z46" s="243"/>
      <c r="AA46" s="239"/>
      <c r="AB46" s="241"/>
      <c r="AC46" s="242"/>
      <c r="AD46" s="243"/>
      <c r="AE46" s="247"/>
      <c r="AF46" s="233" t="str">
        <f>IF(OR(AND(AF42="",N(BA44)=0,BA48&lt;&gt;0),D46&lt;&gt;""),AX48/AQ47,"")</f>
        <v/>
      </c>
      <c r="AG46" s="249" t="str">
        <f>IF(BA48=0,"",IF(AD48="",AX46,IF(AND(D46&lt;&gt;"",AU46=""),AX48*SQRT(AP48^2+AP49^2)/SQRT(AS46^2+AS47^2)/AQ47,AX46*SQRT(AP48^2+AP49^2)/SQRT(AS46^2+AS47^2))))</f>
        <v/>
      </c>
      <c r="AH46" s="250"/>
      <c r="AI46" s="234" t="str">
        <f>IF(AG46="","",IF(N(U46)&lt;0,-AX46*AQ47/SQRT(AS46^2+AS47^2),AX46*AQ47/SQRT(AS46^2+AS47^2)))</f>
        <v/>
      </c>
      <c r="AJ46" s="256"/>
      <c r="AK46" s="257"/>
      <c r="AL46" s="186"/>
      <c r="AM46" s="28"/>
      <c r="AN46" s="213" t="b">
        <f>IF(BA46="","",IF(AND(BA46=1,F48=50,L46="oil cooled type"),VLOOKUP(L48,変１,2,FALSE),IF(AND(BA46=1,F48=50,L46="(F)molded type"),VLOOKUP(L48,変１,7,FALSE),IF(AND(BA46=1,F48=60,L46="oil cooled type"),VLOOKUP(L48,変１,12,FALSE),IF(AND(BA46=1,F48=60,L46="(F)molded type"),VLOOKUP(L48,変１,17,FALSE),FALSE)))))</f>
        <v>0</v>
      </c>
      <c r="AO46" s="213">
        <f>IF(ISNA(VLOOKUP(L48,変ＵＳＥＲ,2,FALSE)),0,VLOOKUP(L48,変ＵＳＥＲ,2,FALSE))</f>
        <v>0</v>
      </c>
      <c r="AP46" s="214">
        <f>IF(N46="",0,N46*1000/BA48^2/SQRT(BA46))</f>
        <v>0</v>
      </c>
      <c r="AQ46" s="213" t="b">
        <f>IF(BA46=1,2,IF(BA46=3,SQRT(3),FALSE))</f>
        <v>0</v>
      </c>
      <c r="AR46" s="215" t="str">
        <f>IF(X46="","",IF(X46="600V IV",VLOOKUP(X48,ＩＶ,2,FALSE),IF(X46="600V CV-T",VLOOKUP(X48,ＣＶＴ,2,FALSE),IF(OR(X46="600V CV-1C",X46="600V CV-2C",X46="600V CV-3C",X46="600V CV-4C"),VLOOKUP(X48,ＣＶ２３Ｃ,2,FALSE),VLOOKUP(X48,ＣＵＳＥＲ,2,FALSE)))))</f>
        <v/>
      </c>
      <c r="AS46" s="213" t="str">
        <f>IF(AB49="",AP48,AP48+(AB49/1000))</f>
        <v/>
      </c>
      <c r="AT46" s="216" t="str">
        <f>IF(AU48="",AT48,AU48)</f>
        <v/>
      </c>
      <c r="AU46" s="216" t="str">
        <f>IF(D46="","",IF(AND(D306="",D310&lt;&gt;"",AV49=AV313),AT310,IF(AND(D306="",D310="",D314&lt;&gt;"",AV309=AV317),AT314,IF(AND(D306="",D310="",D314="",D318&lt;&gt;"",AV313=AV321),AT318,IF(AND(D306="",D310="",D314="",D318="",#REF!&lt;&gt;"",AV317=#REF!),#REF!,IF(AND(D306="",D310="",D314="",D318="",#REF!="",#REF!&lt;&gt;"",AV321=#REF!),#REF!,IF(AND(D306="",D310="",D314="",D318="",#REF!="",#REF!="",#REF!&lt;&gt;"",#REF!=#REF!),#REF!,"")))))))</f>
        <v/>
      </c>
      <c r="AV46" s="216" t="str">
        <f>IF(L46="ACG",IF(ISNA(VLOOKUP(L48,ＡＣＧ,2,FALSE)),0,VLOOKUP(L48,ＡＣＧ,2,FALSE)),"")</f>
        <v/>
      </c>
      <c r="AW46" s="217" t="str">
        <f>IF(AT46="","",AT46/((AT46*AP46)^2+(AT47*AP46-1)^2))</f>
        <v/>
      </c>
      <c r="AX46" s="218" t="str">
        <f>IF(BA48=0,"",IF(OR(AX42="",AF46&lt;&gt;""),AF46*SQRT(AS48^2+AS49^2)/SQRT(AT48^2+AT49^2),AX42*SQRT(AS48^2+AS49^2)/SQRT(AT48^2+AT49^2)))</f>
        <v/>
      </c>
      <c r="AY46" s="219">
        <f>IF(N(AY48)=10^30,10^30,IF(N(AY308)=10^30,(N(AY48)*(N(AY308)^2+N(AY309)^2)+N(AY308)*(N(AY48)^2+N(AY49)^2))/((N(AY48)+N(AY308))^2+(N(AY49)+N(AY309))^2),(N(AY48)*(N(AY306)^2+N(AY307)^2)+N(AY306)*(N(AY48)^2+N(AY49)^2))/((N(AY48)+N(AY306))^2+(N(AY49)+N(AY307))^2)))</f>
        <v>1E+30</v>
      </c>
      <c r="AZ46" s="23"/>
      <c r="BA46" s="220">
        <f>IF(AND(F46="",SUM(S46:S49)&lt;&gt;0),BA42,F46)</f>
        <v>0</v>
      </c>
      <c r="BB46" s="221">
        <f t="shared" si="0"/>
        <v>0</v>
      </c>
      <c r="BC46" s="232">
        <f>IF(OR(E46="",F49="",AND(OR(P46="",Q46="",R46="",T46=""),OR(P47="",Q47="",R47="",T47=""),OR(P48="",Q48="",R48="",T48=""),OR(P49="",Q49="",R49="",T49="")),AND(OR(X46="",X48="",Y48="",Z48=""),OR(AB46="",AB48="",AC48="",AD48=""))),0,1)</f>
        <v>0</v>
      </c>
      <c r="BD46" s="232">
        <f>BC46+BD42</f>
        <v>0</v>
      </c>
    </row>
    <row r="47" spans="2:56" ht="15" customHeight="1">
      <c r="B47" s="118" t="s">
        <v>69</v>
      </c>
      <c r="C47" s="271"/>
      <c r="D47" s="409"/>
      <c r="E47" s="362"/>
      <c r="F47" s="410"/>
      <c r="G47" s="266"/>
      <c r="H47" s="266"/>
      <c r="I47" s="266"/>
      <c r="J47" s="266"/>
      <c r="K47" s="273"/>
      <c r="L47" s="411"/>
      <c r="M47" s="197" t="str">
        <f>IF(L46="ACG",SQRT(AV46^2+AV47^2),IF(L48="","",IF(OR(L46="oil cooled type",L46="(F)molded type"),IF(BA46=1,SQRT(AN46^2+AN47^2),IF(BA46=3,SQRT(AN48^2+AN49^2))),SQRT(AO46^2+AO47^2))))</f>
        <v/>
      </c>
      <c r="N47" s="412"/>
      <c r="O47" s="198"/>
      <c r="P47" s="90"/>
      <c r="Q47" s="199"/>
      <c r="R47" s="91"/>
      <c r="S47" s="92" t="str">
        <f>IF(R48="","",IF(Q48="",P48/R48,P48/(Q48*R48)))</f>
        <v/>
      </c>
      <c r="T47" s="200"/>
      <c r="U47" s="201" t="str">
        <f>IF(OR(BA48="",S47=""),"",S47*1000*T47/(SQRT(BA46)*BA48))</f>
        <v/>
      </c>
      <c r="V47" s="255"/>
      <c r="W47" s="248"/>
      <c r="X47" s="258"/>
      <c r="Y47" s="245"/>
      <c r="Z47" s="246"/>
      <c r="AA47" s="240"/>
      <c r="AB47" s="244"/>
      <c r="AC47" s="245"/>
      <c r="AD47" s="246"/>
      <c r="AE47" s="248"/>
      <c r="AF47" s="235" t="str">
        <f>IF(OR(AF46="",AG42&lt;&gt;""),"",AF46*AQ47/SQRT(AT46^2+AT47^2))</f>
        <v/>
      </c>
      <c r="AG47" s="274" t="str">
        <f>IF(AG46="","",100*AG46*AQ47/BA48)</f>
        <v/>
      </c>
      <c r="AH47" s="275"/>
      <c r="AI47" s="260" t="str">
        <f>IF(BA48=0,"",IF(AI42="",AX48/SQRT(AT46^2+AT47^2),IF(AI50="","",IF(AT46&lt;0,-AX46*AQ43/SQRT(AT46^2+AT47^2),AX46*AQ43/SQRT(AT46^2+AT47^2)))))</f>
        <v/>
      </c>
      <c r="AJ47" s="258"/>
      <c r="AK47" s="259"/>
      <c r="AL47" s="187"/>
      <c r="AM47" s="28"/>
      <c r="AN47" s="213" t="b">
        <f>IF(BA46="","",IF(AND(BA46=1,F48=50,L46="oil cooled type"),VLOOKUP(L48,変１,3,FALSE),IF(AND(BA46=1,F48=50,L46="(F)molded type"),VLOOKUP(L48,変１,8,FALSE),IF(AND(BA46=1,F48=60,L46="oil cooled type"),VLOOKUP(L48,変１,13,FALSE),IF(AND(BA46=1,F48=60,L46="(F)molded type"),VLOOKUP(L48,変１,18,FALSE),FALSE)))))</f>
        <v>0</v>
      </c>
      <c r="AO47" s="213">
        <f>IF(ISNA(VLOOKUP(L48,変ＵＳＥＲ,3,FALSE)),0,VLOOKUP(L48,変ＵＳＥＲ,3,FALSE)*BA49/50)</f>
        <v>0</v>
      </c>
      <c r="AP47" s="214">
        <f>IF(W46="",0,W46*1000/BA48^2/SQRT(BA46))</f>
        <v>0</v>
      </c>
      <c r="AQ47" s="213">
        <f>IF(AND(BA46=1,BA47=2),1,IF(AND(BA46=3,BA47=3),1,IF(AND(BA46=1,BA47=3),2,IF(AND(BA46=3,BA47=4)*OR(BB46=1,BB47=1,BB48=1,BB49=1),1,SQRT(3)))))</f>
        <v>1.7320508075688772</v>
      </c>
      <c r="AR47" s="215" t="str">
        <f>IF(X46="","",IF(X46="600V IV",VLOOKUP(X48,ＩＶ,3,FALSE),IF(X46="600V CV-T",VLOOKUP(X48,ＣＶＴ,3,FALSE),IF(OR(X46="600V CV-1C",X46="600V CV-2C",X46="600V CV-3C",X46="600V CV-4C"),VLOOKUP(X48,ＣＶ２３Ｃ,3,FALSE),VLOOKUP(X48,ＣＵＳＥＲ,3,FALSE)))))</f>
        <v/>
      </c>
      <c r="AS47" s="213" t="str">
        <f>IF(AD49="",AP49,AP49+(AD49/1000))</f>
        <v/>
      </c>
      <c r="AT47" s="216" t="str">
        <f>IF(AU49="",AT49,AU49)</f>
        <v/>
      </c>
      <c r="AU47" s="216" t="str">
        <f>IF(D46="","",IF(AND(D306="",D310&lt;&gt;"",AV49=AV313),AT311,IF(AND(D306="",D310="",D314&lt;&gt;"",AV309=AV317),AT315,IF(AND(D306="",D310="",D314="",D318&lt;&gt;"",AV313=AV321),AT319,IF(AND(D306="",D310="",D314="",D318="",#REF!&lt;&gt;"",AV317=#REF!),#REF!,IF(AND(D306="",D310="",D314="",D318="",#REF!="",#REF!&lt;&gt;"",AV321=#REF!),#REF!,IF(AND(D306="",D310="",D314="",D318="",#REF!="",#REF!="",#REF!&lt;&gt;"",#REF!=#REF!),#REF!,"")))))))</f>
        <v/>
      </c>
      <c r="AV47" s="215" t="str">
        <f>IF(L46="ACG",IF(ISNA(VLOOKUP(L48,ＡＣＧ,3,FALSE)),0,VLOOKUP(L48,ＡＣＧ,3,FALSE)*BA49/50),"")</f>
        <v/>
      </c>
      <c r="AW47" s="217" t="str">
        <f>IF(AT47="","",(AT47-AP46*(AT46^2+AT47^2))/((AT46*AP46)^2+(AP46*AT47-1)^2))</f>
        <v/>
      </c>
      <c r="AX47" s="218"/>
      <c r="AY47" s="219">
        <f>IF(N(AY49)=10^30,10^30,IF(N(AY309)=10^30,(N(AY49)*(N(AY308)^2+N(AY309)^2)+N(AY309)*(N(AY48)^2+N(AY49)^2))/((N(AY48)+N(AY308))^2+(N(AY49)+N(AY309))^2),(N(AY49)*(N(AY306)^2+N(AY307)^2)+N(AY307)*(N(AY48)^2+N(AY49)^2))/((N(AY48)+N(AY306))^2+(N(AY49)+N(AY307))^2)))</f>
        <v>1E+30</v>
      </c>
      <c r="AZ47" s="23"/>
      <c r="BA47" s="220">
        <f>IF(AND(H46="",SUM(S46:S49)&lt;&gt;0),BA43,H46)</f>
        <v>0</v>
      </c>
      <c r="BB47" s="221">
        <f t="shared" si="0"/>
        <v>0</v>
      </c>
      <c r="BC47" s="232"/>
      <c r="BD47" s="232"/>
    </row>
    <row r="48" spans="2:56" ht="15" customHeight="1">
      <c r="B48" s="84"/>
      <c r="C48" s="271"/>
      <c r="D48" s="409"/>
      <c r="E48" s="362"/>
      <c r="F48" s="413"/>
      <c r="G48" s="414"/>
      <c r="H48" s="414"/>
      <c r="I48" s="414"/>
      <c r="J48" s="414"/>
      <c r="K48" s="415"/>
      <c r="L48" s="416"/>
      <c r="M48" s="275"/>
      <c r="N48" s="412"/>
      <c r="O48" s="198"/>
      <c r="P48" s="93"/>
      <c r="Q48" s="202"/>
      <c r="R48" s="91"/>
      <c r="S48" s="92" t="str">
        <f>IF(R49="","",IF(Q49="",P49/R49,P49/(Q49*R49)))</f>
        <v/>
      </c>
      <c r="T48" s="200"/>
      <c r="U48" s="203" t="str">
        <f>IF(OR(BA48="",S48=""),"",S48*1000*T48/(SQRT(BA46)*BA48))</f>
        <v/>
      </c>
      <c r="V48" s="94" t="str">
        <f>IF(AND(N(U46)=0,N(U47)=0,N(U48)=0,N(U49)=0),"",V46*(P46*R46*T46+P47*R47*T47+P48*R48*T48+P49*R49*T49)/(P46*T46+P47*T47+P48*T48+P49*T49))</f>
        <v/>
      </c>
      <c r="W48" s="276" t="str">
        <f>IF(AND(N(AP48)=0,N(AP49)=0,N(AP47)=0),"",IF(AP49&gt;=0,COS(ATAN(AP49/AP48)),-COS(ATAN(AP49/AP48))))</f>
        <v/>
      </c>
      <c r="X48" s="95"/>
      <c r="Y48" s="204"/>
      <c r="Z48" s="96"/>
      <c r="AA48" s="97"/>
      <c r="AB48" s="98"/>
      <c r="AC48" s="204"/>
      <c r="AD48" s="96"/>
      <c r="AE48" s="99"/>
      <c r="AF48" s="236" t="str">
        <f>IF(OR(AF46="",AG42&lt;&gt;""),"",BA48/SQRT(AW48^2+AW49^2))</f>
        <v/>
      </c>
      <c r="AG48" s="274" t="str">
        <f>IF(AG46="","",100*((BA48/AQ47)-AG46)/(BA48/AQ47))</f>
        <v/>
      </c>
      <c r="AH48" s="275"/>
      <c r="AI48" s="261"/>
      <c r="AJ48" s="262"/>
      <c r="AK48" s="264"/>
      <c r="AL48" s="188"/>
      <c r="AM48" s="28"/>
      <c r="AN48" s="222" t="b">
        <f>IF(BA46="","",IF(AND(BA46=3,F48=50,L46="oil cooled type"),VLOOKUP(L48,変３,2,FALSE),IF(AND(BA46=3,F48=50,L46="(F)molded type"),VLOOKUP(L48,変３,7,FALSE),IF(AND(BA46=3,F48=60,L46="oil cooled type"),VLOOKUP(L48,変３,12,FALSE),IF(AND(BA46=3,F48=60,L46="(F)molded type"),VLOOKUP(L48,変３,17,FALSE),FALSE)))))</f>
        <v>0</v>
      </c>
      <c r="AO48" s="215" t="str">
        <f>IF(AND(L42="",N(AY46)&lt;10^29),AY46,"")</f>
        <v/>
      </c>
      <c r="AP48" s="223" t="str">
        <f>IF(V46="","",IF(AND(N(V48)=0,N(AP47)=0),"",AQ48/((AQ48*AP47)^2+(AP47*AQ49-1)^2)))</f>
        <v/>
      </c>
      <c r="AQ48" s="213">
        <f>IF(N(V48)=0,10^30,V48)</f>
        <v>1E+30</v>
      </c>
      <c r="AR48" s="215" t="str">
        <f>IF(AB46="","",IF(AB46="600V IV",VLOOKUP(AB48,ＩＶ,2,FALSE),IF(AB46="600V CV-T",VLOOKUP(AB48,ＣＶＴ,2,FALSE),IF(OR(AB46="600V CV-1C",AB46="600V CV-2C",AB46="600V CV-3C",AB46="600V CV-4C"),VLOOKUP(AB48,ＣＶ２３Ｃ,2,FALSE),VLOOKUP(AB48,ＣＵＳＥＲ,2,FALSE)))))</f>
        <v/>
      </c>
      <c r="AS48" s="213" t="str">
        <f>IF(OR(AND(AS306="",AS307=""),AND(D46="",D306&lt;&gt;"")),AS46,(AS46*(AT306^2+AT307^2)+AT306*(AS46^2+AS47^2))/((AS46+AT306)^2+(AS47+AT307)^2))</f>
        <v/>
      </c>
      <c r="AT48" s="216" t="str">
        <f>IF(X49="",AS48,N(AS48)+(X49/1000))</f>
        <v/>
      </c>
      <c r="AU48" s="216" t="str">
        <f>IF(AU46="","",(AT48*(AU46^2+AU47^2)+AU46*(AT48^2+AT49^2))/((AT48+AU46)^2+(AT49+AU47)^2))</f>
        <v/>
      </c>
      <c r="AV48" s="216">
        <f>IF(BA48=0,1,0)</f>
        <v>1</v>
      </c>
      <c r="AW48" s="217" t="str">
        <f>IF(AO48="","",AW46+AO48)</f>
        <v/>
      </c>
      <c r="AX48" s="218" t="str">
        <f>IF(AND(AX44="",AW48&lt;&gt;""),BA48*SQRT(AW46^2+AW47^2)/SQRT(AW48^2+AW49^2),IF(BA48&lt;&gt;0,AX44,""))</f>
        <v/>
      </c>
      <c r="AY48" s="224">
        <f>IF(L48="",10^30,SQRT(BA46)*(BA48^2)*(N(AN46)+N(AN48)+N(AO46)+N(AV46))/(100000*L48*M46))</f>
        <v>1E+30</v>
      </c>
      <c r="AZ48" s="225"/>
      <c r="BA48" s="220">
        <f>IF(AND(J46="",SUM(S46:S49)&lt;&gt;0),BA44,J46)</f>
        <v>0</v>
      </c>
      <c r="BB48" s="221">
        <f t="shared" si="0"/>
        <v>0</v>
      </c>
      <c r="BC48" s="232"/>
      <c r="BD48" s="232"/>
    </row>
    <row r="49" spans="1:56" ht="15" customHeight="1">
      <c r="A49" s="85"/>
      <c r="B49" s="84" t="s">
        <v>70</v>
      </c>
      <c r="C49" s="271"/>
      <c r="D49" s="417"/>
      <c r="E49" s="418"/>
      <c r="F49" s="419"/>
      <c r="G49" s="270"/>
      <c r="H49" s="270"/>
      <c r="I49" s="270"/>
      <c r="J49" s="270"/>
      <c r="K49" s="268"/>
      <c r="L49" s="251" t="str">
        <f>IF(M46="","",L48*1000*M46/(SQRT(BA46)*BA48))</f>
        <v/>
      </c>
      <c r="M49" s="252"/>
      <c r="N49" s="277"/>
      <c r="O49" s="205"/>
      <c r="P49" s="106"/>
      <c r="Q49" s="206"/>
      <c r="R49" s="107"/>
      <c r="S49" s="108" t="str">
        <f>IF(R49="","",IF(Q49="",P49/R49,P49/(Q49*R49)))</f>
        <v/>
      </c>
      <c r="T49" s="207"/>
      <c r="U49" s="208" t="str">
        <f>IF(OR(BA48="",S49=""),"",S49*1000*T49/(SQRT(BA46)*BA48))</f>
        <v/>
      </c>
      <c r="V49" s="109" t="str">
        <f>IF(AND(N(U46)=0,N(U47)=0,N(U48)=0,N(U49)=0),"",IF(V46&gt;=0,SQRT(ABS(V46^2-V48^2)),-SQRT(V46^2-V48^2)))</f>
        <v/>
      </c>
      <c r="W49" s="277"/>
      <c r="X49" s="278" t="str">
        <f>IF(Y48="","",AQ46*Z48*AR46*((1+0.00393*(F49-20))/1.2751)/Y48)</f>
        <v/>
      </c>
      <c r="Y49" s="270"/>
      <c r="Z49" s="267" t="str">
        <f>IF(Y48="","",(BA49/50)*AQ46*Z48*AR47/Y48)</f>
        <v/>
      </c>
      <c r="AA49" s="252"/>
      <c r="AB49" s="279" t="str">
        <f>IF(AC48="","",AQ46*AD48*AR48*((1+0.00393*(F49-20))/1.2751)/AC48)</f>
        <v/>
      </c>
      <c r="AC49" s="270"/>
      <c r="AD49" s="267" t="str">
        <f>IF(AC48="","",(BA49/50)*AQ46*AD48*AR49/AC48)</f>
        <v/>
      </c>
      <c r="AE49" s="268"/>
      <c r="AF49" s="237" t="str">
        <f>IF(AND(AX46&lt;&gt;"",D46=""),AX46,"")</f>
        <v/>
      </c>
      <c r="AG49" s="269" t="str">
        <f>IF(AP48="","",AP48)</f>
        <v/>
      </c>
      <c r="AH49" s="270"/>
      <c r="AI49" s="238" t="str">
        <f>IF(AP49="","",AP49)</f>
        <v/>
      </c>
      <c r="AJ49" s="263"/>
      <c r="AK49" s="253"/>
      <c r="AL49" s="189"/>
      <c r="AM49" s="28"/>
      <c r="AN49" s="226" t="b">
        <f>IF(BA46="","",IF(AND(BA46=3,F48=50,L46="oil cooled type"),VLOOKUP(L48,変３,3,FALSE),IF(AND(BA46=3,F48=50,L46="(F)molded type"),VLOOKUP(L48,変３,8,FALSE),IF(AND(BA46=3,F48=60,L46="oil cooled type"),VLOOKUP(L48,変３,13,FALSE),IF(AND(BA46=3,F48=60,L46="(F)molded type"),VLOOKUP(L48,変３,18,FALSE),FALSE)))))</f>
        <v>0</v>
      </c>
      <c r="AO49" s="226" t="str">
        <f>IF(AND(L42="",N(AY47)&lt;10^29),AY47,"")</f>
        <v/>
      </c>
      <c r="AP49" s="227" t="str">
        <f>IF(V46="","",IF(AND(N(V49)=0,N(AP47)=0),0,(AQ49-AP47*(AQ48^2+AQ49^2))/((AQ48*AP47)^2+(AP47*AQ49-1)^2)))</f>
        <v/>
      </c>
      <c r="AQ49" s="228">
        <f>IF(N(V49)=0,10^30,V49)</f>
        <v>1E+30</v>
      </c>
      <c r="AR49" s="226" t="str">
        <f>IF(AB46="","",IF(AB46="600V IV",VLOOKUP(AB48,ＩＶ,3,FALSE),IF(AB46="600V CV-T",VLOOKUP(AB48,ＣＶＴ,3,FALSE),IF(OR(AB46="600V CV-1C",AB46="600V CV-2C",AB46="600V CV-3C",AB46="600V CV-4C"),VLOOKUP(AB48,ＣＶ２３Ｃ,3,FALSE),VLOOKUP(AB48,ＣＵＳＥＲ,3,FALSE)))))</f>
        <v/>
      </c>
      <c r="AS49" s="228" t="str">
        <f>IF(OR(AND(AS306="",AS307=""),AND(D46="",D306&lt;&gt;"")),AS47,(AS47*(AT306^2+AT307^2)+AT307*(AS46^2+AS47^2))/((AS46+AT306)^2+(AS47+AT307)^2))</f>
        <v/>
      </c>
      <c r="AT49" s="229" t="str">
        <f>IF(Z49="",AS49,N(AS49)+(Z49/1000))</f>
        <v/>
      </c>
      <c r="AU49" s="229" t="str">
        <f>IF(AU47="","",(AT49*(AU46^2+AU47^2)+AU47*(AT48^2+AT49^2))/((AT48+AU46)^2+(AT49+AU47)^2))</f>
        <v/>
      </c>
      <c r="AV49" s="229">
        <f>AV45+AV48</f>
        <v>8</v>
      </c>
      <c r="AW49" s="228" t="str">
        <f>IF(AO49="","",AW47+AO49)</f>
        <v/>
      </c>
      <c r="AX49" s="230"/>
      <c r="AY49" s="224">
        <f>IF(L48="",10^30,SQRT(BA46)*(BA48^2)*(N(AN47)+N(AN49)+N(AO47)+N(AV47))/(100000*L48*M46))</f>
        <v>1E+30</v>
      </c>
      <c r="AZ49" s="225"/>
      <c r="BA49" s="220">
        <f>IF(AND(F48="",SUM(S46:S49)&lt;&gt;0),BA45,F48)</f>
        <v>0</v>
      </c>
      <c r="BB49" s="221">
        <f t="shared" si="0"/>
        <v>0</v>
      </c>
      <c r="BC49" s="232"/>
      <c r="BD49" s="232"/>
    </row>
    <row r="50" spans="1:56" ht="15" customHeight="1">
      <c r="B50" s="84" t="s">
        <v>71</v>
      </c>
      <c r="C50" s="271" t="str">
        <f>IF(BC50=1,"●","・")</f>
        <v>・</v>
      </c>
      <c r="D50" s="402"/>
      <c r="E50" s="403"/>
      <c r="F50" s="404"/>
      <c r="G50" s="265" t="str">
        <f>IF(F50="","","φ")</f>
        <v/>
      </c>
      <c r="H50" s="405"/>
      <c r="I50" s="265" t="str">
        <f>IF(H50="","","W")</f>
        <v/>
      </c>
      <c r="J50" s="405"/>
      <c r="K50" s="272" t="str">
        <f>IF(J50="","","V")</f>
        <v/>
      </c>
      <c r="L50" s="406"/>
      <c r="M50" s="407"/>
      <c r="N50" s="408"/>
      <c r="O50" s="193"/>
      <c r="P50" s="86"/>
      <c r="Q50" s="194"/>
      <c r="R50" s="87"/>
      <c r="S50" s="88" t="str">
        <f>IF(R50="","",IF(Q50="",P50/R50,P50/(Q50*R50)))</f>
        <v/>
      </c>
      <c r="T50" s="195"/>
      <c r="U50" s="196" t="str">
        <f>IF(OR(BA52="",S50=""),"",S50*1000*T50/(SQRT(BA50)*BA52))</f>
        <v/>
      </c>
      <c r="V50" s="254" t="str">
        <f>IF(AND(N(U50)=0,N(U51)=0,N(U52)=0,N(U53)=0),"",BA52/(SUM(U50:U53)))</f>
        <v/>
      </c>
      <c r="W50" s="280"/>
      <c r="X50" s="281"/>
      <c r="Y50" s="242"/>
      <c r="Z50" s="243"/>
      <c r="AA50" s="239"/>
      <c r="AB50" s="241"/>
      <c r="AC50" s="242"/>
      <c r="AD50" s="243"/>
      <c r="AE50" s="247"/>
      <c r="AF50" s="233" t="str">
        <f>IF(OR(AND(AF46="",N(BA48)=0,BA52&lt;&gt;0),D50&lt;&gt;""),AX52/AQ51,"")</f>
        <v/>
      </c>
      <c r="AG50" s="249" t="str">
        <f>IF(BA52=0,"",IF(AD52="",AX50,IF(AND(D50&lt;&gt;"",AU50=""),AX52*SQRT(AP52^2+AP53^2)/SQRT(AS50^2+AS51^2)/AQ51,AX50*SQRT(AP52^2+AP53^2)/SQRT(AS50^2+AS51^2))))</f>
        <v/>
      </c>
      <c r="AH50" s="250"/>
      <c r="AI50" s="234" t="str">
        <f>IF(AG50="","",IF(N(U50)&lt;0,-AX50*AQ51/SQRT(AS50^2+AS51^2),AX50*AQ51/SQRT(AS50^2+AS51^2)))</f>
        <v/>
      </c>
      <c r="AJ50" s="256"/>
      <c r="AK50" s="257"/>
      <c r="AL50" s="186"/>
      <c r="AM50" s="28"/>
      <c r="AN50" s="213" t="b">
        <f>IF(BA50="","",IF(AND(BA50=1,F52=50,L50="oil cooled type"),VLOOKUP(L52,変１,2,FALSE),IF(AND(BA50=1,F52=50,L50="(F)molded type"),VLOOKUP(L52,変１,7,FALSE),IF(AND(BA50=1,F52=60,L50="oil cooled type"),VLOOKUP(L52,変１,12,FALSE),IF(AND(BA50=1,F52=60,L50="(F)molded type"),VLOOKUP(L52,変１,17,FALSE),FALSE)))))</f>
        <v>0</v>
      </c>
      <c r="AO50" s="213">
        <f>IF(ISNA(VLOOKUP(L52,変ＵＳＥＲ,2,FALSE)),0,VLOOKUP(L52,変ＵＳＥＲ,2,FALSE))</f>
        <v>0</v>
      </c>
      <c r="AP50" s="214">
        <f>IF(N50="",0,N50*1000/BA52^2/SQRT(BA50))</f>
        <v>0</v>
      </c>
      <c r="AQ50" s="213" t="b">
        <f>IF(BA50=1,2,IF(BA50=3,SQRT(3),FALSE))</f>
        <v>0</v>
      </c>
      <c r="AR50" s="215" t="str">
        <f>IF(X50="","",IF(X50="600V IV",VLOOKUP(X52,ＩＶ,2,FALSE),IF(X50="600V CV-T",VLOOKUP(X52,ＣＶＴ,2,FALSE),IF(OR(X50="600V CV-1C",X50="600V CV-2C",X50="600V CV-3C",X50="600V CV-4C"),VLOOKUP(X52,ＣＶ２３Ｃ,2,FALSE),VLOOKUP(X52,ＣＵＳＥＲ,2,FALSE)))))</f>
        <v/>
      </c>
      <c r="AS50" s="213" t="str">
        <f>IF(AB53="",AP52,AP52+(AB53/1000))</f>
        <v/>
      </c>
      <c r="AT50" s="216" t="str">
        <f>IF(AU52="",AT52,AU52)</f>
        <v/>
      </c>
      <c r="AU50" s="216" t="str">
        <f>IF(D50="","",IF(AND(D310="",D314&lt;&gt;"",AV53=AV317),AT314,IF(AND(D310="",D314="",D318&lt;&gt;"",AV313=AV321),AT318,IF(AND(D310="",D314="",D318="",#REF!&lt;&gt;"",AV317=#REF!),#REF!,IF(AND(D310="",D314="",D318="",#REF!="",#REF!&lt;&gt;"",AV321=#REF!),#REF!,IF(AND(D310="",D314="",D318="",#REF!="",#REF!="",#REF!&lt;&gt;"",#REF!=#REF!),#REF!,IF(AND(D310="",D314="",D318="",#REF!="",#REF!="",#REF!="",D322&lt;&gt;"",#REF!=#REF!),AT322,"")))))))</f>
        <v/>
      </c>
      <c r="AV50" s="216" t="str">
        <f>IF(L50="ACG",IF(ISNA(VLOOKUP(L52,ＡＣＧ,2,FALSE)),0,VLOOKUP(L52,ＡＣＧ,2,FALSE)),"")</f>
        <v/>
      </c>
      <c r="AW50" s="217" t="str">
        <f>IF(AT50="","",AT50/((AT50*AP50)^2+(AT51*AP50-1)^2))</f>
        <v/>
      </c>
      <c r="AX50" s="218" t="str">
        <f>IF(BA52=0,"",IF(OR(AX46="",AF50&lt;&gt;""),AF50*SQRT(AS52^2+AS53^2)/SQRT(AT52^2+AT53^2),AX46*SQRT(AS52^2+AS53^2)/SQRT(AT52^2+AT53^2)))</f>
        <v/>
      </c>
      <c r="AY50" s="219">
        <f>IF(N(AY52)=10^30,10^30,IF(N(AY312)=10^30,(N(AY52)*(N(AY312)^2+N(AY313)^2)+N(AY312)*(N(AY52)^2+N(AY53)^2))/((N(AY52)+N(AY312))^2+(N(AY53)+N(AY313))^2),(N(AY52)*(N(AY310)^2+N(AY311)^2)+N(AY310)*(N(AY52)^2+N(AY53)^2))/((N(AY52)+N(AY310))^2+(N(AY53)+N(AY311))^2)))</f>
        <v>1E+30</v>
      </c>
      <c r="AZ50" s="23"/>
      <c r="BA50" s="220">
        <f>IF(AND(F50="",SUM(S50:S53)&lt;&gt;0),BA46,F50)</f>
        <v>0</v>
      </c>
      <c r="BB50" s="221">
        <f t="shared" si="0"/>
        <v>0</v>
      </c>
      <c r="BC50" s="232">
        <f>IF(OR(E50="",F53="",AND(OR(P50="",Q50="",R50="",T50=""),OR(P51="",Q51="",R51="",T51=""),OR(P52="",Q52="",R52="",T52=""),OR(P53="",Q53="",R53="",T53="")),AND(OR(X50="",X52="",Y52="",Z52=""),OR(AB50="",AB52="",AC52="",AD52=""))),0,1)</f>
        <v>0</v>
      </c>
      <c r="BD50" s="232">
        <f>BC50+BD46</f>
        <v>0</v>
      </c>
    </row>
    <row r="51" spans="1:56" ht="15" customHeight="1">
      <c r="B51" s="84" t="s">
        <v>72</v>
      </c>
      <c r="C51" s="271"/>
      <c r="D51" s="409"/>
      <c r="E51" s="362"/>
      <c r="F51" s="410"/>
      <c r="G51" s="266"/>
      <c r="H51" s="266"/>
      <c r="I51" s="266"/>
      <c r="J51" s="266"/>
      <c r="K51" s="273"/>
      <c r="L51" s="411"/>
      <c r="M51" s="197" t="str">
        <f>IF(L50="ACG",SQRT(AV50^2+AV51^2),IF(L52="","",IF(OR(L50="oil cooled type",L50="(F)molded type"),IF(BA50=1,SQRT(AN50^2+AN51^2),IF(BA50=3,SQRT(AN52^2+AN53^2))),SQRT(AO50^2+AO51^2))))</f>
        <v/>
      </c>
      <c r="N51" s="412"/>
      <c r="O51" s="198"/>
      <c r="P51" s="90"/>
      <c r="Q51" s="199"/>
      <c r="R51" s="91"/>
      <c r="S51" s="92" t="str">
        <f>IF(R52="","",IF(Q52="",P52/R52,P52/(Q52*R52)))</f>
        <v/>
      </c>
      <c r="T51" s="200"/>
      <c r="U51" s="201" t="str">
        <f>IF(OR(BA52="",S51=""),"",S51*1000*T51/(SQRT(BA50)*BA52))</f>
        <v/>
      </c>
      <c r="V51" s="255"/>
      <c r="W51" s="248"/>
      <c r="X51" s="258"/>
      <c r="Y51" s="245"/>
      <c r="Z51" s="246"/>
      <c r="AA51" s="240"/>
      <c r="AB51" s="244"/>
      <c r="AC51" s="245"/>
      <c r="AD51" s="246"/>
      <c r="AE51" s="248"/>
      <c r="AF51" s="235" t="str">
        <f>IF(OR(AF50="",AG46&lt;&gt;""),"",AF50*AQ51/SQRT(AT50^2+AT51^2))</f>
        <v/>
      </c>
      <c r="AG51" s="274" t="str">
        <f>IF(AG50="","",100*AG50*AQ51/BA52)</f>
        <v/>
      </c>
      <c r="AH51" s="275"/>
      <c r="AI51" s="260" t="str">
        <f>IF(BA52=0,"",IF(AI46="",AX52/SQRT(AT50^2+AT51^2),IF(AI54="","",IF(AT50&lt;0,-AX50*AQ47/SQRT(AT50^2+AT51^2),AX50*AQ47/SQRT(AT50^2+AT51^2)))))</f>
        <v/>
      </c>
      <c r="AJ51" s="258"/>
      <c r="AK51" s="259"/>
      <c r="AL51" s="187"/>
      <c r="AM51" s="28"/>
      <c r="AN51" s="213" t="b">
        <f>IF(BA50="","",IF(AND(BA50=1,F52=50,L50="oil cooled type"),VLOOKUP(L52,変１,3,FALSE),IF(AND(BA50=1,F52=50,L50="(F)molded type"),VLOOKUP(L52,変１,8,FALSE),IF(AND(BA50=1,F52=60,L50="oil cooled type"),VLOOKUP(L52,変１,13,FALSE),IF(AND(BA50=1,F52=60,L50="(F)molded type"),VLOOKUP(L52,変１,18,FALSE),FALSE)))))</f>
        <v>0</v>
      </c>
      <c r="AO51" s="213">
        <f>IF(ISNA(VLOOKUP(L52,変ＵＳＥＲ,3,FALSE)),0,VLOOKUP(L52,変ＵＳＥＲ,3,FALSE)*BA53/50)</f>
        <v>0</v>
      </c>
      <c r="AP51" s="214">
        <f>IF(W50="",0,W50*1000/BA52^2/SQRT(BA50))</f>
        <v>0</v>
      </c>
      <c r="AQ51" s="213">
        <f>IF(AND(BA50=1,BA51=2),1,IF(AND(BA50=3,BA51=3),1,IF(AND(BA50=1,BA51=3),2,IF(AND(BA50=3,BA51=4)*OR(BB50=1,BB51=1,BB52=1,BB53=1),1,SQRT(3)))))</f>
        <v>1.7320508075688772</v>
      </c>
      <c r="AR51" s="215" t="str">
        <f>IF(X50="","",IF(X50="600V IV",VLOOKUP(X52,ＩＶ,3,FALSE),IF(X50="600V CV-T",VLOOKUP(X52,ＣＶＴ,3,FALSE),IF(OR(X50="600V CV-1C",X50="600V CV-2C",X50="600V CV-3C",X50="600V CV-4C"),VLOOKUP(X52,ＣＶ２３Ｃ,3,FALSE),VLOOKUP(X52,ＣＵＳＥＲ,3,FALSE)))))</f>
        <v/>
      </c>
      <c r="AS51" s="213" t="str">
        <f>IF(AD53="",AP53,AP53+(AD53/1000))</f>
        <v/>
      </c>
      <c r="AT51" s="216" t="str">
        <f>IF(AU53="",AT53,AU53)</f>
        <v/>
      </c>
      <c r="AU51" s="216" t="str">
        <f>IF(D50="","",IF(AND(D310="",D314&lt;&gt;"",AV53=AV317),AT315,IF(AND(D310="",D314="",D318&lt;&gt;"",AV313=AV321),AT319,IF(AND(D310="",D314="",D318="",#REF!&lt;&gt;"",AV317=#REF!),#REF!,IF(AND(D310="",D314="",D318="",#REF!="",#REF!&lt;&gt;"",AV321=#REF!),#REF!,IF(AND(D310="",D314="",D318="",#REF!="",#REF!="",#REF!&lt;&gt;"",#REF!=#REF!),#REF!,IF(AND(D310="",D314="",D318="",#REF!="",#REF!="",#REF!="",D322&lt;&gt;"",#REF!=#REF!),AT323,"")))))))</f>
        <v/>
      </c>
      <c r="AV51" s="215" t="str">
        <f>IF(L50="ACG",IF(ISNA(VLOOKUP(L52,ＡＣＧ,3,FALSE)),0,VLOOKUP(L52,ＡＣＧ,3,FALSE)*BA53/50),"")</f>
        <v/>
      </c>
      <c r="AW51" s="217" t="str">
        <f>IF(AT51="","",(AT51-AP50*(AT50^2+AT51^2))/((AT50*AP50)^2+(AP50*AT51-1)^2))</f>
        <v/>
      </c>
      <c r="AX51" s="218"/>
      <c r="AY51" s="219">
        <f>IF(N(AY53)=10^30,10^30,IF(N(AY313)=10^30,(N(AY53)*(N(AY312)^2+N(AY313)^2)+N(AY313)*(N(AY52)^2+N(AY53)^2))/((N(AY52)+N(AY312))^2+(N(AY53)+N(AY313))^2),(N(AY53)*(N(AY310)^2+N(AY311)^2)+N(AY311)*(N(AY52)^2+N(AY53)^2))/((N(AY52)+N(AY310))^2+(N(AY53)+N(AY311))^2)))</f>
        <v>1E+30</v>
      </c>
      <c r="AZ51" s="23"/>
      <c r="BA51" s="220">
        <f>IF(AND(H50="",SUM(S50:S53)&lt;&gt;0),BA47,H50)</f>
        <v>0</v>
      </c>
      <c r="BB51" s="221">
        <f t="shared" si="0"/>
        <v>0</v>
      </c>
      <c r="BC51" s="232"/>
      <c r="BD51" s="232"/>
    </row>
    <row r="52" spans="1:56" ht="15" customHeight="1">
      <c r="B52" s="84" t="s">
        <v>73</v>
      </c>
      <c r="C52" s="271"/>
      <c r="D52" s="409"/>
      <c r="E52" s="362"/>
      <c r="F52" s="413"/>
      <c r="G52" s="414"/>
      <c r="H52" s="414"/>
      <c r="I52" s="414"/>
      <c r="J52" s="414"/>
      <c r="K52" s="415"/>
      <c r="L52" s="416"/>
      <c r="M52" s="275"/>
      <c r="N52" s="412"/>
      <c r="O52" s="198"/>
      <c r="P52" s="93"/>
      <c r="Q52" s="202"/>
      <c r="R52" s="91"/>
      <c r="S52" s="92" t="str">
        <f>IF(R53="","",IF(Q53="",P53/R53,P53/(Q53*R53)))</f>
        <v/>
      </c>
      <c r="T52" s="200"/>
      <c r="U52" s="203" t="str">
        <f>IF(OR(BA52="",S52=""),"",S52*1000*T52/(SQRT(BA50)*BA52))</f>
        <v/>
      </c>
      <c r="V52" s="94" t="str">
        <f>IF(AND(N(U50)=0,N(U51)=0,N(U52)=0,N(U53)=0),"",V50*(P50*R50*T50+P51*R51*T51+P52*R52*T52+P53*R53*T53)/(P50*T50+P51*T51+P52*T52+P53*T53))</f>
        <v/>
      </c>
      <c r="W52" s="276" t="str">
        <f>IF(AND(N(AP52)=0,N(AP53)=0,N(AP51)=0),"",IF(AP53&gt;=0,COS(ATAN(AP53/AP52)),-COS(ATAN(AP53/AP52))))</f>
        <v/>
      </c>
      <c r="X52" s="95"/>
      <c r="Y52" s="204"/>
      <c r="Z52" s="96"/>
      <c r="AA52" s="97"/>
      <c r="AB52" s="98"/>
      <c r="AC52" s="204"/>
      <c r="AD52" s="96"/>
      <c r="AE52" s="99"/>
      <c r="AF52" s="236" t="str">
        <f>IF(OR(AF50="",AG46&lt;&gt;""),"",BA52/SQRT(AW52^2+AW53^2))</f>
        <v/>
      </c>
      <c r="AG52" s="274" t="str">
        <f>IF(AG50="","",100*((BA52/AQ51)-AG50)/(BA52/AQ51))</f>
        <v/>
      </c>
      <c r="AH52" s="275"/>
      <c r="AI52" s="261"/>
      <c r="AJ52" s="262"/>
      <c r="AK52" s="264"/>
      <c r="AL52" s="188"/>
      <c r="AM52" s="28"/>
      <c r="AN52" s="222" t="b">
        <f>IF(BA50="","",IF(AND(BA50=3,F52=50,L50="oil cooled type"),VLOOKUP(L52,変３,2,FALSE),IF(AND(BA50=3,F52=50,L50="(F)molded type"),VLOOKUP(L52,変３,7,FALSE),IF(AND(BA50=3,F52=60,L50="oil cooled type"),VLOOKUP(L52,変３,12,FALSE),IF(AND(BA50=3,F52=60,L50="(F)molded type"),VLOOKUP(L52,変３,17,FALSE),FALSE)))))</f>
        <v>0</v>
      </c>
      <c r="AO52" s="215" t="str">
        <f>IF(AND(L46="",N(AY50)&lt;10^29),AY50,"")</f>
        <v/>
      </c>
      <c r="AP52" s="223" t="str">
        <f>IF(V50="","",IF(AND(N(V52)=0,N(AP51)=0),"",AQ52/((AQ52*AP51)^2+(AP51*AQ53-1)^2)))</f>
        <v/>
      </c>
      <c r="AQ52" s="213">
        <f>IF(N(V52)=0,10^30,V52)</f>
        <v>1E+30</v>
      </c>
      <c r="AR52" s="215" t="str">
        <f>IF(AB50="","",IF(AB50="600V IV",VLOOKUP(AB52,ＩＶ,2,FALSE),IF(AB50="600V CV-T",VLOOKUP(AB52,ＣＶＴ,2,FALSE),IF(OR(AB50="600V CV-1C",AB50="600V CV-2C",AB50="600V CV-3C",AB50="600V CV-4C"),VLOOKUP(AB52,ＣＶ２３Ｃ,2,FALSE),VLOOKUP(AB52,ＣＵＳＥＲ,2,FALSE)))))</f>
        <v/>
      </c>
      <c r="AS52" s="213" t="str">
        <f>IF(OR(AND(AS310="",AS311=""),AND(D50="",D310&lt;&gt;"")),AS50,(AS50*(AT310^2+AT311^2)+AT310*(AS50^2+AS51^2))/((AS50+AT310)^2+(AS51+AT311)^2))</f>
        <v/>
      </c>
      <c r="AT52" s="216" t="str">
        <f>IF(X53="",AS52,N(AS52)+(X53/1000))</f>
        <v/>
      </c>
      <c r="AU52" s="216" t="str">
        <f>IF(AU50="","",(AT52*(AU50^2+AU51^2)+AU50*(AT52^2+AT53^2))/((AT52+AU50)^2+(AT53+AU51)^2))</f>
        <v/>
      </c>
      <c r="AV52" s="216">
        <f>IF(BA52=0,1,0)</f>
        <v>1</v>
      </c>
      <c r="AW52" s="217" t="str">
        <f>IF(AO52="","",AW50+AO52)</f>
        <v/>
      </c>
      <c r="AX52" s="218" t="str">
        <f>IF(AND(AX48="",AW52&lt;&gt;""),BA52*SQRT(AW50^2+AW51^2)/SQRT(AW52^2+AW53^2),IF(BA52&lt;&gt;0,AX48,""))</f>
        <v/>
      </c>
      <c r="AY52" s="224">
        <f>IF(L52="",10^30,SQRT(BA50)*(BA52^2)*(N(AN50)+N(AN52)+N(AO50)+N(AV50))/(100000*L52*M50))</f>
        <v>1E+30</v>
      </c>
      <c r="AZ52" s="225"/>
      <c r="BA52" s="220">
        <f>IF(AND(J50="",SUM(S50:S53)&lt;&gt;0),BA48,J50)</f>
        <v>0</v>
      </c>
      <c r="BB52" s="221">
        <f t="shared" si="0"/>
        <v>0</v>
      </c>
      <c r="BC52" s="232"/>
      <c r="BD52" s="232"/>
    </row>
    <row r="53" spans="1:56" ht="15" customHeight="1">
      <c r="A53" s="85"/>
      <c r="B53" s="84" t="s">
        <v>74</v>
      </c>
      <c r="C53" s="271"/>
      <c r="D53" s="417"/>
      <c r="E53" s="418"/>
      <c r="F53" s="419"/>
      <c r="G53" s="270"/>
      <c r="H53" s="270"/>
      <c r="I53" s="270"/>
      <c r="J53" s="270"/>
      <c r="K53" s="268"/>
      <c r="L53" s="251" t="str">
        <f>IF(M50="","",L52*1000*M50/(SQRT(BA50)*BA52))</f>
        <v/>
      </c>
      <c r="M53" s="252"/>
      <c r="N53" s="277"/>
      <c r="O53" s="205"/>
      <c r="P53" s="106"/>
      <c r="Q53" s="206"/>
      <c r="R53" s="107"/>
      <c r="S53" s="108" t="str">
        <f>IF(R53="","",IF(Q53="",P53/R53,P53/(Q53*R53)))</f>
        <v/>
      </c>
      <c r="T53" s="207"/>
      <c r="U53" s="208" t="str">
        <f>IF(OR(BA52="",S53=""),"",S53*1000*T53/(SQRT(BA50)*BA52))</f>
        <v/>
      </c>
      <c r="V53" s="109" t="str">
        <f>IF(AND(N(U50)=0,N(U51)=0,N(U52)=0,N(U53)=0),"",IF(V50&gt;=0,SQRT(ABS(V50^2-V52^2)),-SQRT(V50^2-V52^2)))</f>
        <v/>
      </c>
      <c r="W53" s="277"/>
      <c r="X53" s="278" t="str">
        <f>IF(Y52="","",AQ50*Z52*AR50*((1+0.00393*(F53-20))/1.2751)/Y52)</f>
        <v/>
      </c>
      <c r="Y53" s="270"/>
      <c r="Z53" s="267" t="str">
        <f>IF(Y52="","",(BA53/50)*AQ50*Z52*AR51/Y52)</f>
        <v/>
      </c>
      <c r="AA53" s="252"/>
      <c r="AB53" s="279" t="str">
        <f>IF(AC52="","",AQ50*AD52*AR52*((1+0.00393*(F53-20))/1.2751)/AC52)</f>
        <v/>
      </c>
      <c r="AC53" s="270"/>
      <c r="AD53" s="267" t="str">
        <f>IF(AC52="","",(BA53/50)*AQ50*AD52*AR53/AC52)</f>
        <v/>
      </c>
      <c r="AE53" s="268"/>
      <c r="AF53" s="237" t="str">
        <f>IF(AND(AX50&lt;&gt;"",D50=""),AX50,"")</f>
        <v/>
      </c>
      <c r="AG53" s="269" t="str">
        <f>IF(AP52="","",AP52)</f>
        <v/>
      </c>
      <c r="AH53" s="270"/>
      <c r="AI53" s="238" t="str">
        <f>IF(AP53="","",AP53)</f>
        <v/>
      </c>
      <c r="AJ53" s="263"/>
      <c r="AK53" s="253"/>
      <c r="AL53" s="189"/>
      <c r="AM53" s="28"/>
      <c r="AN53" s="226" t="b">
        <f>IF(BA50="","",IF(AND(BA50=3,F52=50,L50="oil cooled type"),VLOOKUP(L52,変３,3,FALSE),IF(AND(BA50=3,F52=50,L50="(F)molded type"),VLOOKUP(L52,変３,8,FALSE),IF(AND(BA50=3,F52=60,L50="oil cooled type"),VLOOKUP(L52,変３,13,FALSE),IF(AND(BA50=3,F52=60,L50="(F)molded type"),VLOOKUP(L52,変３,18,FALSE),FALSE)))))</f>
        <v>0</v>
      </c>
      <c r="AO53" s="226" t="str">
        <f>IF(AND(L46="",N(AY51)&lt;10^29),AY51,"")</f>
        <v/>
      </c>
      <c r="AP53" s="227" t="str">
        <f>IF(V50="","",IF(AND(N(V53)=0,N(AP51)=0),0,(AQ53-AP51*(AQ52^2+AQ53^2))/((AQ52*AP51)^2+(AP51*AQ53-1)^2)))</f>
        <v/>
      </c>
      <c r="AQ53" s="228">
        <f>IF(N(V53)=0,10^30,V53)</f>
        <v>1E+30</v>
      </c>
      <c r="AR53" s="226" t="str">
        <f>IF(AB50="","",IF(AB50="600V IV",VLOOKUP(AB52,ＩＶ,3,FALSE),IF(AB50="600V CV-T",VLOOKUP(AB52,ＣＶＴ,3,FALSE),IF(OR(AB50="600V CV-1C",AB50="600V CV-2C",AB50="600V CV-3C",AB50="600V CV-4C"),VLOOKUP(AB52,ＣＶ２３Ｃ,3,FALSE),VLOOKUP(AB52,ＣＵＳＥＲ,3,FALSE)))))</f>
        <v/>
      </c>
      <c r="AS53" s="228" t="str">
        <f>IF(OR(AND(AS310="",AS311=""),AND(D50="",D310&lt;&gt;"")),AS51,(AS51*(AT310^2+AT311^2)+AT311*(AS50^2+AS51^2))/((AS50+AT310)^2+(AS51+AT311)^2))</f>
        <v/>
      </c>
      <c r="AT53" s="229" t="str">
        <f>IF(Z53="",AS53,N(AS53)+(Z53/1000))</f>
        <v/>
      </c>
      <c r="AU53" s="229" t="str">
        <f>IF(AU51="","",(AT53*(AU50^2+AU51^2)+AU51*(AT52^2+AT53^2))/((AT52+AU50)^2+(AT53+AU51)^2))</f>
        <v/>
      </c>
      <c r="AV53" s="229">
        <f>AV49+AV52</f>
        <v>9</v>
      </c>
      <c r="AW53" s="228" t="str">
        <f>IF(AO53="","",AW51+AO53)</f>
        <v/>
      </c>
      <c r="AX53" s="230"/>
      <c r="AY53" s="224">
        <f>IF(L52="",10^30,SQRT(BA50)*(BA52^2)*(N(AN51)+N(AN53)+N(AO51)+N(AV51))/(100000*L52*M50))</f>
        <v>1E+30</v>
      </c>
      <c r="AZ53" s="225"/>
      <c r="BA53" s="220">
        <f>IF(AND(F52="",SUM(S50:S53)&lt;&gt;0),BA49,F52)</f>
        <v>0</v>
      </c>
      <c r="BB53" s="221">
        <f t="shared" si="0"/>
        <v>0</v>
      </c>
      <c r="BC53" s="232"/>
      <c r="BD53" s="232"/>
    </row>
    <row r="54" spans="1:56" ht="15" customHeight="1">
      <c r="B54" s="84" t="s">
        <v>75</v>
      </c>
      <c r="C54" s="271" t="str">
        <f>IF(BC54=1,"●","・")</f>
        <v>・</v>
      </c>
      <c r="D54" s="402"/>
      <c r="E54" s="403"/>
      <c r="F54" s="404"/>
      <c r="G54" s="265" t="str">
        <f>IF(F54="","","φ")</f>
        <v/>
      </c>
      <c r="H54" s="405"/>
      <c r="I54" s="265" t="str">
        <f>IF(H54="","","W")</f>
        <v/>
      </c>
      <c r="J54" s="405"/>
      <c r="K54" s="272" t="str">
        <f>IF(J54="","","V")</f>
        <v/>
      </c>
      <c r="L54" s="406"/>
      <c r="M54" s="407"/>
      <c r="N54" s="408"/>
      <c r="O54" s="193"/>
      <c r="P54" s="86"/>
      <c r="Q54" s="194"/>
      <c r="R54" s="87"/>
      <c r="S54" s="88" t="str">
        <f>IF(R54="","",IF(Q54="",P54/R54,P54/(Q54*R54)))</f>
        <v/>
      </c>
      <c r="T54" s="195"/>
      <c r="U54" s="196" t="str">
        <f>IF(OR(BA56="",S54=""),"",S54*1000*T54/(SQRT(BA54)*BA56))</f>
        <v/>
      </c>
      <c r="V54" s="254" t="str">
        <f>IF(AND(N(U54)=0,N(U55)=0,N(U56)=0,N(U57)=0),"",BA56/(SUM(U54:U57)))</f>
        <v/>
      </c>
      <c r="W54" s="280"/>
      <c r="X54" s="281"/>
      <c r="Y54" s="242"/>
      <c r="Z54" s="243"/>
      <c r="AA54" s="239"/>
      <c r="AB54" s="241"/>
      <c r="AC54" s="242"/>
      <c r="AD54" s="243"/>
      <c r="AE54" s="247"/>
      <c r="AF54" s="233" t="str">
        <f>IF(OR(AND(AF50="",N(BA52)=0,BA56&lt;&gt;0),D54&lt;&gt;""),AX56/AQ55,"")</f>
        <v/>
      </c>
      <c r="AG54" s="249" t="str">
        <f>IF(BA56=0,"",IF(AD56="",AX54,IF(AND(D54&lt;&gt;"",AU54=""),AX56*SQRT(AP56^2+AP57^2)/SQRT(AS54^2+AS55^2)/AQ55,AX54*SQRT(AP56^2+AP57^2)/SQRT(AS54^2+AS55^2))))</f>
        <v/>
      </c>
      <c r="AH54" s="250"/>
      <c r="AI54" s="234" t="str">
        <f>IF(AG54="","",IF(N(U54)&lt;0,-AX54*AQ55/SQRT(AS54^2+AS55^2),AX54*AQ55/SQRT(AS54^2+AS55^2)))</f>
        <v/>
      </c>
      <c r="AJ54" s="256"/>
      <c r="AK54" s="257"/>
      <c r="AL54" s="186"/>
      <c r="AM54" s="28"/>
      <c r="AN54" s="213" t="b">
        <f>IF(BA54="","",IF(AND(BA54=1,F56=50,L54="oil cooled type"),VLOOKUP(L56,変１,2,FALSE),IF(AND(BA54=1,F56=50,L54="(F)molded type"),VLOOKUP(L56,変１,7,FALSE),IF(AND(BA54=1,F56=60,L54="oil cooled type"),VLOOKUP(L56,変１,12,FALSE),IF(AND(BA54=1,F56=60,L54="(F)molded type"),VLOOKUP(L56,変１,17,FALSE),FALSE)))))</f>
        <v>0</v>
      </c>
      <c r="AO54" s="213">
        <f>IF(ISNA(VLOOKUP(L56,変ＵＳＥＲ,2,FALSE)),0,VLOOKUP(L56,変ＵＳＥＲ,2,FALSE))</f>
        <v>0</v>
      </c>
      <c r="AP54" s="214">
        <f>IF(N54="",0,N54*1000/BA56^2/SQRT(BA54))</f>
        <v>0</v>
      </c>
      <c r="AQ54" s="213" t="b">
        <f>IF(BA54=1,2,IF(BA54=3,SQRT(3),FALSE))</f>
        <v>0</v>
      </c>
      <c r="AR54" s="215" t="str">
        <f>IF(X54="","",IF(X54="600V IV",VLOOKUP(X56,ＩＶ,2,FALSE),IF(X54="600V CV-T",VLOOKUP(X56,ＣＶＴ,2,FALSE),IF(OR(X54="600V CV-1C",X54="600V CV-2C",X54="600V CV-3C",X54="600V CV-4C"),VLOOKUP(X56,ＣＶ２３Ｃ,2,FALSE),VLOOKUP(X56,ＣＵＳＥＲ,2,FALSE)))))</f>
        <v/>
      </c>
      <c r="AS54" s="213" t="str">
        <f>IF(AB57="",AP56,AP56+(AB57/1000))</f>
        <v/>
      </c>
      <c r="AT54" s="216" t="str">
        <f>IF(AU56="",AT56,AU56)</f>
        <v/>
      </c>
      <c r="AU54" s="216" t="str">
        <f>IF(D54="","",IF(AND(D314="",D318&lt;&gt;"",AV57=AV321),AT318,IF(AND(D314="",D318="",#REF!&lt;&gt;"",AV317=#REF!),#REF!,IF(AND(D314="",D318="",#REF!="",#REF!&lt;&gt;"",AV321=#REF!),#REF!,IF(AND(D314="",D318="",#REF!="",#REF!="",#REF!&lt;&gt;"",#REF!=#REF!),#REF!,IF(AND(D314="",D318="",#REF!="",#REF!="",#REF!="",D322&lt;&gt;"",#REF!=#REF!),AT322,IF(AND(D314="",D318="",#REF!="",#REF!="",#REF!="",D322="",#REF!&lt;&gt;"",#REF!=AV326),#REF!,"")))))))</f>
        <v/>
      </c>
      <c r="AV54" s="216" t="str">
        <f>IF(L54="ACG",IF(ISNA(VLOOKUP(L56,ＡＣＧ,2,FALSE)),0,VLOOKUP(L56,ＡＣＧ,2,FALSE)),"")</f>
        <v/>
      </c>
      <c r="AW54" s="217" t="str">
        <f>IF(AT54="","",AT54/((AT54*AP54)^2+(AT55*AP54-1)^2))</f>
        <v/>
      </c>
      <c r="AX54" s="218" t="str">
        <f>IF(BA56=0,"",IF(OR(AX50="",AF54&lt;&gt;""),AF54*SQRT(AS56^2+AS57^2)/SQRT(AT56^2+AT57^2),AX50*SQRT(AS56^2+AS57^2)/SQRT(AT56^2+AT57^2)))</f>
        <v/>
      </c>
      <c r="AY54" s="219">
        <f>IF(N(AY56)=10^30,10^30,IF(N(AY316)=10^30,(N(AY56)*(N(AY316)^2+N(AY317)^2)+N(AY316)*(N(AY56)^2+N(AY57)^2))/((N(AY56)+N(AY316))^2+(N(AY57)+N(AY317))^2),(N(AY56)*(N(AY314)^2+N(AY315)^2)+N(AY314)*(N(AY56)^2+N(AY57)^2))/((N(AY56)+N(AY314))^2+(N(AY57)+N(AY315))^2)))</f>
        <v>1E+30</v>
      </c>
      <c r="AZ54" s="23"/>
      <c r="BA54" s="220">
        <f>IF(AND(F54="",SUM(S54:S57)&lt;&gt;0),BA50,F54)</f>
        <v>0</v>
      </c>
      <c r="BB54" s="221">
        <f t="shared" si="0"/>
        <v>0</v>
      </c>
      <c r="BC54" s="232">
        <f>IF(OR(E54="",F57="",AND(OR(P54="",Q54="",R54="",T54=""),OR(P55="",Q55="",R55="",T55=""),OR(P56="",Q56="",R56="",T56=""),OR(P57="",Q57="",R57="",T57="")),AND(OR(X54="",X56="",Y56="",Z56=""),OR(AB54="",AB56="",AC56="",AD56=""))),0,1)</f>
        <v>0</v>
      </c>
      <c r="BD54" s="232">
        <f>BC54+BD50</f>
        <v>0</v>
      </c>
    </row>
    <row r="55" spans="1:56" ht="15" customHeight="1">
      <c r="B55" s="84"/>
      <c r="C55" s="271"/>
      <c r="D55" s="409"/>
      <c r="E55" s="362"/>
      <c r="F55" s="410"/>
      <c r="G55" s="266"/>
      <c r="H55" s="266"/>
      <c r="I55" s="266"/>
      <c r="J55" s="266"/>
      <c r="K55" s="273"/>
      <c r="L55" s="411"/>
      <c r="M55" s="197" t="str">
        <f>IF(L54="ACG",SQRT(AV54^2+AV55^2),IF(L56="","",IF(OR(L54="oil cooled type",L54="(F)molded type"),IF(BA54=1,SQRT(AN54^2+AN55^2),IF(BA54=3,SQRT(AN56^2+AN57^2))),SQRT(AO54^2+AO55^2))))</f>
        <v/>
      </c>
      <c r="N55" s="412"/>
      <c r="O55" s="198"/>
      <c r="P55" s="90"/>
      <c r="Q55" s="199"/>
      <c r="R55" s="91"/>
      <c r="S55" s="92" t="str">
        <f>IF(R56="","",IF(Q56="",P56/R56,P56/(Q56*R56)))</f>
        <v/>
      </c>
      <c r="T55" s="200"/>
      <c r="U55" s="201" t="str">
        <f>IF(OR(BA56="",S55=""),"",S55*1000*T55/(SQRT(BA54)*BA56))</f>
        <v/>
      </c>
      <c r="V55" s="255"/>
      <c r="W55" s="248"/>
      <c r="X55" s="258"/>
      <c r="Y55" s="245"/>
      <c r="Z55" s="246"/>
      <c r="AA55" s="240"/>
      <c r="AB55" s="244"/>
      <c r="AC55" s="245"/>
      <c r="AD55" s="246"/>
      <c r="AE55" s="248"/>
      <c r="AF55" s="235" t="str">
        <f>IF(OR(AF54="",AG50&lt;&gt;""),"",AF54*AQ55/SQRT(AT54^2+AT55^2))</f>
        <v/>
      </c>
      <c r="AG55" s="274" t="str">
        <f>IF(AG54="","",100*AG54*AQ55/BA56)</f>
        <v/>
      </c>
      <c r="AH55" s="275"/>
      <c r="AI55" s="260" t="str">
        <f>IF(BA56=0,"",IF(AI50="",AX56/SQRT(AT54^2+AT55^2),IF(AI58="","",IF(AT54&lt;0,-AX54*AQ51/SQRT(AT54^2+AT55^2),AX54*AQ51/SQRT(AT54^2+AT55^2)))))</f>
        <v/>
      </c>
      <c r="AJ55" s="258"/>
      <c r="AK55" s="259"/>
      <c r="AL55" s="187"/>
      <c r="AM55" s="28"/>
      <c r="AN55" s="213" t="b">
        <f>IF(BA54="","",IF(AND(BA54=1,F56=50,L54="oil cooled type"),VLOOKUP(L56,変１,3,FALSE),IF(AND(BA54=1,F56=50,L54="(F)molded type"),VLOOKUP(L56,変１,8,FALSE),IF(AND(BA54=1,F56=60,L54="oil cooled type"),VLOOKUP(L56,変１,13,FALSE),IF(AND(BA54=1,F56=60,L54="(F)molded type"),VLOOKUP(L56,変１,18,FALSE),FALSE)))))</f>
        <v>0</v>
      </c>
      <c r="AO55" s="213">
        <f>IF(ISNA(VLOOKUP(L56,変ＵＳＥＲ,3,FALSE)),0,VLOOKUP(L56,変ＵＳＥＲ,3,FALSE)*BA57/50)</f>
        <v>0</v>
      </c>
      <c r="AP55" s="214">
        <f>IF(W54="",0,W54*1000/BA56^2/SQRT(BA54))</f>
        <v>0</v>
      </c>
      <c r="AQ55" s="213">
        <f>IF(AND(BA54=1,BA55=2),1,IF(AND(BA54=3,BA55=3),1,IF(AND(BA54=1,BA55=3),2,IF(AND(BA54=3,BA55=4)*OR(BB54=1,BB55=1,BB56=1,BB57=1),1,SQRT(3)))))</f>
        <v>1.7320508075688772</v>
      </c>
      <c r="AR55" s="215" t="str">
        <f>IF(X54="","",IF(X54="600V IV",VLOOKUP(X56,ＩＶ,3,FALSE),IF(X54="600V CV-T",VLOOKUP(X56,ＣＶＴ,3,FALSE),IF(OR(X54="600V CV-1C",X54="600V CV-2C",X54="600V CV-3C",X54="600V CV-4C"),VLOOKUP(X56,ＣＶ２３Ｃ,3,FALSE),VLOOKUP(X56,ＣＵＳＥＲ,3,FALSE)))))</f>
        <v/>
      </c>
      <c r="AS55" s="213" t="str">
        <f>IF(AD57="",AP57,AP57+(AD57/1000))</f>
        <v/>
      </c>
      <c r="AT55" s="216" t="str">
        <f>IF(AU57="",AT57,AU57)</f>
        <v/>
      </c>
      <c r="AU55" s="216" t="str">
        <f>IF(D54="","",IF(AND(D314="",D318&lt;&gt;"",AV57=AV321),AT319,IF(AND(D314="",D318="",#REF!&lt;&gt;"",AV317=#REF!),#REF!,IF(AND(D314="",D318="",#REF!="",#REF!&lt;&gt;"",AV321=#REF!),#REF!,IF(AND(D314="",D318="",#REF!="",#REF!="",#REF!&lt;&gt;"",#REF!=#REF!),#REF!,IF(AND(D314="",D318="",#REF!="",#REF!="",#REF!="",D322&lt;&gt;"",#REF!=#REF!),AT323,IF(AND(D314="",D318="",#REF!="",#REF!="",#REF!="",D322="",#REF!&lt;&gt;"",#REF!=AV326),AT324,"")))))))</f>
        <v/>
      </c>
      <c r="AV55" s="215" t="str">
        <f>IF(L54="ACG",IF(ISNA(VLOOKUP(L56,ＡＣＧ,3,FALSE)),0,VLOOKUP(L56,ＡＣＧ,3,FALSE)*BA57/50),"")</f>
        <v/>
      </c>
      <c r="AW55" s="217" t="str">
        <f>IF(AT55="","",(AT55-AP54*(AT54^2+AT55^2))/((AT54*AP54)^2+(AP54*AT55-1)^2))</f>
        <v/>
      </c>
      <c r="AX55" s="218"/>
      <c r="AY55" s="219">
        <f>IF(N(AY57)=10^30,10^30,IF(N(AY317)=10^30,(N(AY57)*(N(AY316)^2+N(AY317)^2)+N(AY317)*(N(AY56)^2+N(AY57)^2))/((N(AY56)+N(AY316))^2+(N(AY57)+N(AY317))^2),(N(AY57)*(N(AY314)^2+N(AY315)^2)+N(AY315)*(N(AY56)^2+N(AY57)^2))/((N(AY56)+N(AY314))^2+(N(AY57)+N(AY315))^2)))</f>
        <v>1E+30</v>
      </c>
      <c r="AZ55" s="23"/>
      <c r="BA55" s="220">
        <f>IF(AND(H54="",SUM(S54:S57)&lt;&gt;0),BA51,H54)</f>
        <v>0</v>
      </c>
      <c r="BB55" s="221">
        <f t="shared" si="0"/>
        <v>0</v>
      </c>
      <c r="BC55" s="232"/>
      <c r="BD55" s="232"/>
    </row>
    <row r="56" spans="1:56" ht="15" customHeight="1">
      <c r="B56" s="84"/>
      <c r="C56" s="271"/>
      <c r="D56" s="409"/>
      <c r="E56" s="362"/>
      <c r="F56" s="413"/>
      <c r="G56" s="414"/>
      <c r="H56" s="414"/>
      <c r="I56" s="414"/>
      <c r="J56" s="414"/>
      <c r="K56" s="415"/>
      <c r="L56" s="416"/>
      <c r="M56" s="275"/>
      <c r="N56" s="412"/>
      <c r="O56" s="198"/>
      <c r="P56" s="93"/>
      <c r="Q56" s="202"/>
      <c r="R56" s="91"/>
      <c r="S56" s="92" t="str">
        <f>IF(R57="","",IF(Q57="",P57/R57,P57/(Q57*R57)))</f>
        <v/>
      </c>
      <c r="T56" s="200"/>
      <c r="U56" s="203" t="str">
        <f>IF(OR(BA56="",S56=""),"",S56*1000*T56/(SQRT(BA54)*BA56))</f>
        <v/>
      </c>
      <c r="V56" s="94" t="str">
        <f>IF(AND(N(U54)=0,N(U55)=0,N(U56)=0,N(U57)=0),"",V54*(P54*R54*T54+P55*R55*T55+P56*R56*T56+P57*R57*T57)/(P54*T54+P55*T55+P56*T56+P57*T57))</f>
        <v/>
      </c>
      <c r="W56" s="276" t="str">
        <f>IF(AND(N(AP56)=0,N(AP57)=0,N(AP55)=0),"",IF(AP57&gt;=0,COS(ATAN(AP57/AP56)),-COS(ATAN(AP57/AP56))))</f>
        <v/>
      </c>
      <c r="X56" s="95"/>
      <c r="Y56" s="204"/>
      <c r="Z56" s="96"/>
      <c r="AA56" s="97"/>
      <c r="AB56" s="98"/>
      <c r="AC56" s="204"/>
      <c r="AD56" s="96"/>
      <c r="AE56" s="99"/>
      <c r="AF56" s="236" t="str">
        <f>IF(OR(AF54="",AG50&lt;&gt;""),"",BA56/SQRT(AW56^2+AW57^2))</f>
        <v/>
      </c>
      <c r="AG56" s="274" t="str">
        <f>IF(AG54="","",100*((BA56/AQ55)-AG54)/(BA56/AQ55))</f>
        <v/>
      </c>
      <c r="AH56" s="275"/>
      <c r="AI56" s="261"/>
      <c r="AJ56" s="262"/>
      <c r="AK56" s="264"/>
      <c r="AL56" s="188"/>
      <c r="AM56" s="28"/>
      <c r="AN56" s="222" t="b">
        <f>IF(BA54="","",IF(AND(BA54=3,F56=50,L54="oil cooled type"),VLOOKUP(L56,変３,2,FALSE),IF(AND(BA54=3,F56=50,L54="(F)molded type"),VLOOKUP(L56,変３,7,FALSE),IF(AND(BA54=3,F56=60,L54="oil cooled type"),VLOOKUP(L56,変３,12,FALSE),IF(AND(BA54=3,F56=60,L54="(F)molded type"),VLOOKUP(L56,変３,17,FALSE),FALSE)))))</f>
        <v>0</v>
      </c>
      <c r="AO56" s="215" t="str">
        <f>IF(AND(L50="",N(AY54)&lt;10^29),AY54,"")</f>
        <v/>
      </c>
      <c r="AP56" s="223" t="str">
        <f>IF(V54="","",IF(AND(N(V56)=0,N(AP55)=0),"",AQ56/((AQ56*AP55)^2+(AP55*AQ57-1)^2)))</f>
        <v/>
      </c>
      <c r="AQ56" s="213">
        <f>IF(N(V56)=0,10^30,V56)</f>
        <v>1E+30</v>
      </c>
      <c r="AR56" s="215" t="str">
        <f>IF(AB54="","",IF(AB54="600V IV",VLOOKUP(AB56,ＩＶ,2,FALSE),IF(AB54="600V CV-T",VLOOKUP(AB56,ＣＶＴ,2,FALSE),IF(OR(AB54="600V CV-1C",AB54="600V CV-2C",AB54="600V CV-3C",AB54="600V CV-4C"),VLOOKUP(AB56,ＣＶ２３Ｃ,2,FALSE),VLOOKUP(AB56,ＣＵＳＥＲ,2,FALSE)))))</f>
        <v/>
      </c>
      <c r="AS56" s="213" t="str">
        <f>IF(OR(AND(AS314="",AS315=""),AND(D54="",D314&lt;&gt;"")),AS54,(AS54*(AT314^2+AT315^2)+AT314*(AS54^2+AS55^2))/((AS54+AT314)^2+(AS55+AT315)^2))</f>
        <v/>
      </c>
      <c r="AT56" s="216" t="str">
        <f>IF(X57="",AS56,N(AS56)+(X57/1000))</f>
        <v/>
      </c>
      <c r="AU56" s="216" t="str">
        <f>IF(AU54="","",(AT56*(AU54^2+AU55^2)+AU54*(AT56^2+AT57^2))/((AT56+AU54)^2+(AT57+AU55)^2))</f>
        <v/>
      </c>
      <c r="AV56" s="216">
        <f>IF(BA56=0,1,0)</f>
        <v>1</v>
      </c>
      <c r="AW56" s="217" t="str">
        <f>IF(AO56="","",AW54+AO56)</f>
        <v/>
      </c>
      <c r="AX56" s="218" t="str">
        <f>IF(AND(AX52="",AW56&lt;&gt;""),BA56*SQRT(AW54^2+AW55^2)/SQRT(AW56^2+AW57^2),IF(BA56&lt;&gt;0,AX52,""))</f>
        <v/>
      </c>
      <c r="AY56" s="224">
        <f>IF(L56="",10^30,SQRT(BA54)*(BA56^2)*(N(AN54)+N(AN56)+N(AO54)+N(AV54))/(100000*L56*M54))</f>
        <v>1E+30</v>
      </c>
      <c r="AZ56" s="225"/>
      <c r="BA56" s="220">
        <f>IF(AND(J54="",SUM(S54:S57)&lt;&gt;0),BA52,J54)</f>
        <v>0</v>
      </c>
      <c r="BB56" s="221">
        <f t="shared" si="0"/>
        <v>0</v>
      </c>
      <c r="BC56" s="232"/>
      <c r="BD56" s="232"/>
    </row>
    <row r="57" spans="1:56" ht="15" customHeight="1">
      <c r="A57" s="85"/>
      <c r="B57" s="84"/>
      <c r="C57" s="271"/>
      <c r="D57" s="417"/>
      <c r="E57" s="418"/>
      <c r="F57" s="419"/>
      <c r="G57" s="270"/>
      <c r="H57" s="270"/>
      <c r="I57" s="270"/>
      <c r="J57" s="270"/>
      <c r="K57" s="268"/>
      <c r="L57" s="251" t="str">
        <f>IF(M54="","",L56*1000*M54/(SQRT(BA54)*BA56))</f>
        <v/>
      </c>
      <c r="M57" s="252"/>
      <c r="N57" s="277"/>
      <c r="O57" s="205"/>
      <c r="P57" s="106"/>
      <c r="Q57" s="206"/>
      <c r="R57" s="107"/>
      <c r="S57" s="108" t="str">
        <f>IF(R57="","",IF(Q57="",P57/R57,P57/(Q57*R57)))</f>
        <v/>
      </c>
      <c r="T57" s="207"/>
      <c r="U57" s="208" t="str">
        <f>IF(OR(BA56="",S57=""),"",S57*1000*T57/(SQRT(BA54)*BA56))</f>
        <v/>
      </c>
      <c r="V57" s="109" t="str">
        <f>IF(AND(N(U54)=0,N(U55)=0,N(U56)=0,N(U57)=0),"",IF(V54&gt;=0,SQRT(ABS(V54^2-V56^2)),-SQRT(V54^2-V56^2)))</f>
        <v/>
      </c>
      <c r="W57" s="277"/>
      <c r="X57" s="278" t="str">
        <f>IF(Y56="","",AQ54*Z56*AR54*((1+0.00393*(F57-20))/1.2751)/Y56)</f>
        <v/>
      </c>
      <c r="Y57" s="270"/>
      <c r="Z57" s="267" t="str">
        <f>IF(Y56="","",(BA57/50)*AQ54*Z56*AR55/Y56)</f>
        <v/>
      </c>
      <c r="AA57" s="252"/>
      <c r="AB57" s="279" t="str">
        <f>IF(AC56="","",AQ54*AD56*AR56*((1+0.00393*(F57-20))/1.2751)/AC56)</f>
        <v/>
      </c>
      <c r="AC57" s="270"/>
      <c r="AD57" s="267" t="str">
        <f>IF(AC56="","",(BA57/50)*AQ54*AD56*AR57/AC56)</f>
        <v/>
      </c>
      <c r="AE57" s="268"/>
      <c r="AF57" s="237" t="str">
        <f>IF(AND(AX54&lt;&gt;"",D54=""),AX54,"")</f>
        <v/>
      </c>
      <c r="AG57" s="269" t="str">
        <f>IF(AP56="","",AP56)</f>
        <v/>
      </c>
      <c r="AH57" s="270"/>
      <c r="AI57" s="238" t="str">
        <f>IF(AP57="","",AP57)</f>
        <v/>
      </c>
      <c r="AJ57" s="263"/>
      <c r="AK57" s="253"/>
      <c r="AL57" s="189"/>
      <c r="AM57" s="28"/>
      <c r="AN57" s="226" t="b">
        <f>IF(BA54="","",IF(AND(BA54=3,F56=50,L54="oil cooled type"),VLOOKUP(L56,変３,3,FALSE),IF(AND(BA54=3,F56=50,L54="(F)molded type"),VLOOKUP(L56,変３,8,FALSE),IF(AND(BA54=3,F56=60,L54="oil cooled type"),VLOOKUP(L56,変３,13,FALSE),IF(AND(BA54=3,F56=60,L54="(F)molded type"),VLOOKUP(L56,変３,18,FALSE),FALSE)))))</f>
        <v>0</v>
      </c>
      <c r="AO57" s="226" t="str">
        <f>IF(AND(L50="",N(AY55)&lt;10^29),AY55,"")</f>
        <v/>
      </c>
      <c r="AP57" s="227" t="str">
        <f>IF(V54="","",IF(AND(N(V57)=0,N(AP55)=0),0,(AQ57-AP55*(AQ56^2+AQ57^2))/((AQ56*AP55)^2+(AP55*AQ57-1)^2)))</f>
        <v/>
      </c>
      <c r="AQ57" s="228">
        <f>IF(N(V57)=0,10^30,V57)</f>
        <v>1E+30</v>
      </c>
      <c r="AR57" s="226" t="str">
        <f>IF(AB54="","",IF(AB54="600V IV",VLOOKUP(AB56,ＩＶ,3,FALSE),IF(AB54="600V CV-T",VLOOKUP(AB56,ＣＶＴ,3,FALSE),IF(OR(AB54="600V CV-1C",AB54="600V CV-2C",AB54="600V CV-3C",AB54="600V CV-4C"),VLOOKUP(AB56,ＣＶ２３Ｃ,3,FALSE),VLOOKUP(AB56,ＣＵＳＥＲ,3,FALSE)))))</f>
        <v/>
      </c>
      <c r="AS57" s="228" t="str">
        <f>IF(OR(AND(AS314="",AS315=""),AND(D54="",D314&lt;&gt;"")),AS55,(AS55*(AT314^2+AT315^2)+AT315*(AS54^2+AS55^2))/((AS54+AT314)^2+(AS55+AT315)^2))</f>
        <v/>
      </c>
      <c r="AT57" s="229" t="str">
        <f>IF(Z57="",AS57,N(AS57)+(Z57/1000))</f>
        <v/>
      </c>
      <c r="AU57" s="229" t="str">
        <f>IF(AU55="","",(AT57*(AU54^2+AU55^2)+AU55*(AT56^2+AT57^2))/((AT56+AU54)^2+(AT57+AU55)^2))</f>
        <v/>
      </c>
      <c r="AV57" s="229">
        <f>AV53+AV56</f>
        <v>10</v>
      </c>
      <c r="AW57" s="228" t="str">
        <f>IF(AO57="","",AW55+AO57)</f>
        <v/>
      </c>
      <c r="AX57" s="230"/>
      <c r="AY57" s="224">
        <f>IF(L56="",10^30,SQRT(BA54)*(BA56^2)*(N(AN55)+N(AN57)+N(AO55)+N(AV55))/(100000*L56*M54))</f>
        <v>1E+30</v>
      </c>
      <c r="AZ57" s="225"/>
      <c r="BA57" s="220">
        <f>IF(AND(F56="",SUM(S54:S57)&lt;&gt;0),BA53,F56)</f>
        <v>0</v>
      </c>
      <c r="BB57" s="221">
        <f t="shared" si="0"/>
        <v>0</v>
      </c>
      <c r="BC57" s="232"/>
      <c r="BD57" s="232"/>
    </row>
    <row r="58" spans="1:56" ht="15" customHeight="1">
      <c r="B58" s="84"/>
      <c r="C58" s="271" t="str">
        <f>IF(BC58=1,"●","・")</f>
        <v>・</v>
      </c>
      <c r="D58" s="402"/>
      <c r="E58" s="403"/>
      <c r="F58" s="404"/>
      <c r="G58" s="265" t="str">
        <f>IF(F58="","","φ")</f>
        <v/>
      </c>
      <c r="H58" s="405"/>
      <c r="I58" s="265" t="str">
        <f>IF(H58="","","W")</f>
        <v/>
      </c>
      <c r="J58" s="405"/>
      <c r="K58" s="272" t="str">
        <f>IF(J58="","","V")</f>
        <v/>
      </c>
      <c r="L58" s="406"/>
      <c r="M58" s="407"/>
      <c r="N58" s="408"/>
      <c r="O58" s="193"/>
      <c r="P58" s="86"/>
      <c r="Q58" s="194"/>
      <c r="R58" s="87"/>
      <c r="S58" s="88" t="str">
        <f>IF(R58="","",IF(Q58="",P58/R58,P58/(Q58*R58)))</f>
        <v/>
      </c>
      <c r="T58" s="195"/>
      <c r="U58" s="196" t="str">
        <f>IF(OR(BA60="",S58=""),"",S58*1000*T58/(SQRT(BA58)*BA60))</f>
        <v/>
      </c>
      <c r="V58" s="254" t="str">
        <f>IF(AND(N(U58)=0,N(U59)=0,N(U60)=0,N(U61)=0),"",BA60/(SUM(U58:U61)))</f>
        <v/>
      </c>
      <c r="W58" s="280"/>
      <c r="X58" s="281"/>
      <c r="Y58" s="242"/>
      <c r="Z58" s="243"/>
      <c r="AA58" s="239"/>
      <c r="AB58" s="241"/>
      <c r="AC58" s="242"/>
      <c r="AD58" s="243"/>
      <c r="AE58" s="247"/>
      <c r="AF58" s="233" t="str">
        <f>IF(OR(AND(AF54="",N(BA56)=0,BA60&lt;&gt;0),D58&lt;&gt;""),AX60/AQ59,"")</f>
        <v/>
      </c>
      <c r="AG58" s="249" t="str">
        <f>IF(BA60=0,"",IF(AD60="",AX58,IF(AND(D58&lt;&gt;"",AU58=""),AX60*SQRT(AP60^2+AP61^2)/SQRT(AS58^2+AS59^2)/AQ59,AX58*SQRT(AP60^2+AP61^2)/SQRT(AS58^2+AS59^2))))</f>
        <v/>
      </c>
      <c r="AH58" s="250"/>
      <c r="AI58" s="234" t="str">
        <f>IF(AG58="","",IF(N(U58)&lt;0,-AX58*AQ59/SQRT(AS58^2+AS59^2),AX58*AQ59/SQRT(AS58^2+AS59^2)))</f>
        <v/>
      </c>
      <c r="AJ58" s="256"/>
      <c r="AK58" s="257"/>
      <c r="AL58" s="186"/>
      <c r="AM58" s="28"/>
      <c r="AN58" s="213" t="b">
        <f>IF(BA58="","",IF(AND(BA58=1,F60=50,L58="oil cooled type"),VLOOKUP(L60,変１,2,FALSE),IF(AND(BA58=1,F60=50,L58="(F)molded type"),VLOOKUP(L60,変１,7,FALSE),IF(AND(BA58=1,F60=60,L58="oil cooled type"),VLOOKUP(L60,変１,12,FALSE),IF(AND(BA58=1,F60=60,L58="(F)molded type"),VLOOKUP(L60,変１,17,FALSE),FALSE)))))</f>
        <v>0</v>
      </c>
      <c r="AO58" s="213">
        <f>IF(ISNA(VLOOKUP(L60,変ＵＳＥＲ,2,FALSE)),0,VLOOKUP(L60,変ＵＳＥＲ,2,FALSE))</f>
        <v>0</v>
      </c>
      <c r="AP58" s="214">
        <f>IF(N58="",0,N58*1000/BA60^2/SQRT(BA58))</f>
        <v>0</v>
      </c>
      <c r="AQ58" s="213" t="b">
        <f>IF(BA58=1,2,IF(BA58=3,SQRT(3),FALSE))</f>
        <v>0</v>
      </c>
      <c r="AR58" s="215" t="str">
        <f>IF(X58="","",IF(X58="600V IV",VLOOKUP(X60,ＩＶ,2,FALSE),IF(X58="600V CV-T",VLOOKUP(X60,ＣＶＴ,2,FALSE),IF(OR(X58="600V CV-1C",X58="600V CV-2C",X58="600V CV-3C",X58="600V CV-4C"),VLOOKUP(X60,ＣＶ２３Ｃ,2,FALSE),VLOOKUP(X60,ＣＵＳＥＲ,2,FALSE)))))</f>
        <v/>
      </c>
      <c r="AS58" s="213" t="str">
        <f>IF(AB61="",AP60,AP60+(AB61/1000))</f>
        <v/>
      </c>
      <c r="AT58" s="216" t="str">
        <f>IF(AU60="",AT60,AU60)</f>
        <v/>
      </c>
      <c r="AU58" s="216" t="str">
        <f>IF(D58="","",IF(AND(D318="",#REF!&lt;&gt;"",AV61=#REF!),#REF!,IF(AND(D318="",#REF!="",#REF!&lt;&gt;"",AV321=#REF!),#REF!,IF(AND(D318="",#REF!="",#REF!="",#REF!&lt;&gt;"",#REF!=#REF!),#REF!,IF(AND(D318="",#REF!="",#REF!="",#REF!="",D322&lt;&gt;"",#REF!=#REF!),AT322,IF(AND(D318="",#REF!="",#REF!="",#REF!="",D322="",#REF!&lt;&gt;"",#REF!=AV326),#REF!,IF(AND(D318="",#REF!="",#REF!="",#REF!="",D322="",#REF!="",D327&lt;&gt;"",#REF!=AV330),AT327,"")))))))</f>
        <v/>
      </c>
      <c r="AV58" s="216" t="str">
        <f>IF(L58="ACG",IF(ISNA(VLOOKUP(L60,ＡＣＧ,2,FALSE)),0,VLOOKUP(L60,ＡＣＧ,2,FALSE)),"")</f>
        <v/>
      </c>
      <c r="AW58" s="217" t="str">
        <f>IF(AT58="","",AT58/((AT58*AP58)^2+(AT59*AP58-1)^2))</f>
        <v/>
      </c>
      <c r="AX58" s="218" t="str">
        <f>IF(BA60=0,"",IF(OR(AX54="",AF58&lt;&gt;""),AF58*SQRT(AS60^2+AS61^2)/SQRT(AT60^2+AT61^2),AX54*SQRT(AS60^2+AS61^2)/SQRT(AT60^2+AT61^2)))</f>
        <v/>
      </c>
      <c r="AY58" s="219">
        <f>IF(N(AY60)=10^30,10^30,IF(N(AY320)=10^30,(N(AY60)*(N(AY320)^2+N(AY321)^2)+N(AY320)*(N(AY60)^2+N(AY61)^2))/((N(AY60)+N(AY320))^2+(N(AY61)+N(AY321))^2),(N(AY60)*(N(AY318)^2+N(AY319)^2)+N(AY318)*(N(AY60)^2+N(AY61)^2))/((N(AY60)+N(AY318))^2+(N(AY61)+N(AY319))^2)))</f>
        <v>1E+30</v>
      </c>
      <c r="AZ58" s="23"/>
      <c r="BA58" s="220">
        <f>IF(AND(F58="",SUM(S58:S61)&lt;&gt;0),BA54,F58)</f>
        <v>0</v>
      </c>
      <c r="BB58" s="221">
        <f t="shared" si="0"/>
        <v>0</v>
      </c>
      <c r="BC58" s="232">
        <f>IF(OR(E58="",F61="",AND(OR(P58="",Q58="",R58="",T58=""),OR(P59="",Q59="",R59="",T59=""),OR(P60="",Q60="",R60="",T60=""),OR(P61="",Q61="",R61="",T61="")),AND(OR(X58="",X60="",Y60="",Z60=""),OR(AB58="",AB60="",AC60="",AD60=""))),0,1)</f>
        <v>0</v>
      </c>
      <c r="BD58" s="232">
        <f>BC58+BD54</f>
        <v>0</v>
      </c>
    </row>
    <row r="59" spans="1:56" ht="15" customHeight="1">
      <c r="B59" s="84"/>
      <c r="C59" s="271"/>
      <c r="D59" s="409"/>
      <c r="E59" s="362"/>
      <c r="F59" s="410"/>
      <c r="G59" s="266"/>
      <c r="H59" s="266"/>
      <c r="I59" s="266"/>
      <c r="J59" s="266"/>
      <c r="K59" s="273"/>
      <c r="L59" s="411"/>
      <c r="M59" s="197" t="str">
        <f>IF(L58="ACG",SQRT(AV58^2+AV59^2),IF(L60="","",IF(OR(L58="oil cooled type",L58="(F)molded type"),IF(BA58=1,SQRT(AN58^2+AN59^2),IF(BA58=3,SQRT(AN60^2+AN61^2))),SQRT(AO58^2+AO59^2))))</f>
        <v/>
      </c>
      <c r="N59" s="412"/>
      <c r="O59" s="198"/>
      <c r="P59" s="90"/>
      <c r="Q59" s="199"/>
      <c r="R59" s="91"/>
      <c r="S59" s="92" t="str">
        <f>IF(R60="","",IF(Q60="",P60/R60,P60/(Q60*R60)))</f>
        <v/>
      </c>
      <c r="T59" s="200"/>
      <c r="U59" s="201" t="str">
        <f>IF(OR(BA60="",S59=""),"",S59*1000*T59/(SQRT(BA58)*BA60))</f>
        <v/>
      </c>
      <c r="V59" s="255"/>
      <c r="W59" s="248"/>
      <c r="X59" s="258"/>
      <c r="Y59" s="245"/>
      <c r="Z59" s="246"/>
      <c r="AA59" s="240"/>
      <c r="AB59" s="244"/>
      <c r="AC59" s="245"/>
      <c r="AD59" s="246"/>
      <c r="AE59" s="248"/>
      <c r="AF59" s="235" t="str">
        <f>IF(OR(AF58="",AG54&lt;&gt;""),"",AF58*AQ59/SQRT(AT58^2+AT59^2))</f>
        <v/>
      </c>
      <c r="AG59" s="274" t="str">
        <f>IF(AG58="","",100*AG58*AQ59/BA60)</f>
        <v/>
      </c>
      <c r="AH59" s="275"/>
      <c r="AI59" s="260" t="str">
        <f>IF(BA60=0,"",IF(AI54="",AX60/SQRT(AT58^2+AT59^2),IF(AI62="","",IF(AT58&lt;0,-AX58*AQ55/SQRT(AT58^2+AT59^2),AX58*AQ55/SQRT(AT58^2+AT59^2)))))</f>
        <v/>
      </c>
      <c r="AJ59" s="258"/>
      <c r="AK59" s="259"/>
      <c r="AL59" s="187"/>
      <c r="AM59" s="28"/>
      <c r="AN59" s="213" t="b">
        <f>IF(BA58="","",IF(AND(BA58=1,F60=50,L58="oil cooled type"),VLOOKUP(L60,変１,3,FALSE),IF(AND(BA58=1,F60=50,L58="(F)molded type"),VLOOKUP(L60,変１,8,FALSE),IF(AND(BA58=1,F60=60,L58="oil cooled type"),VLOOKUP(L60,変１,13,FALSE),IF(AND(BA58=1,F60=60,L58="(F)molded type"),VLOOKUP(L60,変１,18,FALSE),FALSE)))))</f>
        <v>0</v>
      </c>
      <c r="AO59" s="213">
        <f>IF(ISNA(VLOOKUP(L60,変ＵＳＥＲ,3,FALSE)),0,VLOOKUP(L60,変ＵＳＥＲ,3,FALSE)*BA61/50)</f>
        <v>0</v>
      </c>
      <c r="AP59" s="214">
        <f>IF(W58="",0,W58*1000/BA60^2/SQRT(BA58))</f>
        <v>0</v>
      </c>
      <c r="AQ59" s="213">
        <f>IF(AND(BA58=1,BA59=2),1,IF(AND(BA58=3,BA59=3),1,IF(AND(BA58=1,BA59=3),2,IF(AND(BA58=3,BA59=4)*OR(BB58=1,BB59=1,BB60=1,BB61=1),1,SQRT(3)))))</f>
        <v>1.7320508075688772</v>
      </c>
      <c r="AR59" s="215" t="str">
        <f>IF(X58="","",IF(X58="600V IV",VLOOKUP(X60,ＩＶ,3,FALSE),IF(X58="600V CV-T",VLOOKUP(X60,ＣＶＴ,3,FALSE),IF(OR(X58="600V CV-1C",X58="600V CV-2C",X58="600V CV-3C",X58="600V CV-4C"),VLOOKUP(X60,ＣＶ２３Ｃ,3,FALSE),VLOOKUP(X60,ＣＵＳＥＲ,3,FALSE)))))</f>
        <v/>
      </c>
      <c r="AS59" s="213" t="str">
        <f>IF(AD61="",AP61,AP61+(AD61/1000))</f>
        <v/>
      </c>
      <c r="AT59" s="216" t="str">
        <f>IF(AU61="",AT61,AU61)</f>
        <v/>
      </c>
      <c r="AU59" s="216" t="str">
        <f>IF(D58="","",IF(AND(D318="",#REF!&lt;&gt;"",AV61=#REF!),#REF!,IF(AND(D318="",#REF!="",#REF!&lt;&gt;"",AV321=#REF!),#REF!,IF(AND(D318="",#REF!="",#REF!="",#REF!&lt;&gt;"",#REF!=#REF!),#REF!,IF(AND(D318="",#REF!="",#REF!="",#REF!="",D322&lt;&gt;"",#REF!=#REF!),AT323,IF(AND(D318="",#REF!="",#REF!="",#REF!="",D322="",#REF!&lt;&gt;"",#REF!=AV326),AT324,IF(AND(D318="",#REF!="",#REF!="",#REF!="",D322="",#REF!="",D327&lt;&gt;"",#REF!=AV330),AT328,"")))))))</f>
        <v/>
      </c>
      <c r="AV59" s="215" t="str">
        <f>IF(L58="ACG",IF(ISNA(VLOOKUP(L60,ＡＣＧ,3,FALSE)),0,VLOOKUP(L60,ＡＣＧ,3,FALSE)*BA61/50),"")</f>
        <v/>
      </c>
      <c r="AW59" s="217" t="str">
        <f>IF(AT59="","",(AT59-AP58*(AT58^2+AT59^2))/((AT58*AP58)^2+(AP58*AT59-1)^2))</f>
        <v/>
      </c>
      <c r="AX59" s="218"/>
      <c r="AY59" s="219">
        <f>IF(N(AY61)=10^30,10^30,IF(N(AY321)=10^30,(N(AY61)*(N(AY320)^2+N(AY321)^2)+N(AY321)*(N(AY60)^2+N(AY61)^2))/((N(AY60)+N(AY320))^2+(N(AY61)+N(AY321))^2),(N(AY61)*(N(AY318)^2+N(AY319)^2)+N(AY319)*(N(AY60)^2+N(AY61)^2))/((N(AY60)+N(AY318))^2+(N(AY61)+N(AY319))^2)))</f>
        <v>1E+30</v>
      </c>
      <c r="AZ59" s="23"/>
      <c r="BA59" s="220">
        <f>IF(AND(H58="",SUM(S58:S61)&lt;&gt;0),BA55,H58)</f>
        <v>0</v>
      </c>
      <c r="BB59" s="221">
        <f t="shared" si="0"/>
        <v>0</v>
      </c>
      <c r="BC59" s="232"/>
      <c r="BD59" s="232"/>
    </row>
    <row r="60" spans="1:56" ht="15" customHeight="1">
      <c r="B60" s="85"/>
      <c r="C60" s="271"/>
      <c r="D60" s="409"/>
      <c r="E60" s="362"/>
      <c r="F60" s="413"/>
      <c r="G60" s="414"/>
      <c r="H60" s="414"/>
      <c r="I60" s="414"/>
      <c r="J60" s="414"/>
      <c r="K60" s="415"/>
      <c r="L60" s="416"/>
      <c r="M60" s="275"/>
      <c r="N60" s="412"/>
      <c r="O60" s="198"/>
      <c r="P60" s="93"/>
      <c r="Q60" s="202"/>
      <c r="R60" s="91"/>
      <c r="S60" s="92" t="str">
        <f>IF(R61="","",IF(Q61="",P61/R61,P61/(Q61*R61)))</f>
        <v/>
      </c>
      <c r="T60" s="200"/>
      <c r="U60" s="203" t="str">
        <f>IF(OR(BA60="",S60=""),"",S60*1000*T60/(SQRT(BA58)*BA60))</f>
        <v/>
      </c>
      <c r="V60" s="94" t="str">
        <f>IF(AND(N(U58)=0,N(U59)=0,N(U60)=0,N(U61)=0),"",V58*(P58*R58*T58+P59*R59*T59+P60*R60*T60+P61*R61*T61)/(P58*T58+P59*T59+P60*T60+P61*T61))</f>
        <v/>
      </c>
      <c r="W60" s="276" t="str">
        <f>IF(AND(N(AP60)=0,N(AP61)=0,N(AP59)=0),"",IF(AP61&gt;=0,COS(ATAN(AP61/AP60)),-COS(ATAN(AP61/AP60))))</f>
        <v/>
      </c>
      <c r="X60" s="95"/>
      <c r="Y60" s="204"/>
      <c r="Z60" s="96"/>
      <c r="AA60" s="97"/>
      <c r="AB60" s="98"/>
      <c r="AC60" s="204"/>
      <c r="AD60" s="96"/>
      <c r="AE60" s="99"/>
      <c r="AF60" s="236" t="str">
        <f>IF(OR(AF58="",AG54&lt;&gt;""),"",BA60/SQRT(AW60^2+AW61^2))</f>
        <v/>
      </c>
      <c r="AG60" s="274" t="str">
        <f>IF(AG58="","",100*((BA60/AQ59)-AG58)/(BA60/AQ59))</f>
        <v/>
      </c>
      <c r="AH60" s="275"/>
      <c r="AI60" s="261"/>
      <c r="AJ60" s="262"/>
      <c r="AK60" s="264"/>
      <c r="AL60" s="188"/>
      <c r="AM60" s="28"/>
      <c r="AN60" s="222" t="b">
        <f>IF(BA58="","",IF(AND(BA58=3,F60=50,L58="oil cooled type"),VLOOKUP(L60,変３,2,FALSE),IF(AND(BA58=3,F60=50,L58="(F)molded type"),VLOOKUP(L60,変３,7,FALSE),IF(AND(BA58=3,F60=60,L58="oil cooled type"),VLOOKUP(L60,変３,12,FALSE),IF(AND(BA58=3,F60=60,L58="(F)molded type"),VLOOKUP(L60,変３,17,FALSE),FALSE)))))</f>
        <v>0</v>
      </c>
      <c r="AO60" s="215" t="str">
        <f>IF(AND(L54="",N(AY58)&lt;10^29),AY58,"")</f>
        <v/>
      </c>
      <c r="AP60" s="223" t="str">
        <f>IF(V58="","",IF(AND(N(V60)=0,N(AP59)=0),"",AQ60/((AQ60*AP59)^2+(AP59*AQ61-1)^2)))</f>
        <v/>
      </c>
      <c r="AQ60" s="213">
        <f>IF(N(V60)=0,10^30,V60)</f>
        <v>1E+30</v>
      </c>
      <c r="AR60" s="215" t="str">
        <f>IF(AB58="","",IF(AB58="600V IV",VLOOKUP(AB60,ＩＶ,2,FALSE),IF(AB58="600V CV-T",VLOOKUP(AB60,ＣＶＴ,2,FALSE),IF(OR(AB58="600V CV-1C",AB58="600V CV-2C",AB58="600V CV-3C",AB58="600V CV-4C"),VLOOKUP(AB60,ＣＶ２３Ｃ,2,FALSE),VLOOKUP(AB60,ＣＵＳＥＲ,2,FALSE)))))</f>
        <v/>
      </c>
      <c r="AS60" s="213" t="str">
        <f>IF(OR(AND(AS318="",AS319=""),AND(D58="",D318&lt;&gt;"")),AS58,(AS58*(AT318^2+AT319^2)+AT318*(AS58^2+AS59^2))/((AS58+AT318)^2+(AS59+AT319)^2))</f>
        <v/>
      </c>
      <c r="AT60" s="216" t="str">
        <f>IF(X61="",AS60,N(AS60)+(X61/1000))</f>
        <v/>
      </c>
      <c r="AU60" s="216" t="str">
        <f>IF(AU58="","",(AT60*(AU58^2+AU59^2)+AU58*(AT60^2+AT61^2))/((AT60+AU58)^2+(AT61+AU59)^2))</f>
        <v/>
      </c>
      <c r="AV60" s="216">
        <f>IF(BA60=0,1,0)</f>
        <v>1</v>
      </c>
      <c r="AW60" s="217" t="str">
        <f>IF(AO60="","",AW58+AO60)</f>
        <v/>
      </c>
      <c r="AX60" s="218" t="str">
        <f>IF(AND(AX56="",AW60&lt;&gt;""),BA60*SQRT(AW58^2+AW59^2)/SQRT(AW60^2+AW61^2),IF(BA60&lt;&gt;0,AX56,""))</f>
        <v/>
      </c>
      <c r="AY60" s="224">
        <f>IF(L60="",10^30,SQRT(BA58)*(BA60^2)*(N(AN58)+N(AN60)+N(AO58)+N(AV58))/(100000*L60*M58))</f>
        <v>1E+30</v>
      </c>
      <c r="AZ60" s="225"/>
      <c r="BA60" s="220">
        <f>IF(AND(J58="",SUM(S58:S61)&lt;&gt;0),BA56,J58)</f>
        <v>0</v>
      </c>
      <c r="BB60" s="221">
        <f t="shared" si="0"/>
        <v>0</v>
      </c>
      <c r="BC60" s="232"/>
      <c r="BD60" s="232"/>
    </row>
    <row r="61" spans="1:56" ht="15" customHeight="1">
      <c r="A61" s="85"/>
      <c r="B61" s="85"/>
      <c r="C61" s="271"/>
      <c r="D61" s="417"/>
      <c r="E61" s="418"/>
      <c r="F61" s="419"/>
      <c r="G61" s="270"/>
      <c r="H61" s="270"/>
      <c r="I61" s="270"/>
      <c r="J61" s="270"/>
      <c r="K61" s="268"/>
      <c r="L61" s="251" t="str">
        <f>IF(M58="","",L60*1000*M58/(SQRT(BA58)*BA60))</f>
        <v/>
      </c>
      <c r="M61" s="252"/>
      <c r="N61" s="277"/>
      <c r="O61" s="205"/>
      <c r="P61" s="106"/>
      <c r="Q61" s="206"/>
      <c r="R61" s="107"/>
      <c r="S61" s="108" t="str">
        <f>IF(R61="","",IF(Q61="",P61/R61,P61/(Q61*R61)))</f>
        <v/>
      </c>
      <c r="T61" s="207"/>
      <c r="U61" s="208" t="str">
        <f>IF(OR(BA60="",S61=""),"",S61*1000*T61/(SQRT(BA58)*BA60))</f>
        <v/>
      </c>
      <c r="V61" s="109" t="str">
        <f>IF(AND(N(U58)=0,N(U59)=0,N(U60)=0,N(U61)=0),"",IF(V58&gt;=0,SQRT(ABS(V58^2-V60^2)),-SQRT(V58^2-V60^2)))</f>
        <v/>
      </c>
      <c r="W61" s="277"/>
      <c r="X61" s="278" t="str">
        <f>IF(Y60="","",AQ58*Z60*AR58*((1+0.00393*(F61-20))/1.2751)/Y60)</f>
        <v/>
      </c>
      <c r="Y61" s="270"/>
      <c r="Z61" s="267" t="str">
        <f>IF(Y60="","",(BA61/50)*AQ58*Z60*AR59/Y60)</f>
        <v/>
      </c>
      <c r="AA61" s="252"/>
      <c r="AB61" s="279" t="str">
        <f>IF(AC60="","",AQ58*AD60*AR60*((1+0.00393*(F61-20))/1.2751)/AC60)</f>
        <v/>
      </c>
      <c r="AC61" s="270"/>
      <c r="AD61" s="267" t="str">
        <f>IF(AC60="","",(BA61/50)*AQ58*AD60*AR61/AC60)</f>
        <v/>
      </c>
      <c r="AE61" s="268"/>
      <c r="AF61" s="237" t="str">
        <f>IF(AND(AX58&lt;&gt;"",D58=""),AX58,"")</f>
        <v/>
      </c>
      <c r="AG61" s="269" t="str">
        <f>IF(AP60="","",AP60)</f>
        <v/>
      </c>
      <c r="AH61" s="270"/>
      <c r="AI61" s="238" t="str">
        <f>IF(AP61="","",AP61)</f>
        <v/>
      </c>
      <c r="AJ61" s="263"/>
      <c r="AK61" s="253"/>
      <c r="AL61" s="189"/>
      <c r="AM61" s="28"/>
      <c r="AN61" s="226" t="b">
        <f>IF(BA58="","",IF(AND(BA58=3,F60=50,L58="oil cooled type"),VLOOKUP(L60,変３,3,FALSE),IF(AND(BA58=3,F60=50,L58="(F)molded type"),VLOOKUP(L60,変３,8,FALSE),IF(AND(BA58=3,F60=60,L58="oil cooled type"),VLOOKUP(L60,変３,13,FALSE),IF(AND(BA58=3,F60=60,L58="(F)molded type"),VLOOKUP(L60,変３,18,FALSE),FALSE)))))</f>
        <v>0</v>
      </c>
      <c r="AO61" s="226" t="str">
        <f>IF(AND(L54="",N(AY59)&lt;10^29),AY59,"")</f>
        <v/>
      </c>
      <c r="AP61" s="227" t="str">
        <f>IF(V58="","",IF(AND(N(V61)=0,N(AP59)=0),0,(AQ61-AP59*(AQ60^2+AQ61^2))/((AQ60*AP59)^2+(AP59*AQ61-1)^2)))</f>
        <v/>
      </c>
      <c r="AQ61" s="228">
        <f>IF(N(V61)=0,10^30,V61)</f>
        <v>1E+30</v>
      </c>
      <c r="AR61" s="226" t="str">
        <f>IF(AB58="","",IF(AB58="600V IV",VLOOKUP(AB60,ＩＶ,3,FALSE),IF(AB58="600V CV-T",VLOOKUP(AB60,ＣＶＴ,3,FALSE),IF(OR(AB58="600V CV-1C",AB58="600V CV-2C",AB58="600V CV-3C",AB58="600V CV-4C"),VLOOKUP(AB60,ＣＶ２３Ｃ,3,FALSE),VLOOKUP(AB60,ＣＵＳＥＲ,3,FALSE)))))</f>
        <v/>
      </c>
      <c r="AS61" s="228" t="str">
        <f>IF(OR(AND(AS318="",AS319=""),AND(D58="",D318&lt;&gt;"")),AS59,(AS59*(AT318^2+AT319^2)+AT319*(AS58^2+AS59^2))/((AS58+AT318)^2+(AS59+AT319)^2))</f>
        <v/>
      </c>
      <c r="AT61" s="229" t="str">
        <f>IF(Z61="",AS61,N(AS61)+(Z61/1000))</f>
        <v/>
      </c>
      <c r="AU61" s="229" t="str">
        <f>IF(AU59="","",(AT61*(AU58^2+AU59^2)+AU59*(AT60^2+AT61^2))/((AT60+AU58)^2+(AT61+AU59)^2))</f>
        <v/>
      </c>
      <c r="AV61" s="229">
        <f>AV57+AV60</f>
        <v>11</v>
      </c>
      <c r="AW61" s="228" t="str">
        <f>IF(AO61="","",AW59+AO61)</f>
        <v/>
      </c>
      <c r="AX61" s="230"/>
      <c r="AY61" s="224">
        <f>IF(L60="",10^30,SQRT(BA58)*(BA60^2)*(N(AN59)+N(AN61)+N(AO59)+N(AV59))/(100000*L60*M58))</f>
        <v>1E+30</v>
      </c>
      <c r="AZ61" s="225"/>
      <c r="BA61" s="220">
        <f>IF(AND(F60="",SUM(S58:S61)&lt;&gt;0),BA57,F60)</f>
        <v>0</v>
      </c>
      <c r="BB61" s="221">
        <f t="shared" si="0"/>
        <v>0</v>
      </c>
      <c r="BC61" s="232"/>
      <c r="BD61" s="232"/>
    </row>
    <row r="62" spans="1:56" ht="15" customHeight="1">
      <c r="B62" s="85"/>
      <c r="C62" s="271" t="str">
        <f>IF(BC62=1,"●","・")</f>
        <v>・</v>
      </c>
      <c r="D62" s="402"/>
      <c r="E62" s="403"/>
      <c r="F62" s="404"/>
      <c r="G62" s="265" t="str">
        <f>IF(F62="","","φ")</f>
        <v/>
      </c>
      <c r="H62" s="405"/>
      <c r="I62" s="265" t="str">
        <f>IF(H62="","","W")</f>
        <v/>
      </c>
      <c r="J62" s="405"/>
      <c r="K62" s="272" t="str">
        <f>IF(J62="","","V")</f>
        <v/>
      </c>
      <c r="L62" s="406"/>
      <c r="M62" s="407"/>
      <c r="N62" s="408"/>
      <c r="O62" s="193"/>
      <c r="P62" s="86"/>
      <c r="Q62" s="194"/>
      <c r="R62" s="87"/>
      <c r="S62" s="88" t="str">
        <f>IF(R62="","",IF(Q62="",P62/R62,P62/(Q62*R62)))</f>
        <v/>
      </c>
      <c r="T62" s="195"/>
      <c r="U62" s="196" t="str">
        <f>IF(OR(BA64="",S62=""),"",S62*1000*T62/(SQRT(BA62)*BA64))</f>
        <v/>
      </c>
      <c r="V62" s="254" t="str">
        <f>IF(AND(N(U62)=0,N(U63)=0,N(U64)=0,N(U65)=0),"",BA64/(SUM(U62:U65)))</f>
        <v/>
      </c>
      <c r="W62" s="280"/>
      <c r="X62" s="281"/>
      <c r="Y62" s="242"/>
      <c r="Z62" s="243"/>
      <c r="AA62" s="239"/>
      <c r="AB62" s="241"/>
      <c r="AC62" s="242"/>
      <c r="AD62" s="243"/>
      <c r="AE62" s="247"/>
      <c r="AF62" s="233" t="str">
        <f>IF(OR(AND(AF58="",N(BA60)=0,BA64&lt;&gt;0),D62&lt;&gt;""),AX64/AQ63,"")</f>
        <v/>
      </c>
      <c r="AG62" s="249" t="str">
        <f>IF(BA64=0,"",IF(AD64="",AX62,IF(AND(D62&lt;&gt;"",AU62=""),AX64*SQRT(AP64^2+AP65^2)/SQRT(AS62^2+AS63^2)/AQ63,AX62*SQRT(AP64^2+AP65^2)/SQRT(AS62^2+AS63^2))))</f>
        <v/>
      </c>
      <c r="AH62" s="250"/>
      <c r="AI62" s="234" t="str">
        <f>IF(AG62="","",IF(N(U62)&lt;0,-AX62*AQ63/SQRT(AS62^2+AS63^2),AX62*AQ63/SQRT(AS62^2+AS63^2)))</f>
        <v/>
      </c>
      <c r="AJ62" s="256"/>
      <c r="AK62" s="257"/>
      <c r="AL62" s="186"/>
      <c r="AM62" s="28"/>
      <c r="AN62" s="213" t="b">
        <f>IF(BA62="","",IF(AND(BA62=1,F64=50,L62="oil cooled type"),VLOOKUP(L64,変１,2,FALSE),IF(AND(BA62=1,F64=50,L62="(F)molded type"),VLOOKUP(L64,変１,7,FALSE),IF(AND(BA62=1,F64=60,L62="oil cooled type"),VLOOKUP(L64,変１,12,FALSE),IF(AND(BA62=1,F64=60,L62="(F)molded type"),VLOOKUP(L64,変１,17,FALSE),FALSE)))))</f>
        <v>0</v>
      </c>
      <c r="AO62" s="213">
        <f>IF(ISNA(VLOOKUP(L64,変ＵＳＥＲ,2,FALSE)),0,VLOOKUP(L64,変ＵＳＥＲ,2,FALSE))</f>
        <v>0</v>
      </c>
      <c r="AP62" s="214">
        <f>IF(N62="",0,N62*1000/BA64^2/SQRT(BA62))</f>
        <v>0</v>
      </c>
      <c r="AQ62" s="213" t="b">
        <f>IF(BA62=1,2,IF(BA62=3,SQRT(3),FALSE))</f>
        <v>0</v>
      </c>
      <c r="AR62" s="215" t="str">
        <f>IF(X62="","",IF(X62="600V IV",VLOOKUP(X64,ＩＶ,2,FALSE),IF(X62="600V CV-T",VLOOKUP(X64,ＣＶＴ,2,FALSE),IF(OR(X62="600V CV-1C",X62="600V CV-2C",X62="600V CV-3C",X62="600V CV-4C"),VLOOKUP(X64,ＣＶ２３Ｃ,2,FALSE),VLOOKUP(X64,ＣＵＳＥＲ,2,FALSE)))))</f>
        <v/>
      </c>
      <c r="AS62" s="213" t="str">
        <f>IF(AB65="",AP64,AP64+(AB65/1000))</f>
        <v/>
      </c>
      <c r="AT62" s="216" t="str">
        <f>IF(AU64="",AT64,AU64)</f>
        <v/>
      </c>
      <c r="AU62" s="216" t="str">
        <f>IF(D62="","",IF(AND(D322="",#REF!&lt;&gt;"",AV65=#REF!),#REF!,IF(AND(D322="",#REF!="",#REF!&lt;&gt;"",AV325=#REF!),#REF!,IF(AND(D322="",#REF!="",#REF!="",#REF!&lt;&gt;"",#REF!=#REF!),#REF!,IF(AND(D322="",#REF!="",#REF!="",#REF!="",D326&lt;&gt;"",#REF!=#REF!),AT326,IF(AND(D322="",#REF!="",#REF!="",#REF!="",D326="",#REF!&lt;&gt;"",#REF!=AV330),#REF!,IF(AND(D322="",#REF!="",#REF!="",#REF!="",D326="",#REF!="",D331&lt;&gt;"",#REF!=AV334),AT331,"")))))))</f>
        <v/>
      </c>
      <c r="AV62" s="216" t="str">
        <f>IF(L62="ACG",IF(ISNA(VLOOKUP(L64,ＡＣＧ,2,FALSE)),0,VLOOKUP(L64,ＡＣＧ,2,FALSE)),"")</f>
        <v/>
      </c>
      <c r="AW62" s="217" t="str">
        <f>IF(AT62="","",AT62/((AT62*AP62)^2+(AT63*AP62-1)^2))</f>
        <v/>
      </c>
      <c r="AX62" s="218" t="str">
        <f>IF(BA64=0,"",IF(OR(AX58="",AF62&lt;&gt;""),AF62*SQRT(AS64^2+AS65^2)/SQRT(AT64^2+AT65^2),AX58*SQRT(AS64^2+AS65^2)/SQRT(AT64^2+AT65^2)))</f>
        <v/>
      </c>
      <c r="AY62" s="219">
        <f>IF(N(AY64)=10^30,10^30,IF(N(AY324)=10^30,(N(AY64)*(N(AY324)^2+N(AY325)^2)+N(AY324)*(N(AY64)^2+N(AY65)^2))/((N(AY64)+N(AY324))^2+(N(AY65)+N(AY325))^2),(N(AY64)*(N(AY322)^2+N(AY323)^2)+N(AY322)*(N(AY64)^2+N(AY65)^2))/((N(AY64)+N(AY322))^2+(N(AY65)+N(AY323))^2)))</f>
        <v>1E+30</v>
      </c>
      <c r="AZ62" s="23"/>
      <c r="BA62" s="220">
        <f>IF(AND(F62="",SUM(S62:S65)&lt;&gt;0),BA58,F62)</f>
        <v>0</v>
      </c>
      <c r="BB62" s="221">
        <f t="shared" si="0"/>
        <v>0</v>
      </c>
      <c r="BC62" s="232">
        <f>IF(OR(E62="",F65="",AND(OR(P62="",Q62="",R62="",T62=""),OR(P63="",Q63="",R63="",T63=""),OR(P64="",Q64="",R64="",T64=""),OR(P65="",Q65="",R65="",T65="")),AND(OR(X62="",X64="",Y64="",Z64=""),OR(AB62="",AB64="",AC64="",AD64=""))),0,1)</f>
        <v>0</v>
      </c>
      <c r="BD62" s="232">
        <f>BC62+BD58</f>
        <v>0</v>
      </c>
    </row>
    <row r="63" spans="1:56" ht="15" customHeight="1">
      <c r="B63" s="85"/>
      <c r="C63" s="271"/>
      <c r="D63" s="409"/>
      <c r="E63" s="362"/>
      <c r="F63" s="410"/>
      <c r="G63" s="266"/>
      <c r="H63" s="266"/>
      <c r="I63" s="266"/>
      <c r="J63" s="266"/>
      <c r="K63" s="273"/>
      <c r="L63" s="411"/>
      <c r="M63" s="197" t="str">
        <f>IF(L62="ACG",SQRT(AV62^2+AV63^2),IF(L64="","",IF(OR(L62="oil cooled type",L62="(F)molded type"),IF(BA62=1,SQRT(AN62^2+AN63^2),IF(BA62=3,SQRT(AN64^2+AN65^2))),SQRT(AO62^2+AO63^2))))</f>
        <v/>
      </c>
      <c r="N63" s="412"/>
      <c r="O63" s="198"/>
      <c r="P63" s="90"/>
      <c r="Q63" s="199"/>
      <c r="R63" s="91"/>
      <c r="S63" s="92" t="str">
        <f>IF(R64="","",IF(Q64="",P64/R64,P64/(Q64*R64)))</f>
        <v/>
      </c>
      <c r="T63" s="200"/>
      <c r="U63" s="201" t="str">
        <f>IF(OR(BA64="",S63=""),"",S63*1000*T63/(SQRT(BA62)*BA64))</f>
        <v/>
      </c>
      <c r="V63" s="255"/>
      <c r="W63" s="248"/>
      <c r="X63" s="258"/>
      <c r="Y63" s="245"/>
      <c r="Z63" s="246"/>
      <c r="AA63" s="240"/>
      <c r="AB63" s="244"/>
      <c r="AC63" s="245"/>
      <c r="AD63" s="246"/>
      <c r="AE63" s="248"/>
      <c r="AF63" s="235" t="str">
        <f>IF(OR(AF62="",AG58&lt;&gt;""),"",AF62*AQ63/SQRT(AT62^2+AT63^2))</f>
        <v/>
      </c>
      <c r="AG63" s="274" t="str">
        <f>IF(AG62="","",100*AG62*AQ63/BA64)</f>
        <v/>
      </c>
      <c r="AH63" s="275"/>
      <c r="AI63" s="260" t="str">
        <f>IF(BA64=0,"",IF(AI58="",AX64/SQRT(AT62^2+AT63^2),IF(AI66="","",IF(AT62&lt;0,-AX62*AQ59/SQRT(AT62^2+AT63^2),AX62*AQ59/SQRT(AT62^2+AT63^2)))))</f>
        <v/>
      </c>
      <c r="AJ63" s="258"/>
      <c r="AK63" s="259"/>
      <c r="AL63" s="187"/>
      <c r="AM63" s="28"/>
      <c r="AN63" s="213" t="b">
        <f>IF(BA62="","",IF(AND(BA62=1,F64=50,L62="oil cooled type"),VLOOKUP(L64,変１,3,FALSE),IF(AND(BA62=1,F64=50,L62="(F)molded type"),VLOOKUP(L64,変１,8,FALSE),IF(AND(BA62=1,F64=60,L62="oil cooled type"),VLOOKUP(L64,変１,13,FALSE),IF(AND(BA62=1,F64=60,L62="(F)molded type"),VLOOKUP(L64,変１,18,FALSE),FALSE)))))</f>
        <v>0</v>
      </c>
      <c r="AO63" s="213">
        <f>IF(ISNA(VLOOKUP(L64,変ＵＳＥＲ,3,FALSE)),0,VLOOKUP(L64,変ＵＳＥＲ,3,FALSE)*BA65/50)</f>
        <v>0</v>
      </c>
      <c r="AP63" s="214">
        <f>IF(W62="",0,W62*1000/BA64^2/SQRT(BA62))</f>
        <v>0</v>
      </c>
      <c r="AQ63" s="213">
        <f>IF(AND(BA62=1,BA63=2),1,IF(AND(BA62=3,BA63=3),1,IF(AND(BA62=1,BA63=3),2,IF(AND(BA62=3,BA63=4)*OR(BB62=1,BB63=1,BB64=1,BB65=1),1,SQRT(3)))))</f>
        <v>1.7320508075688772</v>
      </c>
      <c r="AR63" s="215" t="str">
        <f>IF(X62="","",IF(X62="600V IV",VLOOKUP(X64,ＩＶ,3,FALSE),IF(X62="600V CV-T",VLOOKUP(X64,ＣＶＴ,3,FALSE),IF(OR(X62="600V CV-1C",X62="600V CV-2C",X62="600V CV-3C",X62="600V CV-4C"),VLOOKUP(X64,ＣＶ２３Ｃ,3,FALSE),VLOOKUP(X64,ＣＵＳＥＲ,3,FALSE)))))</f>
        <v/>
      </c>
      <c r="AS63" s="213" t="str">
        <f>IF(AD65="",AP65,AP65+(AD65/1000))</f>
        <v/>
      </c>
      <c r="AT63" s="216" t="str">
        <f>IF(AU65="",AT65,AU65)</f>
        <v/>
      </c>
      <c r="AU63" s="216" t="str">
        <f>IF(D62="","",IF(AND(D322="",#REF!&lt;&gt;"",AV65=#REF!),#REF!,IF(AND(D322="",#REF!="",#REF!&lt;&gt;"",AV325=#REF!),#REF!,IF(AND(D322="",#REF!="",#REF!="",#REF!&lt;&gt;"",#REF!=#REF!),#REF!,IF(AND(D322="",#REF!="",#REF!="",#REF!="",D326&lt;&gt;"",#REF!=#REF!),AT327,IF(AND(D322="",#REF!="",#REF!="",#REF!="",D326="",#REF!&lt;&gt;"",#REF!=AV330),AT328,IF(AND(D322="",#REF!="",#REF!="",#REF!="",D326="",#REF!="",D331&lt;&gt;"",#REF!=AV334),AT332,"")))))))</f>
        <v/>
      </c>
      <c r="AV63" s="215" t="str">
        <f>IF(L62="ACG",IF(ISNA(VLOOKUP(L64,ＡＣＧ,3,FALSE)),0,VLOOKUP(L64,ＡＣＧ,3,FALSE)*BA65/50),"")</f>
        <v/>
      </c>
      <c r="AW63" s="217" t="str">
        <f>IF(AT63="","",(AT63-AP62*(AT62^2+AT63^2))/((AT62*AP62)^2+(AP62*AT63-1)^2))</f>
        <v/>
      </c>
      <c r="AX63" s="218"/>
      <c r="AY63" s="219">
        <f>IF(N(AY65)=10^30,10^30,IF(N(AY325)=10^30,(N(AY65)*(N(AY324)^2+N(AY325)^2)+N(AY325)*(N(AY64)^2+N(AY65)^2))/((N(AY64)+N(AY324))^2+(N(AY65)+N(AY325))^2),(N(AY65)*(N(AY322)^2+N(AY323)^2)+N(AY323)*(N(AY64)^2+N(AY65)^2))/((N(AY64)+N(AY322))^2+(N(AY65)+N(AY323))^2)))</f>
        <v>1E+30</v>
      </c>
      <c r="AZ63" s="23"/>
      <c r="BA63" s="220">
        <f>IF(AND(H62="",SUM(S62:S65)&lt;&gt;0),BA59,H62)</f>
        <v>0</v>
      </c>
      <c r="BB63" s="221">
        <f t="shared" si="0"/>
        <v>0</v>
      </c>
      <c r="BC63" s="232"/>
      <c r="BD63" s="232"/>
    </row>
    <row r="64" spans="1:56" ht="15" customHeight="1">
      <c r="B64" s="85"/>
      <c r="C64" s="271"/>
      <c r="D64" s="409"/>
      <c r="E64" s="362"/>
      <c r="F64" s="413"/>
      <c r="G64" s="414"/>
      <c r="H64" s="414"/>
      <c r="I64" s="414"/>
      <c r="J64" s="414"/>
      <c r="K64" s="415"/>
      <c r="L64" s="416"/>
      <c r="M64" s="275"/>
      <c r="N64" s="412"/>
      <c r="O64" s="198"/>
      <c r="P64" s="93"/>
      <c r="Q64" s="202"/>
      <c r="R64" s="91"/>
      <c r="S64" s="92" t="str">
        <f>IF(R65="","",IF(Q65="",P65/R65,P65/(Q65*R65)))</f>
        <v/>
      </c>
      <c r="T64" s="200"/>
      <c r="U64" s="203" t="str">
        <f>IF(OR(BA64="",S64=""),"",S64*1000*T64/(SQRT(BA62)*BA64))</f>
        <v/>
      </c>
      <c r="V64" s="94" t="str">
        <f>IF(AND(N(U62)=0,N(U63)=0,N(U64)=0,N(U65)=0),"",V62*(P62*R62*T62+P63*R63*T63+P64*R64*T64+P65*R65*T65)/(P62*T62+P63*T63+P64*T64+P65*T65))</f>
        <v/>
      </c>
      <c r="W64" s="276" t="str">
        <f>IF(AND(N(AP64)=0,N(AP65)=0,N(AP63)=0),"",IF(AP65&gt;=0,COS(ATAN(AP65/AP64)),-COS(ATAN(AP65/AP64))))</f>
        <v/>
      </c>
      <c r="X64" s="95"/>
      <c r="Y64" s="204"/>
      <c r="Z64" s="96"/>
      <c r="AA64" s="97"/>
      <c r="AB64" s="98"/>
      <c r="AC64" s="204"/>
      <c r="AD64" s="96"/>
      <c r="AE64" s="99"/>
      <c r="AF64" s="236" t="str">
        <f>IF(OR(AF62="",AG58&lt;&gt;""),"",BA64/SQRT(AW64^2+AW65^2))</f>
        <v/>
      </c>
      <c r="AG64" s="274" t="str">
        <f>IF(AG62="","",100*((BA64/AQ63)-AG62)/(BA64/AQ63))</f>
        <v/>
      </c>
      <c r="AH64" s="275"/>
      <c r="AI64" s="261"/>
      <c r="AJ64" s="262"/>
      <c r="AK64" s="264"/>
      <c r="AL64" s="188"/>
      <c r="AM64" s="28"/>
      <c r="AN64" s="222" t="b">
        <f>IF(BA62="","",IF(AND(BA62=3,F64=50,L62="oil cooled type"),VLOOKUP(L64,変３,2,FALSE),IF(AND(BA62=3,F64=50,L62="(F)molded type"),VLOOKUP(L64,変３,7,FALSE),IF(AND(BA62=3,F64=60,L62="oil cooled type"),VLOOKUP(L64,変３,12,FALSE),IF(AND(BA62=3,F64=60,L62="(F)molded type"),VLOOKUP(L64,変３,17,FALSE),FALSE)))))</f>
        <v>0</v>
      </c>
      <c r="AO64" s="215" t="str">
        <f>IF(AND(L58="",N(AY62)&lt;10^29),AY62,"")</f>
        <v/>
      </c>
      <c r="AP64" s="223" t="str">
        <f>IF(V62="","",IF(AND(N(V64)=0,N(AP63)=0),"",AQ64/((AQ64*AP63)^2+(AP63*AQ65-1)^2)))</f>
        <v/>
      </c>
      <c r="AQ64" s="213">
        <f>IF(N(V64)=0,10^30,V64)</f>
        <v>1E+30</v>
      </c>
      <c r="AR64" s="215" t="str">
        <f>IF(AB62="","",IF(AB62="600V IV",VLOOKUP(AB64,ＩＶ,2,FALSE),IF(AB62="600V CV-T",VLOOKUP(AB64,ＣＶＴ,2,FALSE),IF(OR(AB62="600V CV-1C",AB62="600V CV-2C",AB62="600V CV-3C",AB62="600V CV-4C"),VLOOKUP(AB64,ＣＶ２３Ｃ,2,FALSE),VLOOKUP(AB64,ＣＵＳＥＲ,2,FALSE)))))</f>
        <v/>
      </c>
      <c r="AS64" s="213" t="str">
        <f>IF(OR(AND(AS322="",AS323=""),AND(D62="",D322&lt;&gt;"")),AS62,(AS62*(AT322^2+AT323^2)+AT322*(AS62^2+AS63^2))/((AS62+AT322)^2+(AS63+AT323)^2))</f>
        <v/>
      </c>
      <c r="AT64" s="216" t="str">
        <f>IF(X65="",AS64,N(AS64)+(X65/1000))</f>
        <v/>
      </c>
      <c r="AU64" s="216" t="str">
        <f>IF(AU62="","",(AT64*(AU62^2+AU63^2)+AU62*(AT64^2+AT65^2))/((AT64+AU62)^2+(AT65+AU63)^2))</f>
        <v/>
      </c>
      <c r="AV64" s="216">
        <f>IF(BA64=0,1,0)</f>
        <v>1</v>
      </c>
      <c r="AW64" s="217" t="str">
        <f>IF(AO64="","",AW62+AO64)</f>
        <v/>
      </c>
      <c r="AX64" s="218" t="str">
        <f>IF(AND(AX60="",AW64&lt;&gt;""),BA64*SQRT(AW62^2+AW63^2)/SQRT(AW64^2+AW65^2),IF(BA64&lt;&gt;0,AX60,""))</f>
        <v/>
      </c>
      <c r="AY64" s="224">
        <f>IF(L64="",10^30,SQRT(BA62)*(BA64^2)*(N(AN62)+N(AN64)+N(AO62)+N(AV62))/(100000*L64*M62))</f>
        <v>1E+30</v>
      </c>
      <c r="AZ64" s="225"/>
      <c r="BA64" s="220">
        <f>IF(AND(J62="",SUM(S62:S65)&lt;&gt;0),BA60,J62)</f>
        <v>0</v>
      </c>
      <c r="BB64" s="221">
        <f t="shared" si="0"/>
        <v>0</v>
      </c>
      <c r="BC64" s="232"/>
      <c r="BD64" s="232"/>
    </row>
    <row r="65" spans="1:56" ht="15" customHeight="1">
      <c r="A65" s="85"/>
      <c r="B65" s="85"/>
      <c r="C65" s="271"/>
      <c r="D65" s="417"/>
      <c r="E65" s="418"/>
      <c r="F65" s="419"/>
      <c r="G65" s="270"/>
      <c r="H65" s="270"/>
      <c r="I65" s="270"/>
      <c r="J65" s="270"/>
      <c r="K65" s="268"/>
      <c r="L65" s="251" t="str">
        <f>IF(M62="","",L64*1000*M62/(SQRT(BA62)*BA64))</f>
        <v/>
      </c>
      <c r="M65" s="252"/>
      <c r="N65" s="277"/>
      <c r="O65" s="205"/>
      <c r="P65" s="106"/>
      <c r="Q65" s="206"/>
      <c r="R65" s="107"/>
      <c r="S65" s="108" t="str">
        <f>IF(R65="","",IF(Q65="",P65/R65,P65/(Q65*R65)))</f>
        <v/>
      </c>
      <c r="T65" s="207"/>
      <c r="U65" s="208" t="str">
        <f>IF(OR(BA64="",S65=""),"",S65*1000*T65/(SQRT(BA62)*BA64))</f>
        <v/>
      </c>
      <c r="V65" s="109" t="str">
        <f>IF(AND(N(U62)=0,N(U63)=0,N(U64)=0,N(U65)=0),"",IF(V62&gt;=0,SQRT(ABS(V62^2-V64^2)),-SQRT(V62^2-V64^2)))</f>
        <v/>
      </c>
      <c r="W65" s="277"/>
      <c r="X65" s="278" t="str">
        <f>IF(Y64="","",AQ62*Z64*AR62*((1+0.00393*(F65-20))/1.2751)/Y64)</f>
        <v/>
      </c>
      <c r="Y65" s="270"/>
      <c r="Z65" s="267" t="str">
        <f>IF(Y64="","",(BA65/50)*AQ62*Z64*AR63/Y64)</f>
        <v/>
      </c>
      <c r="AA65" s="252"/>
      <c r="AB65" s="279" t="str">
        <f>IF(AC64="","",AQ62*AD64*AR64*((1+0.00393*(F65-20))/1.2751)/AC64)</f>
        <v/>
      </c>
      <c r="AC65" s="270"/>
      <c r="AD65" s="267" t="str">
        <f>IF(AC64="","",(BA65/50)*AQ62*AD64*AR65/AC64)</f>
        <v/>
      </c>
      <c r="AE65" s="268"/>
      <c r="AF65" s="237" t="str">
        <f>IF(AND(AX62&lt;&gt;"",D62=""),AX62,"")</f>
        <v/>
      </c>
      <c r="AG65" s="269" t="str">
        <f>IF(AP64="","",AP64)</f>
        <v/>
      </c>
      <c r="AH65" s="270"/>
      <c r="AI65" s="238" t="str">
        <f>IF(AP65="","",AP65)</f>
        <v/>
      </c>
      <c r="AJ65" s="263"/>
      <c r="AK65" s="253"/>
      <c r="AL65" s="189"/>
      <c r="AM65" s="28"/>
      <c r="AN65" s="226" t="b">
        <f>IF(BA62="","",IF(AND(BA62=3,F64=50,L62="oil cooled type"),VLOOKUP(L64,変３,3,FALSE),IF(AND(BA62=3,F64=50,L62="(F)molded type"),VLOOKUP(L64,変３,8,FALSE),IF(AND(BA62=3,F64=60,L62="oil cooled type"),VLOOKUP(L64,変３,13,FALSE),IF(AND(BA62=3,F64=60,L62="(F)molded type"),VLOOKUP(L64,変３,18,FALSE),FALSE)))))</f>
        <v>0</v>
      </c>
      <c r="AO65" s="226" t="str">
        <f>IF(AND(L58="",N(AY63)&lt;10^29),AY63,"")</f>
        <v/>
      </c>
      <c r="AP65" s="227" t="str">
        <f>IF(V62="","",IF(AND(N(V65)=0,N(AP63)=0),0,(AQ65-AP63*(AQ64^2+AQ65^2))/((AQ64*AP63)^2+(AP63*AQ65-1)^2)))</f>
        <v/>
      </c>
      <c r="AQ65" s="228">
        <f>IF(N(V65)=0,10^30,V65)</f>
        <v>1E+30</v>
      </c>
      <c r="AR65" s="226" t="str">
        <f>IF(AB62="","",IF(AB62="600V IV",VLOOKUP(AB64,ＩＶ,3,FALSE),IF(AB62="600V CV-T",VLOOKUP(AB64,ＣＶＴ,3,FALSE),IF(OR(AB62="600V CV-1C",AB62="600V CV-2C",AB62="600V CV-3C",AB62="600V CV-4C"),VLOOKUP(AB64,ＣＶ２３Ｃ,3,FALSE),VLOOKUP(AB64,ＣＵＳＥＲ,3,FALSE)))))</f>
        <v/>
      </c>
      <c r="AS65" s="228" t="str">
        <f>IF(OR(AND(AS322="",AS323=""),AND(D62="",D322&lt;&gt;"")),AS63,(AS63*(AT322^2+AT323^2)+AT323*(AS62^2+AS63^2))/((AS62+AT322)^2+(AS63+AT323)^2))</f>
        <v/>
      </c>
      <c r="AT65" s="229" t="str">
        <f>IF(Z65="",AS65,N(AS65)+(Z65/1000))</f>
        <v/>
      </c>
      <c r="AU65" s="229" t="str">
        <f>IF(AU63="","",(AT65*(AU62^2+AU63^2)+AU63*(AT64^2+AT65^2))/((AT64+AU62)^2+(AT65+AU63)^2))</f>
        <v/>
      </c>
      <c r="AV65" s="229">
        <f>AV61+AV64</f>
        <v>12</v>
      </c>
      <c r="AW65" s="228" t="str">
        <f>IF(AO65="","",AW63+AO65)</f>
        <v/>
      </c>
      <c r="AX65" s="230"/>
      <c r="AY65" s="224">
        <f>IF(L64="",10^30,SQRT(BA62)*(BA64^2)*(N(AN63)+N(AN65)+N(AO63)+N(AV63))/(100000*L64*M62))</f>
        <v>1E+30</v>
      </c>
      <c r="AZ65" s="225"/>
      <c r="BA65" s="220">
        <f>IF(AND(F64="",SUM(S62:S65)&lt;&gt;0),BA61,F64)</f>
        <v>0</v>
      </c>
      <c r="BB65" s="221">
        <f t="shared" si="0"/>
        <v>0</v>
      </c>
      <c r="BC65" s="232"/>
      <c r="BD65" s="232"/>
    </row>
    <row r="66" spans="1:56" ht="15" customHeight="1">
      <c r="B66" s="85"/>
      <c r="C66" s="271" t="str">
        <f>IF(BC66=1,"●","・")</f>
        <v>・</v>
      </c>
      <c r="D66" s="402"/>
      <c r="E66" s="403"/>
      <c r="F66" s="404"/>
      <c r="G66" s="265" t="str">
        <f>IF(F66="","","φ")</f>
        <v/>
      </c>
      <c r="H66" s="405"/>
      <c r="I66" s="265" t="str">
        <f>IF(H66="","","W")</f>
        <v/>
      </c>
      <c r="J66" s="405"/>
      <c r="K66" s="272" t="str">
        <f>IF(J66="","","V")</f>
        <v/>
      </c>
      <c r="L66" s="406"/>
      <c r="M66" s="407"/>
      <c r="N66" s="408"/>
      <c r="O66" s="193"/>
      <c r="P66" s="86"/>
      <c r="Q66" s="194"/>
      <c r="R66" s="87"/>
      <c r="S66" s="88" t="str">
        <f>IF(R66="","",IF(Q66="",P66/R66,P66/(Q66*R66)))</f>
        <v/>
      </c>
      <c r="T66" s="195"/>
      <c r="U66" s="196" t="str">
        <f>IF(OR(BA68="",S66=""),"",S66*1000*T66/(SQRT(BA66)*BA68))</f>
        <v/>
      </c>
      <c r="V66" s="254" t="str">
        <f>IF(AND(N(U66)=0,N(U67)=0,N(U68)=0,N(U69)=0),"",BA68/(SUM(U66:U69)))</f>
        <v/>
      </c>
      <c r="W66" s="280"/>
      <c r="X66" s="281"/>
      <c r="Y66" s="242"/>
      <c r="Z66" s="243"/>
      <c r="AA66" s="239"/>
      <c r="AB66" s="241"/>
      <c r="AC66" s="242"/>
      <c r="AD66" s="243"/>
      <c r="AE66" s="247"/>
      <c r="AF66" s="233" t="str">
        <f>IF(OR(AND(AF62="",N(BA64)=0,BA68&lt;&gt;0),D66&lt;&gt;""),AX68/AQ67,"")</f>
        <v/>
      </c>
      <c r="AG66" s="249" t="str">
        <f>IF(BA68=0,"",IF(AD68="",AX66,IF(AND(D66&lt;&gt;"",AU66=""),AX68*SQRT(AP68^2+AP69^2)/SQRT(AS66^2+AS67^2)/AQ67,AX66*SQRT(AP68^2+AP69^2)/SQRT(AS66^2+AS67^2))))</f>
        <v/>
      </c>
      <c r="AH66" s="250"/>
      <c r="AI66" s="234" t="str">
        <f>IF(AG66="","",IF(N(U66)&lt;0,-AX66*AQ67/SQRT(AS66^2+AS67^2),AX66*AQ67/SQRT(AS66^2+AS67^2)))</f>
        <v/>
      </c>
      <c r="AJ66" s="256"/>
      <c r="AK66" s="257"/>
      <c r="AL66" s="186"/>
      <c r="AM66" s="28"/>
      <c r="AN66" s="213" t="b">
        <f>IF(BA66="","",IF(AND(BA66=1,F68=50,L66="oil cooled type"),VLOOKUP(L68,変１,2,FALSE),IF(AND(BA66=1,F68=50,L66="(F)molded type"),VLOOKUP(L68,変１,7,FALSE),IF(AND(BA66=1,F68=60,L66="oil cooled type"),VLOOKUP(L68,変１,12,FALSE),IF(AND(BA66=1,F68=60,L66="(F)molded type"),VLOOKUP(L68,変１,17,FALSE),FALSE)))))</f>
        <v>0</v>
      </c>
      <c r="AO66" s="213">
        <f>IF(ISNA(VLOOKUP(L68,変ＵＳＥＲ,2,FALSE)),0,VLOOKUP(L68,変ＵＳＥＲ,2,FALSE))</f>
        <v>0</v>
      </c>
      <c r="AP66" s="214">
        <f>IF(N66="",0,N66*1000/BA68^2/SQRT(BA66))</f>
        <v>0</v>
      </c>
      <c r="AQ66" s="213" t="b">
        <f>IF(BA66=1,2,IF(BA66=3,SQRT(3),FALSE))</f>
        <v>0</v>
      </c>
      <c r="AR66" s="215" t="str">
        <f>IF(X66="","",IF(X66="600V IV",VLOOKUP(X68,ＩＶ,2,FALSE),IF(X66="600V CV-T",VLOOKUP(X68,ＣＶＴ,2,FALSE),IF(OR(X66="600V CV-1C",X66="600V CV-2C",X66="600V CV-3C",X66="600V CV-4C"),VLOOKUP(X68,ＣＶ２３Ｃ,2,FALSE),VLOOKUP(X68,ＣＵＳＥＲ,2,FALSE)))))</f>
        <v/>
      </c>
      <c r="AS66" s="213" t="str">
        <f>IF(AB69="",AP68,AP68+(AB69/1000))</f>
        <v/>
      </c>
      <c r="AT66" s="216" t="str">
        <f>IF(AU68="",AT68,AU68)</f>
        <v/>
      </c>
      <c r="AU66" s="216" t="str">
        <f>IF(D66="","",IF(AND(D326="",#REF!&lt;&gt;"",AV69=#REF!),#REF!,IF(AND(D326="",#REF!="",#REF!&lt;&gt;"",AV329=#REF!),#REF!,IF(AND(D326="",#REF!="",#REF!="",#REF!&lt;&gt;"",#REF!=#REF!),#REF!,IF(AND(D326="",#REF!="",#REF!="",#REF!="",D330&lt;&gt;"",#REF!=#REF!),AT330,IF(AND(D326="",#REF!="",#REF!="",#REF!="",D330="",#REF!&lt;&gt;"",#REF!=AV334),#REF!,IF(AND(D326="",#REF!="",#REF!="",#REF!="",D330="",#REF!="",D335&lt;&gt;"",#REF!=AV338),AT335,"")))))))</f>
        <v/>
      </c>
      <c r="AV66" s="216" t="str">
        <f>IF(L66="ACG",IF(ISNA(VLOOKUP(L68,ＡＣＧ,2,FALSE)),0,VLOOKUP(L68,ＡＣＧ,2,FALSE)),"")</f>
        <v/>
      </c>
      <c r="AW66" s="217" t="str">
        <f>IF(AT66="","",AT66/((AT66*AP66)^2+(AT67*AP66-1)^2))</f>
        <v/>
      </c>
      <c r="AX66" s="218" t="str">
        <f>IF(BA68=0,"",IF(OR(AX62="",AF66&lt;&gt;""),AF66*SQRT(AS68^2+AS69^2)/SQRT(AT68^2+AT69^2),AX62*SQRT(AS68^2+AS69^2)/SQRT(AT68^2+AT69^2)))</f>
        <v/>
      </c>
      <c r="AY66" s="219">
        <f>IF(N(AY68)=10^30,10^30,IF(N(AY328)=10^30,(N(AY68)*(N(AY328)^2+N(AY329)^2)+N(AY328)*(N(AY68)^2+N(AY69)^2))/((N(AY68)+N(AY328))^2+(N(AY69)+N(AY329))^2),(N(AY68)*(N(AY326)^2+N(AY327)^2)+N(AY326)*(N(AY68)^2+N(AY69)^2))/((N(AY68)+N(AY326))^2+(N(AY69)+N(AY327))^2)))</f>
        <v>1E+30</v>
      </c>
      <c r="AZ66" s="23"/>
      <c r="BA66" s="220">
        <f>IF(AND(F66="",SUM(S66:S69)&lt;&gt;0),BA62,F66)</f>
        <v>0</v>
      </c>
      <c r="BB66" s="221">
        <f t="shared" ref="BB66:BB85" si="1">IF(OR(O66="熱源動力",O66="換気動力",O66="衛生動力",O66="生産動力",O66="動力差込",O66="防災動力"),1,0)</f>
        <v>0</v>
      </c>
      <c r="BC66" s="232">
        <f>IF(OR(E66="",F69="",AND(OR(P66="",Q66="",R66="",T66=""),OR(P67="",Q67="",R67="",T67=""),OR(P68="",Q68="",R68="",T68=""),OR(P69="",Q69="",R69="",T69="")),AND(OR(X66="",X68="",Y68="",Z68=""),OR(AB66="",AB68="",AC68="",AD68=""))),0,1)</f>
        <v>0</v>
      </c>
      <c r="BD66" s="232">
        <f>BC66+BD62</f>
        <v>0</v>
      </c>
    </row>
    <row r="67" spans="1:56" ht="15" customHeight="1">
      <c r="B67" s="85"/>
      <c r="C67" s="271"/>
      <c r="D67" s="409"/>
      <c r="E67" s="362"/>
      <c r="F67" s="410"/>
      <c r="G67" s="266"/>
      <c r="H67" s="266"/>
      <c r="I67" s="266"/>
      <c r="J67" s="266"/>
      <c r="K67" s="273"/>
      <c r="L67" s="411"/>
      <c r="M67" s="197" t="str">
        <f>IF(L66="ACG",SQRT(AV66^2+AV67^2),IF(L68="","",IF(OR(L66="oil cooled type",L66="(F)molded type"),IF(BA66=1,SQRT(AN66^2+AN67^2),IF(BA66=3,SQRT(AN68^2+AN69^2))),SQRT(AO66^2+AO67^2))))</f>
        <v/>
      </c>
      <c r="N67" s="412"/>
      <c r="O67" s="198"/>
      <c r="P67" s="90"/>
      <c r="Q67" s="199"/>
      <c r="R67" s="91"/>
      <c r="S67" s="92" t="str">
        <f>IF(R68="","",IF(Q68="",P68/R68,P68/(Q68*R68)))</f>
        <v/>
      </c>
      <c r="T67" s="200"/>
      <c r="U67" s="201" t="str">
        <f>IF(OR(BA68="",S67=""),"",S67*1000*T67/(SQRT(BA66)*BA68))</f>
        <v/>
      </c>
      <c r="V67" s="255"/>
      <c r="W67" s="248"/>
      <c r="X67" s="258"/>
      <c r="Y67" s="245"/>
      <c r="Z67" s="246"/>
      <c r="AA67" s="240"/>
      <c r="AB67" s="244"/>
      <c r="AC67" s="245"/>
      <c r="AD67" s="246"/>
      <c r="AE67" s="248"/>
      <c r="AF67" s="235" t="str">
        <f>IF(OR(AF66="",AG62&lt;&gt;""),"",AF66*AQ67/SQRT(AT66^2+AT67^2))</f>
        <v/>
      </c>
      <c r="AG67" s="274" t="str">
        <f>IF(AG66="","",100*AG66*AQ67/BA68)</f>
        <v/>
      </c>
      <c r="AH67" s="275"/>
      <c r="AI67" s="260" t="str">
        <f>IF(BA68=0,"",IF(AI62="",AX68/SQRT(AT66^2+AT67^2),IF(AI70="","",IF(AT66&lt;0,-AX66*AQ63/SQRT(AT66^2+AT67^2),AX66*AQ63/SQRT(AT66^2+AT67^2)))))</f>
        <v/>
      </c>
      <c r="AJ67" s="258"/>
      <c r="AK67" s="259"/>
      <c r="AL67" s="187"/>
      <c r="AM67" s="28"/>
      <c r="AN67" s="213" t="b">
        <f>IF(BA66="","",IF(AND(BA66=1,F68=50,L66="oil cooled type"),VLOOKUP(L68,変１,3,FALSE),IF(AND(BA66=1,F68=50,L66="(F)molded type"),VLOOKUP(L68,変１,8,FALSE),IF(AND(BA66=1,F68=60,L66="oil cooled type"),VLOOKUP(L68,変１,13,FALSE),IF(AND(BA66=1,F68=60,L66="(F)molded type"),VLOOKUP(L68,変１,18,FALSE),FALSE)))))</f>
        <v>0</v>
      </c>
      <c r="AO67" s="213">
        <f>IF(ISNA(VLOOKUP(L68,変ＵＳＥＲ,3,FALSE)),0,VLOOKUP(L68,変ＵＳＥＲ,3,FALSE)*BA69/50)</f>
        <v>0</v>
      </c>
      <c r="AP67" s="214">
        <f>IF(W66="",0,W66*1000/BA68^2/SQRT(BA66))</f>
        <v>0</v>
      </c>
      <c r="AQ67" s="213">
        <f>IF(AND(BA66=1,BA67=2),1,IF(AND(BA66=3,BA67=3),1,IF(AND(BA66=1,BA67=3),2,IF(AND(BA66=3,BA67=4)*OR(BB66=1,BB67=1,BB68=1,BB69=1),1,SQRT(3)))))</f>
        <v>1.7320508075688772</v>
      </c>
      <c r="AR67" s="215" t="str">
        <f>IF(X66="","",IF(X66="600V IV",VLOOKUP(X68,ＩＶ,3,FALSE),IF(X66="600V CV-T",VLOOKUP(X68,ＣＶＴ,3,FALSE),IF(OR(X66="600V CV-1C",X66="600V CV-2C",X66="600V CV-3C",X66="600V CV-4C"),VLOOKUP(X68,ＣＶ２３Ｃ,3,FALSE),VLOOKUP(X68,ＣＵＳＥＲ,3,FALSE)))))</f>
        <v/>
      </c>
      <c r="AS67" s="213" t="str">
        <f>IF(AD69="",AP69,AP69+(AD69/1000))</f>
        <v/>
      </c>
      <c r="AT67" s="216" t="str">
        <f>IF(AU69="",AT69,AU69)</f>
        <v/>
      </c>
      <c r="AU67" s="216" t="str">
        <f>IF(D66="","",IF(AND(D326="",#REF!&lt;&gt;"",AV69=#REF!),#REF!,IF(AND(D326="",#REF!="",#REF!&lt;&gt;"",AV329=#REF!),#REF!,IF(AND(D326="",#REF!="",#REF!="",#REF!&lt;&gt;"",#REF!=#REF!),#REF!,IF(AND(D326="",#REF!="",#REF!="",#REF!="",D330&lt;&gt;"",#REF!=#REF!),AT331,IF(AND(D326="",#REF!="",#REF!="",#REF!="",D330="",#REF!&lt;&gt;"",#REF!=AV334),AT332,IF(AND(D326="",#REF!="",#REF!="",#REF!="",D330="",#REF!="",D335&lt;&gt;"",#REF!=AV338),AT336,"")))))))</f>
        <v/>
      </c>
      <c r="AV67" s="215" t="str">
        <f>IF(L66="ACG",IF(ISNA(VLOOKUP(L68,ＡＣＧ,3,FALSE)),0,VLOOKUP(L68,ＡＣＧ,3,FALSE)*BA69/50),"")</f>
        <v/>
      </c>
      <c r="AW67" s="217" t="str">
        <f>IF(AT67="","",(AT67-AP66*(AT66^2+AT67^2))/((AT66*AP66)^2+(AP66*AT67-1)^2))</f>
        <v/>
      </c>
      <c r="AX67" s="218"/>
      <c r="AY67" s="219">
        <f>IF(N(AY69)=10^30,10^30,IF(N(AY329)=10^30,(N(AY69)*(N(AY328)^2+N(AY329)^2)+N(AY329)*(N(AY68)^2+N(AY69)^2))/((N(AY68)+N(AY328))^2+(N(AY69)+N(AY329))^2),(N(AY69)*(N(AY326)^2+N(AY327)^2)+N(AY327)*(N(AY68)^2+N(AY69)^2))/((N(AY68)+N(AY326))^2+(N(AY69)+N(AY327))^2)))</f>
        <v>1E+30</v>
      </c>
      <c r="AZ67" s="23"/>
      <c r="BA67" s="220">
        <f>IF(AND(H66="",SUM(S66:S69)&lt;&gt;0),BA63,H66)</f>
        <v>0</v>
      </c>
      <c r="BB67" s="221">
        <f t="shared" si="1"/>
        <v>0</v>
      </c>
      <c r="BC67" s="232"/>
      <c r="BD67" s="232"/>
    </row>
    <row r="68" spans="1:56" ht="15" customHeight="1">
      <c r="B68" s="85"/>
      <c r="C68" s="271"/>
      <c r="D68" s="409"/>
      <c r="E68" s="362"/>
      <c r="F68" s="413"/>
      <c r="G68" s="414"/>
      <c r="H68" s="414"/>
      <c r="I68" s="414"/>
      <c r="J68" s="414"/>
      <c r="K68" s="415"/>
      <c r="L68" s="416"/>
      <c r="M68" s="275"/>
      <c r="N68" s="412"/>
      <c r="O68" s="198"/>
      <c r="P68" s="93"/>
      <c r="Q68" s="202"/>
      <c r="R68" s="91"/>
      <c r="S68" s="92" t="str">
        <f>IF(R69="","",IF(Q69="",P69/R69,P69/(Q69*R69)))</f>
        <v/>
      </c>
      <c r="T68" s="200"/>
      <c r="U68" s="203" t="str">
        <f>IF(OR(BA68="",S68=""),"",S68*1000*T68/(SQRT(BA66)*BA68))</f>
        <v/>
      </c>
      <c r="V68" s="94" t="str">
        <f>IF(AND(N(U66)=0,N(U67)=0,N(U68)=0,N(U69)=0),"",V66*(P66*R66*T66+P67*R67*T67+P68*R68*T68+P69*R69*T69)/(P66*T66+P67*T67+P68*T68+P69*T69))</f>
        <v/>
      </c>
      <c r="W68" s="276" t="str">
        <f>IF(AND(N(AP68)=0,N(AP69)=0,N(AP67)=0),"",IF(AP69&gt;=0,COS(ATAN(AP69/AP68)),-COS(ATAN(AP69/AP68))))</f>
        <v/>
      </c>
      <c r="X68" s="95"/>
      <c r="Y68" s="204"/>
      <c r="Z68" s="96"/>
      <c r="AA68" s="97"/>
      <c r="AB68" s="98"/>
      <c r="AC68" s="204"/>
      <c r="AD68" s="96"/>
      <c r="AE68" s="99"/>
      <c r="AF68" s="236" t="str">
        <f>IF(OR(AF66="",AG62&lt;&gt;""),"",BA68/SQRT(AW68^2+AW69^2))</f>
        <v/>
      </c>
      <c r="AG68" s="274" t="str">
        <f>IF(AG66="","",100*((BA68/AQ67)-AG66)/(BA68/AQ67))</f>
        <v/>
      </c>
      <c r="AH68" s="275"/>
      <c r="AI68" s="261"/>
      <c r="AJ68" s="262"/>
      <c r="AK68" s="264"/>
      <c r="AL68" s="188"/>
      <c r="AM68" s="28"/>
      <c r="AN68" s="222" t="b">
        <f>IF(BA66="","",IF(AND(BA66=3,F68=50,L66="oil cooled type"),VLOOKUP(L68,変３,2,FALSE),IF(AND(BA66=3,F68=50,L66="(F)molded type"),VLOOKUP(L68,変３,7,FALSE),IF(AND(BA66=3,F68=60,L66="oil cooled type"),VLOOKUP(L68,変３,12,FALSE),IF(AND(BA66=3,F68=60,L66="(F)molded type"),VLOOKUP(L68,変３,17,FALSE),FALSE)))))</f>
        <v>0</v>
      </c>
      <c r="AO68" s="215" t="str">
        <f>IF(AND(L62="",N(AY66)&lt;10^29),AY66,"")</f>
        <v/>
      </c>
      <c r="AP68" s="223" t="str">
        <f>IF(V66="","",IF(AND(N(V68)=0,N(AP67)=0),"",AQ68/((AQ68*AP67)^2+(AP67*AQ69-1)^2)))</f>
        <v/>
      </c>
      <c r="AQ68" s="213">
        <f>IF(N(V68)=0,10^30,V68)</f>
        <v>1E+30</v>
      </c>
      <c r="AR68" s="215" t="str">
        <f>IF(AB66="","",IF(AB66="600V IV",VLOOKUP(AB68,ＩＶ,2,FALSE),IF(AB66="600V CV-T",VLOOKUP(AB68,ＣＶＴ,2,FALSE),IF(OR(AB66="600V CV-1C",AB66="600V CV-2C",AB66="600V CV-3C",AB66="600V CV-4C"),VLOOKUP(AB68,ＣＶ２３Ｃ,2,FALSE),VLOOKUP(AB68,ＣＵＳＥＲ,2,FALSE)))))</f>
        <v/>
      </c>
      <c r="AS68" s="213" t="str">
        <f>IF(OR(AND(AS326="",AS327=""),AND(D66="",D326&lt;&gt;"")),AS66,(AS66*(AT326^2+AT327^2)+AT326*(AS66^2+AS67^2))/((AS66+AT326)^2+(AS67+AT327)^2))</f>
        <v/>
      </c>
      <c r="AT68" s="216" t="str">
        <f>IF(X69="",AS68,N(AS68)+(X69/1000))</f>
        <v/>
      </c>
      <c r="AU68" s="216" t="str">
        <f>IF(AU66="","",(AT68*(AU66^2+AU67^2)+AU66*(AT68^2+AT69^2))/((AT68+AU66)^2+(AT69+AU67)^2))</f>
        <v/>
      </c>
      <c r="AV68" s="216">
        <f>IF(BA68=0,1,0)</f>
        <v>1</v>
      </c>
      <c r="AW68" s="217" t="str">
        <f>IF(AO68="","",AW66+AO68)</f>
        <v/>
      </c>
      <c r="AX68" s="218" t="str">
        <f>IF(AND(AX64="",AW68&lt;&gt;""),BA68*SQRT(AW66^2+AW67^2)/SQRT(AW68^2+AW69^2),IF(BA68&lt;&gt;0,AX64,""))</f>
        <v/>
      </c>
      <c r="AY68" s="224">
        <f>IF(L68="",10^30,SQRT(BA66)*(BA68^2)*(N(AN66)+N(AN68)+N(AO66)+N(AV66))/(100000*L68*M66))</f>
        <v>1E+30</v>
      </c>
      <c r="AZ68" s="225"/>
      <c r="BA68" s="220">
        <f>IF(AND(J66="",SUM(S66:S69)&lt;&gt;0),BA64,J66)</f>
        <v>0</v>
      </c>
      <c r="BB68" s="221">
        <f t="shared" si="1"/>
        <v>0</v>
      </c>
      <c r="BC68" s="232"/>
      <c r="BD68" s="232"/>
    </row>
    <row r="69" spans="1:56" ht="15" customHeight="1">
      <c r="A69" s="85"/>
      <c r="B69" s="85"/>
      <c r="C69" s="271"/>
      <c r="D69" s="417"/>
      <c r="E69" s="418"/>
      <c r="F69" s="419"/>
      <c r="G69" s="270"/>
      <c r="H69" s="270"/>
      <c r="I69" s="270"/>
      <c r="J69" s="270"/>
      <c r="K69" s="268"/>
      <c r="L69" s="251" t="str">
        <f>IF(M66="","",L68*1000*M66/(SQRT(BA66)*BA68))</f>
        <v/>
      </c>
      <c r="M69" s="252"/>
      <c r="N69" s="277"/>
      <c r="O69" s="205"/>
      <c r="P69" s="106"/>
      <c r="Q69" s="206"/>
      <c r="R69" s="107"/>
      <c r="S69" s="108" t="str">
        <f>IF(R69="","",IF(Q69="",P69/R69,P69/(Q69*R69)))</f>
        <v/>
      </c>
      <c r="T69" s="207"/>
      <c r="U69" s="208" t="str">
        <f>IF(OR(BA68="",S69=""),"",S69*1000*T69/(SQRT(BA66)*BA68))</f>
        <v/>
      </c>
      <c r="V69" s="109" t="str">
        <f>IF(AND(N(U66)=0,N(U67)=0,N(U68)=0,N(U69)=0),"",IF(V66&gt;=0,SQRT(ABS(V66^2-V68^2)),-SQRT(V66^2-V68^2)))</f>
        <v/>
      </c>
      <c r="W69" s="277"/>
      <c r="X69" s="278" t="str">
        <f>IF(Y68="","",AQ66*Z68*AR66*((1+0.00393*(F69-20))/1.2751)/Y68)</f>
        <v/>
      </c>
      <c r="Y69" s="270"/>
      <c r="Z69" s="267" t="str">
        <f>IF(Y68="","",(BA69/50)*AQ66*Z68*AR67/Y68)</f>
        <v/>
      </c>
      <c r="AA69" s="252"/>
      <c r="AB69" s="279" t="str">
        <f>IF(AC68="","",AQ66*AD68*AR68*((1+0.00393*(F69-20))/1.2751)/AC68)</f>
        <v/>
      </c>
      <c r="AC69" s="270"/>
      <c r="AD69" s="267" t="str">
        <f>IF(AC68="","",(BA69/50)*AQ66*AD68*AR69/AC68)</f>
        <v/>
      </c>
      <c r="AE69" s="268"/>
      <c r="AF69" s="237" t="str">
        <f>IF(AND(AX66&lt;&gt;"",D66=""),AX66,"")</f>
        <v/>
      </c>
      <c r="AG69" s="269" t="str">
        <f>IF(AP68="","",AP68)</f>
        <v/>
      </c>
      <c r="AH69" s="270"/>
      <c r="AI69" s="238" t="str">
        <f>IF(AP69="","",AP69)</f>
        <v/>
      </c>
      <c r="AJ69" s="263"/>
      <c r="AK69" s="253"/>
      <c r="AL69" s="189"/>
      <c r="AM69" s="28"/>
      <c r="AN69" s="226" t="b">
        <f>IF(BA66="","",IF(AND(BA66=3,F68=50,L66="oil cooled type"),VLOOKUP(L68,変３,3,FALSE),IF(AND(BA66=3,F68=50,L66="(F)molded type"),VLOOKUP(L68,変３,8,FALSE),IF(AND(BA66=3,F68=60,L66="oil cooled type"),VLOOKUP(L68,変３,13,FALSE),IF(AND(BA66=3,F68=60,L66="(F)molded type"),VLOOKUP(L68,変３,18,FALSE),FALSE)))))</f>
        <v>0</v>
      </c>
      <c r="AO69" s="226" t="str">
        <f>IF(AND(L62="",N(AY67)&lt;10^29),AY67,"")</f>
        <v/>
      </c>
      <c r="AP69" s="227" t="str">
        <f>IF(V66="","",IF(AND(N(V69)=0,N(AP67)=0),0,(AQ69-AP67*(AQ68^2+AQ69^2))/((AQ68*AP67)^2+(AP67*AQ69-1)^2)))</f>
        <v/>
      </c>
      <c r="AQ69" s="228">
        <f>IF(N(V69)=0,10^30,V69)</f>
        <v>1E+30</v>
      </c>
      <c r="AR69" s="226" t="str">
        <f>IF(AB66="","",IF(AB66="600V IV",VLOOKUP(AB68,ＩＶ,3,FALSE),IF(AB66="600V CV-T",VLOOKUP(AB68,ＣＶＴ,3,FALSE),IF(OR(AB66="600V CV-1C",AB66="600V CV-2C",AB66="600V CV-3C",AB66="600V CV-4C"),VLOOKUP(AB68,ＣＶ２３Ｃ,3,FALSE),VLOOKUP(AB68,ＣＵＳＥＲ,3,FALSE)))))</f>
        <v/>
      </c>
      <c r="AS69" s="228" t="str">
        <f>IF(OR(AND(AS326="",AS327=""),AND(D66="",D326&lt;&gt;"")),AS67,(AS67*(AT326^2+AT327^2)+AT327*(AS66^2+AS67^2))/((AS66+AT326)^2+(AS67+AT327)^2))</f>
        <v/>
      </c>
      <c r="AT69" s="229" t="str">
        <f>IF(Z69="",AS69,N(AS69)+(Z69/1000))</f>
        <v/>
      </c>
      <c r="AU69" s="229" t="str">
        <f>IF(AU67="","",(AT69*(AU66^2+AU67^2)+AU67*(AT68^2+AT69^2))/((AT68+AU66)^2+(AT69+AU67)^2))</f>
        <v/>
      </c>
      <c r="AV69" s="229">
        <f>AV65+AV68</f>
        <v>13</v>
      </c>
      <c r="AW69" s="228" t="str">
        <f>IF(AO69="","",AW67+AO69)</f>
        <v/>
      </c>
      <c r="AX69" s="230"/>
      <c r="AY69" s="224">
        <f>IF(L68="",10^30,SQRT(BA66)*(BA68^2)*(N(AN67)+N(AN69)+N(AO67)+N(AV67))/(100000*L68*M66))</f>
        <v>1E+30</v>
      </c>
      <c r="AZ69" s="225"/>
      <c r="BA69" s="220">
        <f>IF(AND(F68="",SUM(S66:S69)&lt;&gt;0),BA65,F68)</f>
        <v>0</v>
      </c>
      <c r="BB69" s="221">
        <f t="shared" si="1"/>
        <v>0</v>
      </c>
      <c r="BC69" s="232"/>
      <c r="BD69" s="232"/>
    </row>
    <row r="70" spans="1:56" ht="15" customHeight="1">
      <c r="B70" s="85"/>
      <c r="C70" s="271" t="str">
        <f>IF(BC70=1,"●","・")</f>
        <v>・</v>
      </c>
      <c r="D70" s="402"/>
      <c r="E70" s="403"/>
      <c r="F70" s="404"/>
      <c r="G70" s="265" t="str">
        <f>IF(F70="","","φ")</f>
        <v/>
      </c>
      <c r="H70" s="405"/>
      <c r="I70" s="265" t="str">
        <f>IF(H70="","","W")</f>
        <v/>
      </c>
      <c r="J70" s="405"/>
      <c r="K70" s="272" t="str">
        <f>IF(J70="","","V")</f>
        <v/>
      </c>
      <c r="L70" s="406"/>
      <c r="M70" s="407"/>
      <c r="N70" s="408"/>
      <c r="O70" s="193"/>
      <c r="P70" s="86"/>
      <c r="Q70" s="194"/>
      <c r="R70" s="87"/>
      <c r="S70" s="88" t="str">
        <f>IF(R70="","",IF(Q70="",P70/R70,P70/(Q70*R70)))</f>
        <v/>
      </c>
      <c r="T70" s="195"/>
      <c r="U70" s="196" t="str">
        <f>IF(OR(BA72="",S70=""),"",S70*1000*T70/(SQRT(BA70)*BA72))</f>
        <v/>
      </c>
      <c r="V70" s="254" t="str">
        <f>IF(AND(N(U70)=0,N(U71)=0,N(U72)=0,N(U73)=0),"",BA72/(SUM(U70:U73)))</f>
        <v/>
      </c>
      <c r="W70" s="280"/>
      <c r="X70" s="281"/>
      <c r="Y70" s="242"/>
      <c r="Z70" s="243"/>
      <c r="AA70" s="239"/>
      <c r="AB70" s="241"/>
      <c r="AC70" s="242"/>
      <c r="AD70" s="243"/>
      <c r="AE70" s="247"/>
      <c r="AF70" s="233" t="str">
        <f>IF(OR(AND(AF66="",N(BA68)=0,BA72&lt;&gt;0),D70&lt;&gt;""),AX72/AQ71,"")</f>
        <v/>
      </c>
      <c r="AG70" s="249" t="str">
        <f>IF(BA72=0,"",IF(AD72="",AX70,IF(AND(D70&lt;&gt;"",AU70=""),AX72*SQRT(AP72^2+AP73^2)/SQRT(AS70^2+AS71^2)/AQ71,AX70*SQRT(AP72^2+AP73^2)/SQRT(AS70^2+AS71^2))))</f>
        <v/>
      </c>
      <c r="AH70" s="250"/>
      <c r="AI70" s="234" t="str">
        <f>IF(AG70="","",IF(N(U70)&lt;0,-AX70*AQ71/SQRT(AS70^2+AS71^2),AX70*AQ71/SQRT(AS70^2+AS71^2)))</f>
        <v/>
      </c>
      <c r="AJ70" s="256"/>
      <c r="AK70" s="257"/>
      <c r="AL70" s="186"/>
      <c r="AM70" s="28"/>
      <c r="AN70" s="213" t="b">
        <f>IF(BA70="","",IF(AND(BA70=1,F72=50,L70="oil cooled type"),VLOOKUP(L72,変１,2,FALSE),IF(AND(BA70=1,F72=50,L70="(F)molded type"),VLOOKUP(L72,変１,7,FALSE),IF(AND(BA70=1,F72=60,L70="oil cooled type"),VLOOKUP(L72,変１,12,FALSE),IF(AND(BA70=1,F72=60,L70="(F)molded type"),VLOOKUP(L72,変１,17,FALSE),FALSE)))))</f>
        <v>0</v>
      </c>
      <c r="AO70" s="213">
        <f>IF(ISNA(VLOOKUP(L72,変ＵＳＥＲ,2,FALSE)),0,VLOOKUP(L72,変ＵＳＥＲ,2,FALSE))</f>
        <v>0</v>
      </c>
      <c r="AP70" s="214">
        <f>IF(N70="",0,N70*1000/BA72^2/SQRT(BA70))</f>
        <v>0</v>
      </c>
      <c r="AQ70" s="213" t="b">
        <f>IF(BA70=1,2,IF(BA70=3,SQRT(3),FALSE))</f>
        <v>0</v>
      </c>
      <c r="AR70" s="215" t="str">
        <f>IF(X70="","",IF(X70="600V IV",VLOOKUP(X72,ＩＶ,2,FALSE),IF(X70="600V CV-T",VLOOKUP(X72,ＣＶＴ,2,FALSE),IF(OR(X70="600V CV-1C",X70="600V CV-2C",X70="600V CV-3C",X70="600V CV-4C"),VLOOKUP(X72,ＣＶ２３Ｃ,2,FALSE),VLOOKUP(X72,ＣＵＳＥＲ,2,FALSE)))))</f>
        <v/>
      </c>
      <c r="AS70" s="213" t="str">
        <f>IF(AB73="",AP72,AP72+(AB73/1000))</f>
        <v/>
      </c>
      <c r="AT70" s="216" t="str">
        <f>IF(AU72="",AT72,AU72)</f>
        <v/>
      </c>
      <c r="AU70" s="216" t="str">
        <f>IF(D70="","",IF(AND(D330="",#REF!&lt;&gt;"",AV73=#REF!),#REF!,IF(AND(D330="",#REF!="",#REF!&lt;&gt;"",AV333=#REF!),#REF!,IF(AND(D330="",#REF!="",#REF!="",#REF!&lt;&gt;"",#REF!=#REF!),#REF!,IF(AND(D330="",#REF!="",#REF!="",#REF!="",D334&lt;&gt;"",#REF!=#REF!),AT334,IF(AND(D330="",#REF!="",#REF!="",#REF!="",D334="",#REF!&lt;&gt;"",#REF!=AV338),#REF!,IF(AND(D330="",#REF!="",#REF!="",#REF!="",D334="",#REF!="",D339&lt;&gt;"",#REF!=AV342),AT339,"")))))))</f>
        <v/>
      </c>
      <c r="AV70" s="216" t="str">
        <f>IF(L70="ACG",IF(ISNA(VLOOKUP(L72,ＡＣＧ,2,FALSE)),0,VLOOKUP(L72,ＡＣＧ,2,FALSE)),"")</f>
        <v/>
      </c>
      <c r="AW70" s="217" t="str">
        <f>IF(AT70="","",AT70/((AT70*AP70)^2+(AT71*AP70-1)^2))</f>
        <v/>
      </c>
      <c r="AX70" s="218" t="str">
        <f>IF(BA72=0,"",IF(OR(AX66="",AF70&lt;&gt;""),AF70*SQRT(AS72^2+AS73^2)/SQRT(AT72^2+AT73^2),AX66*SQRT(AS72^2+AS73^2)/SQRT(AT72^2+AT73^2)))</f>
        <v/>
      </c>
      <c r="AY70" s="219">
        <f>IF(N(AY72)=10^30,10^30,IF(N(AY332)=10^30,(N(AY72)*(N(AY332)^2+N(AY333)^2)+N(AY332)*(N(AY72)^2+N(AY73)^2))/((N(AY72)+N(AY332))^2+(N(AY73)+N(AY333))^2),(N(AY72)*(N(AY330)^2+N(AY331)^2)+N(AY330)*(N(AY72)^2+N(AY73)^2))/((N(AY72)+N(AY330))^2+(N(AY73)+N(AY331))^2)))</f>
        <v>1E+30</v>
      </c>
      <c r="AZ70" s="23"/>
      <c r="BA70" s="220">
        <f>IF(AND(F70="",SUM(S70:S73)&lt;&gt;0),BA66,F70)</f>
        <v>0</v>
      </c>
      <c r="BB70" s="221">
        <f t="shared" si="1"/>
        <v>0</v>
      </c>
      <c r="BC70" s="232">
        <f>IF(OR(E70="",F73="",AND(OR(P70="",Q70="",R70="",T70=""),OR(P71="",Q71="",R71="",T71=""),OR(P72="",Q72="",R72="",T72=""),OR(P73="",Q73="",R73="",T73="")),AND(OR(X70="",X72="",Y72="",Z72=""),OR(AB70="",AB72="",AC72="",AD72=""))),0,1)</f>
        <v>0</v>
      </c>
      <c r="BD70" s="232">
        <f>BC70+BD66</f>
        <v>0</v>
      </c>
    </row>
    <row r="71" spans="1:56" ht="15" customHeight="1">
      <c r="B71" s="85"/>
      <c r="C71" s="271"/>
      <c r="D71" s="409"/>
      <c r="E71" s="362"/>
      <c r="F71" s="410"/>
      <c r="G71" s="266"/>
      <c r="H71" s="266"/>
      <c r="I71" s="266"/>
      <c r="J71" s="266"/>
      <c r="K71" s="273"/>
      <c r="L71" s="411"/>
      <c r="M71" s="197" t="str">
        <f>IF(L70="ACG",SQRT(AV70^2+AV71^2),IF(L72="","",IF(OR(L70="oil cooled type",L70="(F)molded type"),IF(BA70=1,SQRT(AN70^2+AN71^2),IF(BA70=3,SQRT(AN72^2+AN73^2))),SQRT(AO70^2+AO71^2))))</f>
        <v/>
      </c>
      <c r="N71" s="412"/>
      <c r="O71" s="198"/>
      <c r="P71" s="90"/>
      <c r="Q71" s="199"/>
      <c r="R71" s="91"/>
      <c r="S71" s="92" t="str">
        <f>IF(R72="","",IF(Q72="",P72/R72,P72/(Q72*R72)))</f>
        <v/>
      </c>
      <c r="T71" s="200"/>
      <c r="U71" s="201" t="str">
        <f>IF(OR(BA72="",S71=""),"",S71*1000*T71/(SQRT(BA70)*BA72))</f>
        <v/>
      </c>
      <c r="V71" s="255"/>
      <c r="W71" s="248"/>
      <c r="X71" s="258"/>
      <c r="Y71" s="245"/>
      <c r="Z71" s="246"/>
      <c r="AA71" s="240"/>
      <c r="AB71" s="244"/>
      <c r="AC71" s="245"/>
      <c r="AD71" s="246"/>
      <c r="AE71" s="248"/>
      <c r="AF71" s="235" t="str">
        <f>IF(OR(AF70="",AG66&lt;&gt;""),"",AF70*AQ71/SQRT(AT70^2+AT71^2))</f>
        <v/>
      </c>
      <c r="AG71" s="274" t="str">
        <f>IF(AG70="","",100*AG70*AQ71/BA72)</f>
        <v/>
      </c>
      <c r="AH71" s="275"/>
      <c r="AI71" s="260" t="str">
        <f>IF(BA72=0,"",IF(AI66="",AX72/SQRT(AT70^2+AT71^2),IF(AI74="","",IF(AT70&lt;0,-AX70*AQ67/SQRT(AT70^2+AT71^2),AX70*AQ67/SQRT(AT70^2+AT71^2)))))</f>
        <v/>
      </c>
      <c r="AJ71" s="258"/>
      <c r="AK71" s="259"/>
      <c r="AL71" s="187"/>
      <c r="AM71" s="28"/>
      <c r="AN71" s="213" t="b">
        <f>IF(BA70="","",IF(AND(BA70=1,F72=50,L70="oil cooled type"),VLOOKUP(L72,変１,3,FALSE),IF(AND(BA70=1,F72=50,L70="(F)molded type"),VLOOKUP(L72,変１,8,FALSE),IF(AND(BA70=1,F72=60,L70="oil cooled type"),VLOOKUP(L72,変１,13,FALSE),IF(AND(BA70=1,F72=60,L70="(F)molded type"),VLOOKUP(L72,変１,18,FALSE),FALSE)))))</f>
        <v>0</v>
      </c>
      <c r="AO71" s="213">
        <f>IF(ISNA(VLOOKUP(L72,変ＵＳＥＲ,3,FALSE)),0,VLOOKUP(L72,変ＵＳＥＲ,3,FALSE)*BA73/50)</f>
        <v>0</v>
      </c>
      <c r="AP71" s="214">
        <f>IF(W70="",0,W70*1000/BA72^2/SQRT(BA70))</f>
        <v>0</v>
      </c>
      <c r="AQ71" s="213">
        <f>IF(AND(BA70=1,BA71=2),1,IF(AND(BA70=3,BA71=3),1,IF(AND(BA70=1,BA71=3),2,IF(AND(BA70=3,BA71=4)*OR(BB70=1,BB71=1,BB72=1,BB73=1),1,SQRT(3)))))</f>
        <v>1.7320508075688772</v>
      </c>
      <c r="AR71" s="215" t="str">
        <f>IF(X70="","",IF(X70="600V IV",VLOOKUP(X72,ＩＶ,3,FALSE),IF(X70="600V CV-T",VLOOKUP(X72,ＣＶＴ,3,FALSE),IF(OR(X70="600V CV-1C",X70="600V CV-2C",X70="600V CV-3C",X70="600V CV-4C"),VLOOKUP(X72,ＣＶ２３Ｃ,3,FALSE),VLOOKUP(X72,ＣＵＳＥＲ,3,FALSE)))))</f>
        <v/>
      </c>
      <c r="AS71" s="213" t="str">
        <f>IF(AD73="",AP73,AP73+(AD73/1000))</f>
        <v/>
      </c>
      <c r="AT71" s="216" t="str">
        <f>IF(AU73="",AT73,AU73)</f>
        <v/>
      </c>
      <c r="AU71" s="216" t="str">
        <f>IF(D70="","",IF(AND(D330="",#REF!&lt;&gt;"",AV73=#REF!),#REF!,IF(AND(D330="",#REF!="",#REF!&lt;&gt;"",AV333=#REF!),#REF!,IF(AND(D330="",#REF!="",#REF!="",#REF!&lt;&gt;"",#REF!=#REF!),#REF!,IF(AND(D330="",#REF!="",#REF!="",#REF!="",D334&lt;&gt;"",#REF!=#REF!),AT335,IF(AND(D330="",#REF!="",#REF!="",#REF!="",D334="",#REF!&lt;&gt;"",#REF!=AV338),AT336,IF(AND(D330="",#REF!="",#REF!="",#REF!="",D334="",#REF!="",D339&lt;&gt;"",#REF!=AV342),AT340,"")))))))</f>
        <v/>
      </c>
      <c r="AV71" s="215" t="str">
        <f>IF(L70="ACG",IF(ISNA(VLOOKUP(L72,ＡＣＧ,3,FALSE)),0,VLOOKUP(L72,ＡＣＧ,3,FALSE)*BA73/50),"")</f>
        <v/>
      </c>
      <c r="AW71" s="217" t="str">
        <f>IF(AT71="","",(AT71-AP70*(AT70^2+AT71^2))/((AT70*AP70)^2+(AP70*AT71-1)^2))</f>
        <v/>
      </c>
      <c r="AX71" s="218"/>
      <c r="AY71" s="219">
        <f>IF(N(AY73)=10^30,10^30,IF(N(AY333)=10^30,(N(AY73)*(N(AY332)^2+N(AY333)^2)+N(AY333)*(N(AY72)^2+N(AY73)^2))/((N(AY72)+N(AY332))^2+(N(AY73)+N(AY333))^2),(N(AY73)*(N(AY330)^2+N(AY331)^2)+N(AY331)*(N(AY72)^2+N(AY73)^2))/((N(AY72)+N(AY330))^2+(N(AY73)+N(AY331))^2)))</f>
        <v>1E+30</v>
      </c>
      <c r="AZ71" s="23"/>
      <c r="BA71" s="220">
        <f>IF(AND(H70="",SUM(S70:S73)&lt;&gt;0),BA67,H70)</f>
        <v>0</v>
      </c>
      <c r="BB71" s="221">
        <f t="shared" si="1"/>
        <v>0</v>
      </c>
      <c r="BC71" s="232"/>
      <c r="BD71" s="232"/>
    </row>
    <row r="72" spans="1:56" ht="15" customHeight="1">
      <c r="B72" s="85"/>
      <c r="C72" s="271"/>
      <c r="D72" s="409"/>
      <c r="E72" s="362"/>
      <c r="F72" s="413"/>
      <c r="G72" s="414"/>
      <c r="H72" s="414"/>
      <c r="I72" s="414"/>
      <c r="J72" s="414"/>
      <c r="K72" s="415"/>
      <c r="L72" s="416"/>
      <c r="M72" s="275"/>
      <c r="N72" s="412"/>
      <c r="O72" s="198"/>
      <c r="P72" s="93"/>
      <c r="Q72" s="202"/>
      <c r="R72" s="91"/>
      <c r="S72" s="92" t="str">
        <f>IF(R73="","",IF(Q73="",P73/R73,P73/(Q73*R73)))</f>
        <v/>
      </c>
      <c r="T72" s="200"/>
      <c r="U72" s="203" t="str">
        <f>IF(OR(BA72="",S72=""),"",S72*1000*T72/(SQRT(BA70)*BA72))</f>
        <v/>
      </c>
      <c r="V72" s="94" t="str">
        <f>IF(AND(N(U70)=0,N(U71)=0,N(U72)=0,N(U73)=0),"",V70*(P70*R70*T70+P71*R71*T71+P72*R72*T72+P73*R73*T73)/(P70*T70+P71*T71+P72*T72+P73*T73))</f>
        <v/>
      </c>
      <c r="W72" s="276" t="str">
        <f>IF(AND(N(AP72)=0,N(AP73)=0,N(AP71)=0),"",IF(AP73&gt;=0,COS(ATAN(AP73/AP72)),-COS(ATAN(AP73/AP72))))</f>
        <v/>
      </c>
      <c r="X72" s="95"/>
      <c r="Y72" s="204"/>
      <c r="Z72" s="96"/>
      <c r="AA72" s="97"/>
      <c r="AB72" s="98"/>
      <c r="AC72" s="204"/>
      <c r="AD72" s="96"/>
      <c r="AE72" s="99"/>
      <c r="AF72" s="236" t="str">
        <f>IF(OR(AF70="",AG66&lt;&gt;""),"",BA72/SQRT(AW72^2+AW73^2))</f>
        <v/>
      </c>
      <c r="AG72" s="274" t="str">
        <f>IF(AG70="","",100*((BA72/AQ71)-AG70)/(BA72/AQ71))</f>
        <v/>
      </c>
      <c r="AH72" s="275"/>
      <c r="AI72" s="261"/>
      <c r="AJ72" s="262"/>
      <c r="AK72" s="264"/>
      <c r="AL72" s="188"/>
      <c r="AM72" s="28"/>
      <c r="AN72" s="222" t="b">
        <f>IF(BA70="","",IF(AND(BA70=3,F72=50,L70="oil cooled type"),VLOOKUP(L72,変３,2,FALSE),IF(AND(BA70=3,F72=50,L70="(F)molded type"),VLOOKUP(L72,変３,7,FALSE),IF(AND(BA70=3,F72=60,L70="oil cooled type"),VLOOKUP(L72,変３,12,FALSE),IF(AND(BA70=3,F72=60,L70="(F)molded type"),VLOOKUP(L72,変３,17,FALSE),FALSE)))))</f>
        <v>0</v>
      </c>
      <c r="AO72" s="215" t="str">
        <f>IF(AND(L66="",N(AY70)&lt;10^29),AY70,"")</f>
        <v/>
      </c>
      <c r="AP72" s="223" t="str">
        <f>IF(V70="","",IF(AND(N(V72)=0,N(AP71)=0),"",AQ72/((AQ72*AP71)^2+(AP71*AQ73-1)^2)))</f>
        <v/>
      </c>
      <c r="AQ72" s="213">
        <f>IF(N(V72)=0,10^30,V72)</f>
        <v>1E+30</v>
      </c>
      <c r="AR72" s="215" t="str">
        <f>IF(AB70="","",IF(AB70="600V IV",VLOOKUP(AB72,ＩＶ,2,FALSE),IF(AB70="600V CV-T",VLOOKUP(AB72,ＣＶＴ,2,FALSE),IF(OR(AB70="600V CV-1C",AB70="600V CV-2C",AB70="600V CV-3C",AB70="600V CV-4C"),VLOOKUP(AB72,ＣＶ２３Ｃ,2,FALSE),VLOOKUP(AB72,ＣＵＳＥＲ,2,FALSE)))))</f>
        <v/>
      </c>
      <c r="AS72" s="213" t="str">
        <f>IF(OR(AND(AS330="",AS331=""),AND(D70="",D330&lt;&gt;"")),AS70,(AS70*(AT330^2+AT331^2)+AT330*(AS70^2+AS71^2))/((AS70+AT330)^2+(AS71+AT331)^2))</f>
        <v/>
      </c>
      <c r="AT72" s="216" t="str">
        <f>IF(X73="",AS72,N(AS72)+(X73/1000))</f>
        <v/>
      </c>
      <c r="AU72" s="216" t="str">
        <f>IF(AU70="","",(AT72*(AU70^2+AU71^2)+AU70*(AT72^2+AT73^2))/((AT72+AU70)^2+(AT73+AU71)^2))</f>
        <v/>
      </c>
      <c r="AV72" s="216">
        <f>IF(BA72=0,1,0)</f>
        <v>1</v>
      </c>
      <c r="AW72" s="217" t="str">
        <f>IF(AO72="","",AW70+AO72)</f>
        <v/>
      </c>
      <c r="AX72" s="218" t="str">
        <f>IF(AND(AX68="",AW72&lt;&gt;""),BA72*SQRT(AW70^2+AW71^2)/SQRT(AW72^2+AW73^2),IF(BA72&lt;&gt;0,AX68,""))</f>
        <v/>
      </c>
      <c r="AY72" s="224">
        <f>IF(L72="",10^30,SQRT(BA70)*(BA72^2)*(N(AN70)+N(AN72)+N(AO70)+N(AV70))/(100000*L72*M70))</f>
        <v>1E+30</v>
      </c>
      <c r="AZ72" s="225"/>
      <c r="BA72" s="220">
        <f>IF(AND(J70="",SUM(S70:S73)&lt;&gt;0),BA68,J70)</f>
        <v>0</v>
      </c>
      <c r="BB72" s="221">
        <f t="shared" si="1"/>
        <v>0</v>
      </c>
      <c r="BC72" s="232"/>
      <c r="BD72" s="232"/>
    </row>
    <row r="73" spans="1:56" ht="15" customHeight="1">
      <c r="A73" s="85"/>
      <c r="B73" s="85"/>
      <c r="C73" s="271"/>
      <c r="D73" s="417"/>
      <c r="E73" s="418"/>
      <c r="F73" s="419"/>
      <c r="G73" s="270"/>
      <c r="H73" s="270"/>
      <c r="I73" s="270"/>
      <c r="J73" s="270"/>
      <c r="K73" s="268"/>
      <c r="L73" s="251" t="str">
        <f>IF(M70="","",L72*1000*M70/(SQRT(BA70)*BA72))</f>
        <v/>
      </c>
      <c r="M73" s="252"/>
      <c r="N73" s="277"/>
      <c r="O73" s="205"/>
      <c r="P73" s="106"/>
      <c r="Q73" s="206"/>
      <c r="R73" s="107"/>
      <c r="S73" s="108" t="str">
        <f>IF(R73="","",IF(Q73="",P73/R73,P73/(Q73*R73)))</f>
        <v/>
      </c>
      <c r="T73" s="207"/>
      <c r="U73" s="208" t="str">
        <f>IF(OR(BA72="",S73=""),"",S73*1000*T73/(SQRT(BA70)*BA72))</f>
        <v/>
      </c>
      <c r="V73" s="109" t="str">
        <f>IF(AND(N(U70)=0,N(U71)=0,N(U72)=0,N(U73)=0),"",IF(V70&gt;=0,SQRT(ABS(V70^2-V72^2)),-SQRT(V70^2-V72^2)))</f>
        <v/>
      </c>
      <c r="W73" s="277"/>
      <c r="X73" s="278" t="str">
        <f>IF(Y72="","",AQ70*Z72*AR70*((1+0.00393*(F73-20))/1.2751)/Y72)</f>
        <v/>
      </c>
      <c r="Y73" s="270"/>
      <c r="Z73" s="267" t="str">
        <f>IF(Y72="","",(BA73/50)*AQ70*Z72*AR71/Y72)</f>
        <v/>
      </c>
      <c r="AA73" s="252"/>
      <c r="AB73" s="279" t="str">
        <f>IF(AC72="","",AQ70*AD72*AR72*((1+0.00393*(F73-20))/1.2751)/AC72)</f>
        <v/>
      </c>
      <c r="AC73" s="270"/>
      <c r="AD73" s="267" t="str">
        <f>IF(AC72="","",(BA73/50)*AQ70*AD72*AR73/AC72)</f>
        <v/>
      </c>
      <c r="AE73" s="268"/>
      <c r="AF73" s="237" t="str">
        <f>IF(AND(AX70&lt;&gt;"",D70=""),AX70,"")</f>
        <v/>
      </c>
      <c r="AG73" s="269" t="str">
        <f>IF(AP72="","",AP72)</f>
        <v/>
      </c>
      <c r="AH73" s="270"/>
      <c r="AI73" s="238" t="str">
        <f>IF(AP73="","",AP73)</f>
        <v/>
      </c>
      <c r="AJ73" s="263"/>
      <c r="AK73" s="253"/>
      <c r="AL73" s="189"/>
      <c r="AM73" s="28"/>
      <c r="AN73" s="226" t="b">
        <f>IF(BA70="","",IF(AND(BA70=3,F72=50,L70="oil cooled type"),VLOOKUP(L72,変３,3,FALSE),IF(AND(BA70=3,F72=50,L70="(F)molded type"),VLOOKUP(L72,変３,8,FALSE),IF(AND(BA70=3,F72=60,L70="oil cooled type"),VLOOKUP(L72,変３,13,FALSE),IF(AND(BA70=3,F72=60,L70="(F)molded type"),VLOOKUP(L72,変３,18,FALSE),FALSE)))))</f>
        <v>0</v>
      </c>
      <c r="AO73" s="226" t="str">
        <f>IF(AND(L66="",N(AY71)&lt;10^29),AY71,"")</f>
        <v/>
      </c>
      <c r="AP73" s="227" t="str">
        <f>IF(V70="","",IF(AND(N(V73)=0,N(AP71)=0),0,(AQ73-AP71*(AQ72^2+AQ73^2))/((AQ72*AP71)^2+(AP71*AQ73-1)^2)))</f>
        <v/>
      </c>
      <c r="AQ73" s="228">
        <f>IF(N(V73)=0,10^30,V73)</f>
        <v>1E+30</v>
      </c>
      <c r="AR73" s="226" t="str">
        <f>IF(AB70="","",IF(AB70="600V IV",VLOOKUP(AB72,ＩＶ,3,FALSE),IF(AB70="600V CV-T",VLOOKUP(AB72,ＣＶＴ,3,FALSE),IF(OR(AB70="600V CV-1C",AB70="600V CV-2C",AB70="600V CV-3C",AB70="600V CV-4C"),VLOOKUP(AB72,ＣＶ２３Ｃ,3,FALSE),VLOOKUP(AB72,ＣＵＳＥＲ,3,FALSE)))))</f>
        <v/>
      </c>
      <c r="AS73" s="228" t="str">
        <f>IF(OR(AND(AS330="",AS331=""),AND(D70="",D330&lt;&gt;"")),AS71,(AS71*(AT330^2+AT331^2)+AT331*(AS70^2+AS71^2))/((AS70+AT330)^2+(AS71+AT331)^2))</f>
        <v/>
      </c>
      <c r="AT73" s="229" t="str">
        <f>IF(Z73="",AS73,N(AS73)+(Z73/1000))</f>
        <v/>
      </c>
      <c r="AU73" s="229" t="str">
        <f>IF(AU71="","",(AT73*(AU70^2+AU71^2)+AU71*(AT72^2+AT73^2))/((AT72+AU70)^2+(AT73+AU71)^2))</f>
        <v/>
      </c>
      <c r="AV73" s="229">
        <f>AV69+AV72</f>
        <v>14</v>
      </c>
      <c r="AW73" s="228" t="str">
        <f>IF(AO73="","",AW71+AO73)</f>
        <v/>
      </c>
      <c r="AX73" s="230"/>
      <c r="AY73" s="224">
        <f>IF(L72="",10^30,SQRT(BA70)*(BA72^2)*(N(AN71)+N(AN73)+N(AO71)+N(AV71))/(100000*L72*M70))</f>
        <v>1E+30</v>
      </c>
      <c r="AZ73" s="225"/>
      <c r="BA73" s="220">
        <f>IF(AND(F72="",SUM(S70:S73)&lt;&gt;0),BA69,F72)</f>
        <v>0</v>
      </c>
      <c r="BB73" s="221">
        <f t="shared" si="1"/>
        <v>0</v>
      </c>
      <c r="BC73" s="232"/>
      <c r="BD73" s="232"/>
    </row>
    <row r="74" spans="1:56" ht="15" customHeight="1">
      <c r="B74" s="85"/>
      <c r="C74" s="271" t="str">
        <f>IF(BC74=1,"●","・")</f>
        <v>・</v>
      </c>
      <c r="D74" s="402"/>
      <c r="E74" s="403"/>
      <c r="F74" s="404"/>
      <c r="G74" s="265" t="str">
        <f>IF(F74="","","φ")</f>
        <v/>
      </c>
      <c r="H74" s="405"/>
      <c r="I74" s="265" t="str">
        <f>IF(H74="","","W")</f>
        <v/>
      </c>
      <c r="J74" s="405"/>
      <c r="K74" s="272" t="str">
        <f>IF(J74="","","V")</f>
        <v/>
      </c>
      <c r="L74" s="406"/>
      <c r="M74" s="407"/>
      <c r="N74" s="408"/>
      <c r="O74" s="193"/>
      <c r="P74" s="86"/>
      <c r="Q74" s="194"/>
      <c r="R74" s="87"/>
      <c r="S74" s="88" t="str">
        <f>IF(R74="","",IF(Q74="",P74/R74,P74/(Q74*R74)))</f>
        <v/>
      </c>
      <c r="T74" s="195"/>
      <c r="U74" s="196" t="str">
        <f>IF(OR(BA76="",S74=""),"",S74*1000*T74/(SQRT(BA74)*BA76))</f>
        <v/>
      </c>
      <c r="V74" s="254" t="str">
        <f>IF(AND(N(U74)=0,N(U75)=0,N(U76)=0,N(U77)=0),"",BA76/(SUM(U74:U77)))</f>
        <v/>
      </c>
      <c r="W74" s="280"/>
      <c r="X74" s="281"/>
      <c r="Y74" s="242"/>
      <c r="Z74" s="243"/>
      <c r="AA74" s="239"/>
      <c r="AB74" s="241"/>
      <c r="AC74" s="242"/>
      <c r="AD74" s="243"/>
      <c r="AE74" s="247"/>
      <c r="AF74" s="233" t="str">
        <f>IF(OR(AND(AF70="",N(BA72)=0,BA76&lt;&gt;0),D74&lt;&gt;""),AX76/AQ75,"")</f>
        <v/>
      </c>
      <c r="AG74" s="249" t="str">
        <f>IF(BA76=0,"",IF(AD76="",AX74,IF(AND(D74&lt;&gt;"",AU74=""),AX76*SQRT(AP76^2+AP77^2)/SQRT(AS74^2+AS75^2)/AQ75,AX74*SQRT(AP76^2+AP77^2)/SQRT(AS74^2+AS75^2))))</f>
        <v/>
      </c>
      <c r="AH74" s="250"/>
      <c r="AI74" s="234" t="str">
        <f>IF(AG74="","",IF(N(U74)&lt;0,-AX74*AQ75/SQRT(AS74^2+AS75^2),AX74*AQ75/SQRT(AS74^2+AS75^2)))</f>
        <v/>
      </c>
      <c r="AJ74" s="256"/>
      <c r="AK74" s="257"/>
      <c r="AL74" s="186"/>
      <c r="AM74" s="28"/>
      <c r="AN74" s="213" t="b">
        <f>IF(BA74="","",IF(AND(BA74=1,F76=50,L74="oil cooled type"),VLOOKUP(L76,変１,2,FALSE),IF(AND(BA74=1,F76=50,L74="(F)molded type"),VLOOKUP(L76,変１,7,FALSE),IF(AND(BA74=1,F76=60,L74="oil cooled type"),VLOOKUP(L76,変１,12,FALSE),IF(AND(BA74=1,F76=60,L74="(F)molded type"),VLOOKUP(L76,変１,17,FALSE),FALSE)))))</f>
        <v>0</v>
      </c>
      <c r="AO74" s="213">
        <f>IF(ISNA(VLOOKUP(L76,変ＵＳＥＲ,2,FALSE)),0,VLOOKUP(L76,変ＵＳＥＲ,2,FALSE))</f>
        <v>0</v>
      </c>
      <c r="AP74" s="214">
        <f>IF(N74="",0,N74*1000/BA76^2/SQRT(BA74))</f>
        <v>0</v>
      </c>
      <c r="AQ74" s="213" t="b">
        <f>IF(BA74=1,2,IF(BA74=3,SQRT(3),FALSE))</f>
        <v>0</v>
      </c>
      <c r="AR74" s="215" t="str">
        <f>IF(X74="","",IF(X74="600V IV",VLOOKUP(X76,ＩＶ,2,FALSE),IF(X74="600V CV-T",VLOOKUP(X76,ＣＶＴ,2,FALSE),IF(OR(X74="600V CV-1C",X74="600V CV-2C",X74="600V CV-3C",X74="600V CV-4C"),VLOOKUP(X76,ＣＶ２３Ｃ,2,FALSE),VLOOKUP(X76,ＣＵＳＥＲ,2,FALSE)))))</f>
        <v/>
      </c>
      <c r="AS74" s="213" t="str">
        <f>IF(AB77="",AP76,AP76+(AB77/1000))</f>
        <v/>
      </c>
      <c r="AT74" s="216" t="str">
        <f>IF(AU76="",AT76,AU76)</f>
        <v/>
      </c>
      <c r="AU74" s="216" t="str">
        <f>IF(D74="","",IF(AND(D334="",#REF!&lt;&gt;"",AV77=#REF!),#REF!,IF(AND(D334="",#REF!="",#REF!&lt;&gt;"",AV337=#REF!),#REF!,IF(AND(D334="",#REF!="",#REF!="",#REF!&lt;&gt;"",#REF!=#REF!),#REF!,IF(AND(D334="",#REF!="",#REF!="",#REF!="",D338&lt;&gt;"",#REF!=#REF!),AT338,IF(AND(D334="",#REF!="",#REF!="",#REF!="",D338="",#REF!&lt;&gt;"",#REF!=AV342),#REF!,IF(AND(D334="",#REF!="",#REF!="",#REF!="",D338="",#REF!="",D343&lt;&gt;"",#REF!=AV346),AT343,"")))))))</f>
        <v/>
      </c>
      <c r="AV74" s="216" t="str">
        <f>IF(L74="ACG",IF(ISNA(VLOOKUP(L76,ＡＣＧ,2,FALSE)),0,VLOOKUP(L76,ＡＣＧ,2,FALSE)),"")</f>
        <v/>
      </c>
      <c r="AW74" s="217" t="str">
        <f>IF(AT74="","",AT74/((AT74*AP74)^2+(AT75*AP74-1)^2))</f>
        <v/>
      </c>
      <c r="AX74" s="218" t="str">
        <f>IF(BA76=0,"",IF(OR(AX70="",AF74&lt;&gt;""),AF74*SQRT(AS76^2+AS77^2)/SQRT(AT76^2+AT77^2),AX70*SQRT(AS76^2+AS77^2)/SQRT(AT76^2+AT77^2)))</f>
        <v/>
      </c>
      <c r="AY74" s="219">
        <f>IF(N(AY76)=10^30,10^30,IF(N(AY336)=10^30,(N(AY76)*(N(AY336)^2+N(AY337)^2)+N(AY336)*(N(AY76)^2+N(AY77)^2))/((N(AY76)+N(AY336))^2+(N(AY77)+N(AY337))^2),(N(AY76)*(N(AY334)^2+N(AY335)^2)+N(AY334)*(N(AY76)^2+N(AY77)^2))/((N(AY76)+N(AY334))^2+(N(AY77)+N(AY335))^2)))</f>
        <v>1E+30</v>
      </c>
      <c r="AZ74" s="23"/>
      <c r="BA74" s="220">
        <f>IF(AND(F74="",SUM(S74:S77)&lt;&gt;0),BA70,F74)</f>
        <v>0</v>
      </c>
      <c r="BB74" s="221">
        <f t="shared" si="1"/>
        <v>0</v>
      </c>
      <c r="BC74" s="232">
        <f>IF(OR(E74="",F77="",AND(OR(P74="",Q74="",R74="",T74=""),OR(P75="",Q75="",R75="",T75=""),OR(P76="",Q76="",R76="",T76=""),OR(P77="",Q77="",R77="",T77="")),AND(OR(X74="",X76="",Y76="",Z76=""),OR(AB74="",AB76="",AC76="",AD76=""))),0,1)</f>
        <v>0</v>
      </c>
      <c r="BD74" s="232">
        <f>BC74+BD70</f>
        <v>0</v>
      </c>
    </row>
    <row r="75" spans="1:56" ht="15" customHeight="1">
      <c r="B75" s="85"/>
      <c r="C75" s="271"/>
      <c r="D75" s="409"/>
      <c r="E75" s="362"/>
      <c r="F75" s="410"/>
      <c r="G75" s="266"/>
      <c r="H75" s="266"/>
      <c r="I75" s="266"/>
      <c r="J75" s="266"/>
      <c r="K75" s="273"/>
      <c r="L75" s="411"/>
      <c r="M75" s="197" t="str">
        <f>IF(L74="ACG",SQRT(AV74^2+AV75^2),IF(L76="","",IF(OR(L74="oil cooled type",L74="(F)molded type"),IF(BA74=1,SQRT(AN74^2+AN75^2),IF(BA74=3,SQRT(AN76^2+AN77^2))),SQRT(AO74^2+AO75^2))))</f>
        <v/>
      </c>
      <c r="N75" s="412"/>
      <c r="O75" s="198"/>
      <c r="P75" s="90"/>
      <c r="Q75" s="199"/>
      <c r="R75" s="91"/>
      <c r="S75" s="92" t="str">
        <f>IF(R76="","",IF(Q76="",P76/R76,P76/(Q76*R76)))</f>
        <v/>
      </c>
      <c r="T75" s="200"/>
      <c r="U75" s="201" t="str">
        <f>IF(OR(BA76="",S75=""),"",S75*1000*T75/(SQRT(BA74)*BA76))</f>
        <v/>
      </c>
      <c r="V75" s="255"/>
      <c r="W75" s="248"/>
      <c r="X75" s="258"/>
      <c r="Y75" s="245"/>
      <c r="Z75" s="246"/>
      <c r="AA75" s="240"/>
      <c r="AB75" s="244"/>
      <c r="AC75" s="245"/>
      <c r="AD75" s="246"/>
      <c r="AE75" s="248"/>
      <c r="AF75" s="235" t="str">
        <f>IF(OR(AF74="",AG70&lt;&gt;""),"",AF74*AQ75/SQRT(AT74^2+AT75^2))</f>
        <v/>
      </c>
      <c r="AG75" s="274" t="str">
        <f>IF(AG74="","",100*AG74*AQ75/BA76)</f>
        <v/>
      </c>
      <c r="AH75" s="275"/>
      <c r="AI75" s="260" t="str">
        <f>IF(BA76=0,"",IF(AI70="",AX76/SQRT(AT74^2+AT75^2),IF(AI78="","",IF(AT74&lt;0,-AX74*AQ71/SQRT(AT74^2+AT75^2),AX74*AQ71/SQRT(AT74^2+AT75^2)))))</f>
        <v/>
      </c>
      <c r="AJ75" s="258"/>
      <c r="AK75" s="259"/>
      <c r="AL75" s="187"/>
      <c r="AM75" s="28"/>
      <c r="AN75" s="213" t="b">
        <f>IF(BA74="","",IF(AND(BA74=1,F76=50,L74="oil cooled type"),VLOOKUP(L76,変１,3,FALSE),IF(AND(BA74=1,F76=50,L74="(F)molded type"),VLOOKUP(L76,変１,8,FALSE),IF(AND(BA74=1,F76=60,L74="oil cooled type"),VLOOKUP(L76,変１,13,FALSE),IF(AND(BA74=1,F76=60,L74="(F)molded type"),VLOOKUP(L76,変１,18,FALSE),FALSE)))))</f>
        <v>0</v>
      </c>
      <c r="AO75" s="213">
        <f>IF(ISNA(VLOOKUP(L76,変ＵＳＥＲ,3,FALSE)),0,VLOOKUP(L76,変ＵＳＥＲ,3,FALSE)*BA77/50)</f>
        <v>0</v>
      </c>
      <c r="AP75" s="214">
        <f>IF(W74="",0,W74*1000/BA76^2/SQRT(BA74))</f>
        <v>0</v>
      </c>
      <c r="AQ75" s="213">
        <f>IF(AND(BA74=1,BA75=2),1,IF(AND(BA74=3,BA75=3),1,IF(AND(BA74=1,BA75=3),2,IF(AND(BA74=3,BA75=4)*OR(BB74=1,BB75=1,BB76=1,BB77=1),1,SQRT(3)))))</f>
        <v>1.7320508075688772</v>
      </c>
      <c r="AR75" s="215" t="str">
        <f>IF(X74="","",IF(X74="600V IV",VLOOKUP(X76,ＩＶ,3,FALSE),IF(X74="600V CV-T",VLOOKUP(X76,ＣＶＴ,3,FALSE),IF(OR(X74="600V CV-1C",X74="600V CV-2C",X74="600V CV-3C",X74="600V CV-4C"),VLOOKUP(X76,ＣＶ２３Ｃ,3,FALSE),VLOOKUP(X76,ＣＵＳＥＲ,3,FALSE)))))</f>
        <v/>
      </c>
      <c r="AS75" s="213" t="str">
        <f>IF(AD77="",AP77,AP77+(AD77/1000))</f>
        <v/>
      </c>
      <c r="AT75" s="216" t="str">
        <f>IF(AU77="",AT77,AU77)</f>
        <v/>
      </c>
      <c r="AU75" s="216" t="str">
        <f>IF(D74="","",IF(AND(D334="",#REF!&lt;&gt;"",AV77=#REF!),#REF!,IF(AND(D334="",#REF!="",#REF!&lt;&gt;"",AV337=#REF!),#REF!,IF(AND(D334="",#REF!="",#REF!="",#REF!&lt;&gt;"",#REF!=#REF!),#REF!,IF(AND(D334="",#REF!="",#REF!="",#REF!="",D338&lt;&gt;"",#REF!=#REF!),AT339,IF(AND(D334="",#REF!="",#REF!="",#REF!="",D338="",#REF!&lt;&gt;"",#REF!=AV342),AT340,IF(AND(D334="",#REF!="",#REF!="",#REF!="",D338="",#REF!="",D343&lt;&gt;"",#REF!=AV346),AT344,"")))))))</f>
        <v/>
      </c>
      <c r="AV75" s="215" t="str">
        <f>IF(L74="ACG",IF(ISNA(VLOOKUP(L76,ＡＣＧ,3,FALSE)),0,VLOOKUP(L76,ＡＣＧ,3,FALSE)*BA77/50),"")</f>
        <v/>
      </c>
      <c r="AW75" s="217" t="str">
        <f>IF(AT75="","",(AT75-AP74*(AT74^2+AT75^2))/((AT74*AP74)^2+(AP74*AT75-1)^2))</f>
        <v/>
      </c>
      <c r="AX75" s="218"/>
      <c r="AY75" s="219">
        <f>IF(N(AY77)=10^30,10^30,IF(N(AY337)=10^30,(N(AY77)*(N(AY336)^2+N(AY337)^2)+N(AY337)*(N(AY76)^2+N(AY77)^2))/((N(AY76)+N(AY336))^2+(N(AY77)+N(AY337))^2),(N(AY77)*(N(AY334)^2+N(AY335)^2)+N(AY335)*(N(AY76)^2+N(AY77)^2))/((N(AY76)+N(AY334))^2+(N(AY77)+N(AY335))^2)))</f>
        <v>1E+30</v>
      </c>
      <c r="AZ75" s="23"/>
      <c r="BA75" s="220">
        <f>IF(AND(H74="",SUM(S74:S77)&lt;&gt;0),BA71,H74)</f>
        <v>0</v>
      </c>
      <c r="BB75" s="221">
        <f t="shared" si="1"/>
        <v>0</v>
      </c>
      <c r="BC75" s="232"/>
      <c r="BD75" s="232"/>
    </row>
    <row r="76" spans="1:56" ht="15" customHeight="1">
      <c r="B76" s="85"/>
      <c r="C76" s="271"/>
      <c r="D76" s="409"/>
      <c r="E76" s="362"/>
      <c r="F76" s="413"/>
      <c r="G76" s="414"/>
      <c r="H76" s="414"/>
      <c r="I76" s="414"/>
      <c r="J76" s="414"/>
      <c r="K76" s="415"/>
      <c r="L76" s="416"/>
      <c r="M76" s="275"/>
      <c r="N76" s="412"/>
      <c r="O76" s="198"/>
      <c r="P76" s="93"/>
      <c r="Q76" s="202"/>
      <c r="R76" s="91"/>
      <c r="S76" s="92" t="str">
        <f>IF(R77="","",IF(Q77="",P77/R77,P77/(Q77*R77)))</f>
        <v/>
      </c>
      <c r="T76" s="200"/>
      <c r="U76" s="203" t="str">
        <f>IF(OR(BA76="",S76=""),"",S76*1000*T76/(SQRT(BA74)*BA76))</f>
        <v/>
      </c>
      <c r="V76" s="94" t="str">
        <f>IF(AND(N(U74)=0,N(U75)=0,N(U76)=0,N(U77)=0),"",V74*(P74*R74*T74+P75*R75*T75+P76*R76*T76+P77*R77*T77)/(P74*T74+P75*T75+P76*T76+P77*T77))</f>
        <v/>
      </c>
      <c r="W76" s="276" t="str">
        <f>IF(AND(N(AP76)=0,N(AP77)=0,N(AP75)=0),"",IF(AP77&gt;=0,COS(ATAN(AP77/AP76)),-COS(ATAN(AP77/AP76))))</f>
        <v/>
      </c>
      <c r="X76" s="95"/>
      <c r="Y76" s="204"/>
      <c r="Z76" s="96"/>
      <c r="AA76" s="97"/>
      <c r="AB76" s="98"/>
      <c r="AC76" s="204"/>
      <c r="AD76" s="96"/>
      <c r="AE76" s="99"/>
      <c r="AF76" s="236" t="str">
        <f>IF(OR(AF74="",AG70&lt;&gt;""),"",BA76/SQRT(AW76^2+AW77^2))</f>
        <v/>
      </c>
      <c r="AG76" s="274" t="str">
        <f>IF(AG74="","",100*((BA76/AQ75)-AG74)/(BA76/AQ75))</f>
        <v/>
      </c>
      <c r="AH76" s="275"/>
      <c r="AI76" s="261"/>
      <c r="AJ76" s="262"/>
      <c r="AK76" s="264"/>
      <c r="AL76" s="188"/>
      <c r="AM76" s="28"/>
      <c r="AN76" s="222" t="b">
        <f>IF(BA74="","",IF(AND(BA74=3,F76=50,L74="oil cooled type"),VLOOKUP(L76,変３,2,FALSE),IF(AND(BA74=3,F76=50,L74="(F)molded type"),VLOOKUP(L76,変３,7,FALSE),IF(AND(BA74=3,F76=60,L74="oil cooled type"),VLOOKUP(L76,変３,12,FALSE),IF(AND(BA74=3,F76=60,L74="(F)molded type"),VLOOKUP(L76,変３,17,FALSE),FALSE)))))</f>
        <v>0</v>
      </c>
      <c r="AO76" s="215" t="str">
        <f>IF(AND(L70="",N(AY74)&lt;10^29),AY74,"")</f>
        <v/>
      </c>
      <c r="AP76" s="223" t="str">
        <f>IF(V74="","",IF(AND(N(V76)=0,N(AP75)=0),"",AQ76/((AQ76*AP75)^2+(AP75*AQ77-1)^2)))</f>
        <v/>
      </c>
      <c r="AQ76" s="213">
        <f>IF(N(V76)=0,10^30,V76)</f>
        <v>1E+30</v>
      </c>
      <c r="AR76" s="215" t="str">
        <f>IF(AB74="","",IF(AB74="600V IV",VLOOKUP(AB76,ＩＶ,2,FALSE),IF(AB74="600V CV-T",VLOOKUP(AB76,ＣＶＴ,2,FALSE),IF(OR(AB74="600V CV-1C",AB74="600V CV-2C",AB74="600V CV-3C",AB74="600V CV-4C"),VLOOKUP(AB76,ＣＶ２３Ｃ,2,FALSE),VLOOKUP(AB76,ＣＵＳＥＲ,2,FALSE)))))</f>
        <v/>
      </c>
      <c r="AS76" s="213" t="str">
        <f>IF(OR(AND(AS334="",AS335=""),AND(D74="",D334&lt;&gt;"")),AS74,(AS74*(AT334^2+AT335^2)+AT334*(AS74^2+AS75^2))/((AS74+AT334)^2+(AS75+AT335)^2))</f>
        <v/>
      </c>
      <c r="AT76" s="216" t="str">
        <f>IF(X77="",AS76,N(AS76)+(X77/1000))</f>
        <v/>
      </c>
      <c r="AU76" s="216" t="str">
        <f>IF(AU74="","",(AT76*(AU74^2+AU75^2)+AU74*(AT76^2+AT77^2))/((AT76+AU74)^2+(AT77+AU75)^2))</f>
        <v/>
      </c>
      <c r="AV76" s="216">
        <f>IF(BA76=0,1,0)</f>
        <v>1</v>
      </c>
      <c r="AW76" s="217" t="str">
        <f>IF(AO76="","",AW74+AO76)</f>
        <v/>
      </c>
      <c r="AX76" s="218" t="str">
        <f>IF(AND(AX72="",AW76&lt;&gt;""),BA76*SQRT(AW74^2+AW75^2)/SQRT(AW76^2+AW77^2),IF(BA76&lt;&gt;0,AX72,""))</f>
        <v/>
      </c>
      <c r="AY76" s="224">
        <f>IF(L76="",10^30,SQRT(BA74)*(BA76^2)*(N(AN74)+N(AN76)+N(AO74)+N(AV74))/(100000*L76*M74))</f>
        <v>1E+30</v>
      </c>
      <c r="AZ76" s="225"/>
      <c r="BA76" s="220">
        <f>IF(AND(J74="",SUM(S74:S77)&lt;&gt;0),BA72,J74)</f>
        <v>0</v>
      </c>
      <c r="BB76" s="221">
        <f t="shared" si="1"/>
        <v>0</v>
      </c>
      <c r="BC76" s="232"/>
      <c r="BD76" s="232"/>
    </row>
    <row r="77" spans="1:56" ht="15" customHeight="1">
      <c r="A77" s="85"/>
      <c r="B77" s="85"/>
      <c r="C77" s="271"/>
      <c r="D77" s="417"/>
      <c r="E77" s="418"/>
      <c r="F77" s="419"/>
      <c r="G77" s="270"/>
      <c r="H77" s="270"/>
      <c r="I77" s="270"/>
      <c r="J77" s="270"/>
      <c r="K77" s="268"/>
      <c r="L77" s="251" t="str">
        <f>IF(M74="","",L76*1000*M74/(SQRT(BA74)*BA76))</f>
        <v/>
      </c>
      <c r="M77" s="252"/>
      <c r="N77" s="277"/>
      <c r="O77" s="205"/>
      <c r="P77" s="106"/>
      <c r="Q77" s="206"/>
      <c r="R77" s="107"/>
      <c r="S77" s="108" t="str">
        <f>IF(R77="","",IF(Q77="",P77/R77,P77/(Q77*R77)))</f>
        <v/>
      </c>
      <c r="T77" s="207"/>
      <c r="U77" s="208" t="str">
        <f>IF(OR(BA76="",S77=""),"",S77*1000*T77/(SQRT(BA74)*BA76))</f>
        <v/>
      </c>
      <c r="V77" s="109" t="str">
        <f>IF(AND(N(U74)=0,N(U75)=0,N(U76)=0,N(U77)=0),"",IF(V74&gt;=0,SQRT(ABS(V74^2-V76^2)),-SQRT(V74^2-V76^2)))</f>
        <v/>
      </c>
      <c r="W77" s="277"/>
      <c r="X77" s="278" t="str">
        <f>IF(Y76="","",AQ74*Z76*AR74*((1+0.00393*(F77-20))/1.2751)/Y76)</f>
        <v/>
      </c>
      <c r="Y77" s="270"/>
      <c r="Z77" s="267" t="str">
        <f>IF(Y76="","",(BA77/50)*AQ74*Z76*AR75/Y76)</f>
        <v/>
      </c>
      <c r="AA77" s="252"/>
      <c r="AB77" s="279" t="str">
        <f>IF(AC76="","",AQ74*AD76*AR76*((1+0.00393*(F77-20))/1.2751)/AC76)</f>
        <v/>
      </c>
      <c r="AC77" s="270"/>
      <c r="AD77" s="267" t="str">
        <f>IF(AC76="","",(BA77/50)*AQ74*AD76*AR77/AC76)</f>
        <v/>
      </c>
      <c r="AE77" s="268"/>
      <c r="AF77" s="237" t="str">
        <f>IF(AND(AX74&lt;&gt;"",D74=""),AX74,"")</f>
        <v/>
      </c>
      <c r="AG77" s="269" t="str">
        <f>IF(AP76="","",AP76)</f>
        <v/>
      </c>
      <c r="AH77" s="270"/>
      <c r="AI77" s="238" t="str">
        <f>IF(AP77="","",AP77)</f>
        <v/>
      </c>
      <c r="AJ77" s="263"/>
      <c r="AK77" s="253"/>
      <c r="AL77" s="189"/>
      <c r="AM77" s="28"/>
      <c r="AN77" s="226" t="b">
        <f>IF(BA74="","",IF(AND(BA74=3,F76=50,L74="oil cooled type"),VLOOKUP(L76,変３,3,FALSE),IF(AND(BA74=3,F76=50,L74="(F)molded type"),VLOOKUP(L76,変３,8,FALSE),IF(AND(BA74=3,F76=60,L74="oil cooled type"),VLOOKUP(L76,変３,13,FALSE),IF(AND(BA74=3,F76=60,L74="(F)molded type"),VLOOKUP(L76,変３,18,FALSE),FALSE)))))</f>
        <v>0</v>
      </c>
      <c r="AO77" s="226" t="str">
        <f>IF(AND(L70="",N(AY75)&lt;10^29),AY75,"")</f>
        <v/>
      </c>
      <c r="AP77" s="227" t="str">
        <f>IF(V74="","",IF(AND(N(V77)=0,N(AP75)=0),0,(AQ77-AP75*(AQ76^2+AQ77^2))/((AQ76*AP75)^2+(AP75*AQ77-1)^2)))</f>
        <v/>
      </c>
      <c r="AQ77" s="228">
        <f>IF(N(V77)=0,10^30,V77)</f>
        <v>1E+30</v>
      </c>
      <c r="AR77" s="226" t="str">
        <f>IF(AB74="","",IF(AB74="600V IV",VLOOKUP(AB76,ＩＶ,3,FALSE),IF(AB74="600V CV-T",VLOOKUP(AB76,ＣＶＴ,3,FALSE),IF(OR(AB74="600V CV-1C",AB74="600V CV-2C",AB74="600V CV-3C",AB74="600V CV-4C"),VLOOKUP(AB76,ＣＶ２３Ｃ,3,FALSE),VLOOKUP(AB76,ＣＵＳＥＲ,3,FALSE)))))</f>
        <v/>
      </c>
      <c r="AS77" s="228" t="str">
        <f>IF(OR(AND(AS334="",AS335=""),AND(D74="",D334&lt;&gt;"")),AS75,(AS75*(AT334^2+AT335^2)+AT335*(AS74^2+AS75^2))/((AS74+AT334)^2+(AS75+AT335)^2))</f>
        <v/>
      </c>
      <c r="AT77" s="229" t="str">
        <f>IF(Z77="",AS77,N(AS77)+(Z77/1000))</f>
        <v/>
      </c>
      <c r="AU77" s="229" t="str">
        <f>IF(AU75="","",(AT77*(AU74^2+AU75^2)+AU75*(AT76^2+AT77^2))/((AT76+AU74)^2+(AT77+AU75)^2))</f>
        <v/>
      </c>
      <c r="AV77" s="229">
        <f>AV73+AV76</f>
        <v>15</v>
      </c>
      <c r="AW77" s="228" t="str">
        <f>IF(AO77="","",AW75+AO77)</f>
        <v/>
      </c>
      <c r="AX77" s="230"/>
      <c r="AY77" s="224">
        <f>IF(L76="",10^30,SQRT(BA74)*(BA76^2)*(N(AN75)+N(AN77)+N(AO75)+N(AV75))/(100000*L76*M74))</f>
        <v>1E+30</v>
      </c>
      <c r="AZ77" s="225"/>
      <c r="BA77" s="220">
        <f>IF(AND(F76="",SUM(S74:S77)&lt;&gt;0),BA73,F76)</f>
        <v>0</v>
      </c>
      <c r="BB77" s="221">
        <f t="shared" si="1"/>
        <v>0</v>
      </c>
      <c r="BC77" s="232"/>
      <c r="BD77" s="232"/>
    </row>
    <row r="78" spans="1:56" ht="15" customHeight="1">
      <c r="B78" s="85"/>
      <c r="C78" s="271" t="str">
        <f>IF(BC78=1,"●","・")</f>
        <v>・</v>
      </c>
      <c r="D78" s="402"/>
      <c r="E78" s="403"/>
      <c r="F78" s="404"/>
      <c r="G78" s="265" t="str">
        <f>IF(F78="","","φ")</f>
        <v/>
      </c>
      <c r="H78" s="405"/>
      <c r="I78" s="265" t="str">
        <f>IF(H78="","","W")</f>
        <v/>
      </c>
      <c r="J78" s="405"/>
      <c r="K78" s="272" t="str">
        <f>IF(J78="","","V")</f>
        <v/>
      </c>
      <c r="L78" s="406"/>
      <c r="M78" s="407"/>
      <c r="N78" s="408"/>
      <c r="O78" s="193"/>
      <c r="P78" s="86"/>
      <c r="Q78" s="194"/>
      <c r="R78" s="87"/>
      <c r="S78" s="88" t="str">
        <f>IF(R78="","",IF(Q78="",P78/R78,P78/(Q78*R78)))</f>
        <v/>
      </c>
      <c r="T78" s="195"/>
      <c r="U78" s="196" t="str">
        <f>IF(OR(BA80="",S78=""),"",S78*1000*T78/(SQRT(BA78)*BA80))</f>
        <v/>
      </c>
      <c r="V78" s="254" t="str">
        <f>IF(AND(N(U78)=0,N(U79)=0,N(U80)=0,N(U81)=0),"",BA80/(SUM(U78:U81)))</f>
        <v/>
      </c>
      <c r="W78" s="280"/>
      <c r="X78" s="281"/>
      <c r="Y78" s="242"/>
      <c r="Z78" s="243"/>
      <c r="AA78" s="239"/>
      <c r="AB78" s="241"/>
      <c r="AC78" s="242"/>
      <c r="AD78" s="243"/>
      <c r="AE78" s="247"/>
      <c r="AF78" s="233" t="str">
        <f>IF(OR(AND(AF74="",N(BA76)=0,BA80&lt;&gt;0),D78&lt;&gt;""),AX80/AQ79,"")</f>
        <v/>
      </c>
      <c r="AG78" s="249" t="str">
        <f>IF(BA80=0,"",IF(AD80="",AX78,IF(AND(D78&lt;&gt;"",AU78=""),AX80*SQRT(AP80^2+AP81^2)/SQRT(AS78^2+AS79^2)/AQ79,AX78*SQRT(AP80^2+AP81^2)/SQRT(AS78^2+AS79^2))))</f>
        <v/>
      </c>
      <c r="AH78" s="250"/>
      <c r="AI78" s="234" t="str">
        <f>IF(AG78="","",IF(N(U78)&lt;0,-AX78*AQ79/SQRT(AS78^2+AS79^2),AX78*AQ79/SQRT(AS78^2+AS79^2)))</f>
        <v/>
      </c>
      <c r="AJ78" s="256"/>
      <c r="AK78" s="257"/>
      <c r="AL78" s="186"/>
      <c r="AM78" s="28"/>
      <c r="AN78" s="213" t="b">
        <f>IF(BA78="","",IF(AND(BA78=1,F80=50,L78="oil cooled type"),VLOOKUP(L80,変１,2,FALSE),IF(AND(BA78=1,F80=50,L78="(F)molded type"),VLOOKUP(L80,変１,7,FALSE),IF(AND(BA78=1,F80=60,L78="oil cooled type"),VLOOKUP(L80,変１,12,FALSE),IF(AND(BA78=1,F80=60,L78="(F)molded type"),VLOOKUP(L80,変１,17,FALSE),FALSE)))))</f>
        <v>0</v>
      </c>
      <c r="AO78" s="213">
        <f>IF(ISNA(VLOOKUP(L80,変ＵＳＥＲ,2,FALSE)),0,VLOOKUP(L80,変ＵＳＥＲ,2,FALSE))</f>
        <v>0</v>
      </c>
      <c r="AP78" s="214">
        <f>IF(N78="",0,N78*1000/BA80^2/SQRT(BA78))</f>
        <v>0</v>
      </c>
      <c r="AQ78" s="213" t="b">
        <f>IF(BA78=1,2,IF(BA78=3,SQRT(3),FALSE))</f>
        <v>0</v>
      </c>
      <c r="AR78" s="215" t="str">
        <f>IF(X78="","",IF(X78="600V IV",VLOOKUP(X80,ＩＶ,2,FALSE),IF(X78="600V CV-T",VLOOKUP(X80,ＣＶＴ,2,FALSE),IF(OR(X78="600V CV-1C",X78="600V CV-2C",X78="600V CV-3C",X78="600V CV-4C"),VLOOKUP(X80,ＣＶ２３Ｃ,2,FALSE),VLOOKUP(X80,ＣＵＳＥＲ,2,FALSE)))))</f>
        <v/>
      </c>
      <c r="AS78" s="213" t="str">
        <f>IF(AB81="",AP80,AP80+(AB81/1000))</f>
        <v/>
      </c>
      <c r="AT78" s="216" t="str">
        <f>IF(AU80="",AT80,AU80)</f>
        <v/>
      </c>
      <c r="AU78" s="216" t="str">
        <f>IF(D78="","",IF(AND(D338="",#REF!&lt;&gt;"",AV81=#REF!),#REF!,IF(AND(D338="",#REF!="",#REF!&lt;&gt;"",AV341=#REF!),#REF!,IF(AND(D338="",#REF!="",#REF!="",#REF!&lt;&gt;"",#REF!=#REF!),#REF!,IF(AND(D338="",#REF!="",#REF!="",#REF!="",D342&lt;&gt;"",#REF!=#REF!),AT342,IF(AND(D338="",#REF!="",#REF!="",#REF!="",D342="",#REF!&lt;&gt;"",#REF!=AV346),#REF!,IF(AND(D338="",#REF!="",#REF!="",#REF!="",D342="",#REF!="",D347&lt;&gt;"",#REF!=AV350),AT347,"")))))))</f>
        <v/>
      </c>
      <c r="AV78" s="216" t="str">
        <f>IF(L78="ACG",IF(ISNA(VLOOKUP(L80,ＡＣＧ,2,FALSE)),0,VLOOKUP(L80,ＡＣＧ,2,FALSE)),"")</f>
        <v/>
      </c>
      <c r="AW78" s="217" t="str">
        <f>IF(AT78="","",AT78/((AT78*AP78)^2+(AT79*AP78-1)^2))</f>
        <v/>
      </c>
      <c r="AX78" s="218" t="str">
        <f>IF(BA80=0,"",IF(OR(AX74="",AF78&lt;&gt;""),AF78*SQRT(AS80^2+AS81^2)/SQRT(AT80^2+AT81^2),AX74*SQRT(AS80^2+AS81^2)/SQRT(AT80^2+AT81^2)))</f>
        <v/>
      </c>
      <c r="AY78" s="219">
        <f>IF(N(AY80)=10^30,10^30,IF(N(AY340)=10^30,(N(AY80)*(N(AY340)^2+N(AY341)^2)+N(AY340)*(N(AY80)^2+N(AY81)^2))/((N(AY80)+N(AY340))^2+(N(AY81)+N(AY341))^2),(N(AY80)*(N(AY338)^2+N(AY339)^2)+N(AY338)*(N(AY80)^2+N(AY81)^2))/((N(AY80)+N(AY338))^2+(N(AY81)+N(AY339))^2)))</f>
        <v>1E+30</v>
      </c>
      <c r="AZ78" s="23"/>
      <c r="BA78" s="220">
        <f>IF(AND(F78="",SUM(S78:S81)&lt;&gt;0),BA74,F78)</f>
        <v>0</v>
      </c>
      <c r="BB78" s="221">
        <f t="shared" si="1"/>
        <v>0</v>
      </c>
      <c r="BC78" s="232">
        <f>IF(OR(E78="",F81="",AND(OR(P78="",Q78="",R78="",T78=""),OR(P79="",Q79="",R79="",T79=""),OR(P80="",Q80="",R80="",T80=""),OR(P81="",Q81="",R81="",T81="")),AND(OR(X78="",X80="",Y80="",Z80=""),OR(AB78="",AB80="",AC80="",AD80=""))),0,1)</f>
        <v>0</v>
      </c>
      <c r="BD78" s="232">
        <f>BC78+BD74</f>
        <v>0</v>
      </c>
    </row>
    <row r="79" spans="1:56" ht="15" customHeight="1">
      <c r="B79" s="85"/>
      <c r="C79" s="271"/>
      <c r="D79" s="409"/>
      <c r="E79" s="362"/>
      <c r="F79" s="410"/>
      <c r="G79" s="266"/>
      <c r="H79" s="266"/>
      <c r="I79" s="266"/>
      <c r="J79" s="266"/>
      <c r="K79" s="273"/>
      <c r="L79" s="411"/>
      <c r="M79" s="197" t="str">
        <f>IF(L78="ACG",SQRT(AV78^2+AV79^2),IF(L80="","",IF(OR(L78="oil cooled type",L78="(F)molded type"),IF(BA78=1,SQRT(AN78^2+AN79^2),IF(BA78=3,SQRT(AN80^2+AN81^2))),SQRT(AO78^2+AO79^2))))</f>
        <v/>
      </c>
      <c r="N79" s="412"/>
      <c r="O79" s="198"/>
      <c r="P79" s="90"/>
      <c r="Q79" s="199"/>
      <c r="R79" s="91"/>
      <c r="S79" s="92" t="str">
        <f>IF(R80="","",IF(Q80="",P80/R80,P80/(Q80*R80)))</f>
        <v/>
      </c>
      <c r="T79" s="200"/>
      <c r="U79" s="201" t="str">
        <f>IF(OR(BA80="",S79=""),"",S79*1000*T79/(SQRT(BA78)*BA80))</f>
        <v/>
      </c>
      <c r="V79" s="255"/>
      <c r="W79" s="248"/>
      <c r="X79" s="258"/>
      <c r="Y79" s="245"/>
      <c r="Z79" s="246"/>
      <c r="AA79" s="240"/>
      <c r="AB79" s="244"/>
      <c r="AC79" s="245"/>
      <c r="AD79" s="246"/>
      <c r="AE79" s="248"/>
      <c r="AF79" s="235" t="str">
        <f>IF(OR(AF78="",AG74&lt;&gt;""),"",AF78*AQ79/SQRT(AT78^2+AT79^2))</f>
        <v/>
      </c>
      <c r="AG79" s="274" t="str">
        <f>IF(AG78="","",100*AG78*AQ79/BA80)</f>
        <v/>
      </c>
      <c r="AH79" s="275"/>
      <c r="AI79" s="260" t="str">
        <f>IF(BA80=0,"",IF(AI74="",AX80/SQRT(AT78^2+AT79^2),IF(AI82="","",IF(AT78&lt;0,-AX78*AQ75/SQRT(AT78^2+AT79^2),AX78*AQ75/SQRT(AT78^2+AT79^2)))))</f>
        <v/>
      </c>
      <c r="AJ79" s="258"/>
      <c r="AK79" s="259"/>
      <c r="AL79" s="187"/>
      <c r="AM79" s="28"/>
      <c r="AN79" s="213" t="b">
        <f>IF(BA78="","",IF(AND(BA78=1,F80=50,L78="oil cooled type"),VLOOKUP(L80,変１,3,FALSE),IF(AND(BA78=1,F80=50,L78="(F)molded type"),VLOOKUP(L80,変１,8,FALSE),IF(AND(BA78=1,F80=60,L78="oil cooled type"),VLOOKUP(L80,変１,13,FALSE),IF(AND(BA78=1,F80=60,L78="(F)molded type"),VLOOKUP(L80,変１,18,FALSE),FALSE)))))</f>
        <v>0</v>
      </c>
      <c r="AO79" s="213">
        <f>IF(ISNA(VLOOKUP(L80,変ＵＳＥＲ,3,FALSE)),0,VLOOKUP(L80,変ＵＳＥＲ,3,FALSE)*BA81/50)</f>
        <v>0</v>
      </c>
      <c r="AP79" s="214">
        <f>IF(W78="",0,W78*1000/BA80^2/SQRT(BA78))</f>
        <v>0</v>
      </c>
      <c r="AQ79" s="213">
        <f>IF(AND(BA78=1,BA79=2),1,IF(AND(BA78=3,BA79=3),1,IF(AND(BA78=1,BA79=3),2,IF(AND(BA78=3,BA79=4)*OR(BB78=1,BB79=1,BB80=1,BB81=1),1,SQRT(3)))))</f>
        <v>1.7320508075688772</v>
      </c>
      <c r="AR79" s="215" t="str">
        <f>IF(X78="","",IF(X78="600V IV",VLOOKUP(X80,ＩＶ,3,FALSE),IF(X78="600V CV-T",VLOOKUP(X80,ＣＶＴ,3,FALSE),IF(OR(X78="600V CV-1C",X78="600V CV-2C",X78="600V CV-3C",X78="600V CV-4C"),VLOOKUP(X80,ＣＶ２３Ｃ,3,FALSE),VLOOKUP(X80,ＣＵＳＥＲ,3,FALSE)))))</f>
        <v/>
      </c>
      <c r="AS79" s="213" t="str">
        <f>IF(AD81="",AP81,AP81+(AD81/1000))</f>
        <v/>
      </c>
      <c r="AT79" s="216" t="str">
        <f>IF(AU81="",AT81,AU81)</f>
        <v/>
      </c>
      <c r="AU79" s="216" t="str">
        <f>IF(D78="","",IF(AND(D338="",#REF!&lt;&gt;"",AV81=#REF!),#REF!,IF(AND(D338="",#REF!="",#REF!&lt;&gt;"",AV341=#REF!),#REF!,IF(AND(D338="",#REF!="",#REF!="",#REF!&lt;&gt;"",#REF!=#REF!),#REF!,IF(AND(D338="",#REF!="",#REF!="",#REF!="",D342&lt;&gt;"",#REF!=#REF!),AT343,IF(AND(D338="",#REF!="",#REF!="",#REF!="",D342="",#REF!&lt;&gt;"",#REF!=AV346),AT344,IF(AND(D338="",#REF!="",#REF!="",#REF!="",D342="",#REF!="",D347&lt;&gt;"",#REF!=AV350),AT348,"")))))))</f>
        <v/>
      </c>
      <c r="AV79" s="215" t="str">
        <f>IF(L78="ACG",IF(ISNA(VLOOKUP(L80,ＡＣＧ,3,FALSE)),0,VLOOKUP(L80,ＡＣＧ,3,FALSE)*BA81/50),"")</f>
        <v/>
      </c>
      <c r="AW79" s="217" t="str">
        <f>IF(AT79="","",(AT79-AP78*(AT78^2+AT79^2))/((AT78*AP78)^2+(AP78*AT79-1)^2))</f>
        <v/>
      </c>
      <c r="AX79" s="218"/>
      <c r="AY79" s="219">
        <f>IF(N(AY81)=10^30,10^30,IF(N(AY341)=10^30,(N(AY81)*(N(AY340)^2+N(AY341)^2)+N(AY341)*(N(AY80)^2+N(AY81)^2))/((N(AY80)+N(AY340))^2+(N(AY81)+N(AY341))^2),(N(AY81)*(N(AY338)^2+N(AY339)^2)+N(AY339)*(N(AY80)^2+N(AY81)^2))/((N(AY80)+N(AY338))^2+(N(AY81)+N(AY339))^2)))</f>
        <v>1E+30</v>
      </c>
      <c r="AZ79" s="23"/>
      <c r="BA79" s="220">
        <f>IF(AND(H78="",SUM(S78:S81)&lt;&gt;0),BA75,H78)</f>
        <v>0</v>
      </c>
      <c r="BB79" s="221">
        <f t="shared" si="1"/>
        <v>0</v>
      </c>
      <c r="BC79" s="232"/>
      <c r="BD79" s="232"/>
    </row>
    <row r="80" spans="1:56" ht="15" customHeight="1">
      <c r="B80" s="85"/>
      <c r="C80" s="271"/>
      <c r="D80" s="409"/>
      <c r="E80" s="362"/>
      <c r="F80" s="413"/>
      <c r="G80" s="414"/>
      <c r="H80" s="414"/>
      <c r="I80" s="414"/>
      <c r="J80" s="414"/>
      <c r="K80" s="415"/>
      <c r="L80" s="416"/>
      <c r="M80" s="275"/>
      <c r="N80" s="412"/>
      <c r="O80" s="198"/>
      <c r="P80" s="93"/>
      <c r="Q80" s="202"/>
      <c r="R80" s="91"/>
      <c r="S80" s="92" t="str">
        <f>IF(R81="","",IF(Q81="",P81/R81,P81/(Q81*R81)))</f>
        <v/>
      </c>
      <c r="T80" s="200"/>
      <c r="U80" s="203" t="str">
        <f>IF(OR(BA80="",S80=""),"",S80*1000*T80/(SQRT(BA78)*BA80))</f>
        <v/>
      </c>
      <c r="V80" s="94" t="str">
        <f>IF(AND(N(U78)=0,N(U79)=0,N(U80)=0,N(U81)=0),"",V78*(P78*R78*T78+P79*R79*T79+P80*R80*T80+P81*R81*T81)/(P78*T78+P79*T79+P80*T80+P81*T81))</f>
        <v/>
      </c>
      <c r="W80" s="276" t="str">
        <f>IF(AND(N(AP80)=0,N(AP81)=0,N(AP79)=0),"",IF(AP81&gt;=0,COS(ATAN(AP81/AP80)),-COS(ATAN(AP81/AP80))))</f>
        <v/>
      </c>
      <c r="X80" s="95"/>
      <c r="Y80" s="204"/>
      <c r="Z80" s="96"/>
      <c r="AA80" s="97"/>
      <c r="AB80" s="98"/>
      <c r="AC80" s="204"/>
      <c r="AD80" s="96"/>
      <c r="AE80" s="99"/>
      <c r="AF80" s="236" t="str">
        <f>IF(OR(AF78="",AG74&lt;&gt;""),"",BA80/SQRT(AW80^2+AW81^2))</f>
        <v/>
      </c>
      <c r="AG80" s="274" t="str">
        <f>IF(AG78="","",100*((BA80/AQ79)-AG78)/(BA80/AQ79))</f>
        <v/>
      </c>
      <c r="AH80" s="275"/>
      <c r="AI80" s="261"/>
      <c r="AJ80" s="262"/>
      <c r="AK80" s="264"/>
      <c r="AL80" s="188"/>
      <c r="AM80" s="28"/>
      <c r="AN80" s="222" t="b">
        <f>IF(BA78="","",IF(AND(BA78=3,F80=50,L78="oil cooled type"),VLOOKUP(L80,変３,2,FALSE),IF(AND(BA78=3,F80=50,L78="(F)molded type"),VLOOKUP(L80,変３,7,FALSE),IF(AND(BA78=3,F80=60,L78="oil cooled type"),VLOOKUP(L80,変３,12,FALSE),IF(AND(BA78=3,F80=60,L78="(F)molded type"),VLOOKUP(L80,変３,17,FALSE),FALSE)))))</f>
        <v>0</v>
      </c>
      <c r="AO80" s="215" t="str">
        <f>IF(AND(L74="",N(AY78)&lt;10^29),AY78,"")</f>
        <v/>
      </c>
      <c r="AP80" s="223" t="str">
        <f>IF(V78="","",IF(AND(N(V80)=0,N(AP79)=0),"",AQ80/((AQ80*AP79)^2+(AP79*AQ81-1)^2)))</f>
        <v/>
      </c>
      <c r="AQ80" s="213">
        <f>IF(N(V80)=0,10^30,V80)</f>
        <v>1E+30</v>
      </c>
      <c r="AR80" s="215" t="str">
        <f>IF(AB78="","",IF(AB78="600V IV",VLOOKUP(AB80,ＩＶ,2,FALSE),IF(AB78="600V CV-T",VLOOKUP(AB80,ＣＶＴ,2,FALSE),IF(OR(AB78="600V CV-1C",AB78="600V CV-2C",AB78="600V CV-3C",AB78="600V CV-4C"),VLOOKUP(AB80,ＣＶ２３Ｃ,2,FALSE),VLOOKUP(AB80,ＣＵＳＥＲ,2,FALSE)))))</f>
        <v/>
      </c>
      <c r="AS80" s="213" t="str">
        <f>IF(OR(AND(AS338="",AS339=""),AND(D78="",D338&lt;&gt;"")),AS78,(AS78*(AT338^2+AT339^2)+AT338*(AS78^2+AS79^2))/((AS78+AT338)^2+(AS79+AT339)^2))</f>
        <v/>
      </c>
      <c r="AT80" s="216" t="str">
        <f>IF(X81="",AS80,N(AS80)+(X81/1000))</f>
        <v/>
      </c>
      <c r="AU80" s="216" t="str">
        <f>IF(AU78="","",(AT80*(AU78^2+AU79^2)+AU78*(AT80^2+AT81^2))/((AT80+AU78)^2+(AT81+AU79)^2))</f>
        <v/>
      </c>
      <c r="AV80" s="216">
        <f>IF(BA80=0,1,0)</f>
        <v>1</v>
      </c>
      <c r="AW80" s="217" t="str">
        <f>IF(AO80="","",AW78+AO80)</f>
        <v/>
      </c>
      <c r="AX80" s="218" t="str">
        <f>IF(AND(AX76="",AW80&lt;&gt;""),BA80*SQRT(AW78^2+AW79^2)/SQRT(AW80^2+AW81^2),IF(BA80&lt;&gt;0,AX76,""))</f>
        <v/>
      </c>
      <c r="AY80" s="224">
        <f>IF(L80="",10^30,SQRT(BA78)*(BA80^2)*(N(AN78)+N(AN80)+N(AO78)+N(AV78))/(100000*L80*M78))</f>
        <v>1E+30</v>
      </c>
      <c r="AZ80" s="225"/>
      <c r="BA80" s="220">
        <f>IF(AND(J78="",SUM(S78:S81)&lt;&gt;0),BA76,J78)</f>
        <v>0</v>
      </c>
      <c r="BB80" s="221">
        <f t="shared" si="1"/>
        <v>0</v>
      </c>
      <c r="BC80" s="232"/>
      <c r="BD80" s="232"/>
    </row>
    <row r="81" spans="1:56" ht="15" customHeight="1">
      <c r="A81" s="85"/>
      <c r="B81" s="85"/>
      <c r="C81" s="271"/>
      <c r="D81" s="417"/>
      <c r="E81" s="418"/>
      <c r="F81" s="419"/>
      <c r="G81" s="270"/>
      <c r="H81" s="270"/>
      <c r="I81" s="270"/>
      <c r="J81" s="270"/>
      <c r="K81" s="268"/>
      <c r="L81" s="251" t="str">
        <f>IF(M78="","",L80*1000*M78/(SQRT(BA78)*BA80))</f>
        <v/>
      </c>
      <c r="M81" s="252"/>
      <c r="N81" s="277"/>
      <c r="O81" s="205"/>
      <c r="P81" s="106"/>
      <c r="Q81" s="206"/>
      <c r="R81" s="107"/>
      <c r="S81" s="108" t="str">
        <f>IF(R81="","",IF(Q81="",P81/R81,P81/(Q81*R81)))</f>
        <v/>
      </c>
      <c r="T81" s="207"/>
      <c r="U81" s="208" t="str">
        <f>IF(OR(BA80="",S81=""),"",S81*1000*T81/(SQRT(BA78)*BA80))</f>
        <v/>
      </c>
      <c r="V81" s="109" t="str">
        <f>IF(AND(N(U78)=0,N(U79)=0,N(U80)=0,N(U81)=0),"",IF(V78&gt;=0,SQRT(ABS(V78^2-V80^2)),-SQRT(V78^2-V80^2)))</f>
        <v/>
      </c>
      <c r="W81" s="277"/>
      <c r="X81" s="278" t="str">
        <f>IF(Y80="","",AQ78*Z80*AR78*((1+0.00393*(F81-20))/1.2751)/Y80)</f>
        <v/>
      </c>
      <c r="Y81" s="270"/>
      <c r="Z81" s="267" t="str">
        <f>IF(Y80="","",(BA81/50)*AQ78*Z80*AR79/Y80)</f>
        <v/>
      </c>
      <c r="AA81" s="252"/>
      <c r="AB81" s="279" t="str">
        <f>IF(AC80="","",AQ78*AD80*AR80*((1+0.00393*(F81-20))/1.2751)/AC80)</f>
        <v/>
      </c>
      <c r="AC81" s="270"/>
      <c r="AD81" s="267" t="str">
        <f>IF(AC80="","",(BA81/50)*AQ78*AD80*AR81/AC80)</f>
        <v/>
      </c>
      <c r="AE81" s="268"/>
      <c r="AF81" s="237" t="str">
        <f>IF(AND(AX78&lt;&gt;"",D78=""),AX78,"")</f>
        <v/>
      </c>
      <c r="AG81" s="269" t="str">
        <f>IF(AP80="","",AP80)</f>
        <v/>
      </c>
      <c r="AH81" s="270"/>
      <c r="AI81" s="238" t="str">
        <f>IF(AP81="","",AP81)</f>
        <v/>
      </c>
      <c r="AJ81" s="263"/>
      <c r="AK81" s="253"/>
      <c r="AL81" s="189"/>
      <c r="AM81" s="28"/>
      <c r="AN81" s="226" t="b">
        <f>IF(BA78="","",IF(AND(BA78=3,F80=50,L78="oil cooled type"),VLOOKUP(L80,変３,3,FALSE),IF(AND(BA78=3,F80=50,L78="(F)molded type"),VLOOKUP(L80,変３,8,FALSE),IF(AND(BA78=3,F80=60,L78="oil cooled type"),VLOOKUP(L80,変３,13,FALSE),IF(AND(BA78=3,F80=60,L78="(F)molded type"),VLOOKUP(L80,変３,18,FALSE),FALSE)))))</f>
        <v>0</v>
      </c>
      <c r="AO81" s="226" t="str">
        <f>IF(AND(L74="",N(AY79)&lt;10^29),AY79,"")</f>
        <v/>
      </c>
      <c r="AP81" s="227" t="str">
        <f>IF(V78="","",IF(AND(N(V81)=0,N(AP79)=0),0,(AQ81-AP79*(AQ80^2+AQ81^2))/((AQ80*AP79)^2+(AP79*AQ81-1)^2)))</f>
        <v/>
      </c>
      <c r="AQ81" s="228">
        <f>IF(N(V81)=0,10^30,V81)</f>
        <v>1E+30</v>
      </c>
      <c r="AR81" s="226" t="str">
        <f>IF(AB78="","",IF(AB78="600V IV",VLOOKUP(AB80,ＩＶ,3,FALSE),IF(AB78="600V CV-T",VLOOKUP(AB80,ＣＶＴ,3,FALSE),IF(OR(AB78="600V CV-1C",AB78="600V CV-2C",AB78="600V CV-3C",AB78="600V CV-4C"),VLOOKUP(AB80,ＣＶ２３Ｃ,3,FALSE),VLOOKUP(AB80,ＣＵＳＥＲ,3,FALSE)))))</f>
        <v/>
      </c>
      <c r="AS81" s="228" t="str">
        <f>IF(OR(AND(AS338="",AS339=""),AND(D78="",D338&lt;&gt;"")),AS79,(AS79*(AT338^2+AT339^2)+AT339*(AS78^2+AS79^2))/((AS78+AT338)^2+(AS79+AT339)^2))</f>
        <v/>
      </c>
      <c r="AT81" s="229" t="str">
        <f>IF(Z81="",AS81,N(AS81)+(Z81/1000))</f>
        <v/>
      </c>
      <c r="AU81" s="229" t="str">
        <f>IF(AU79="","",(AT81*(AU78^2+AU79^2)+AU79*(AT80^2+AT81^2))/((AT80+AU78)^2+(AT81+AU79)^2))</f>
        <v/>
      </c>
      <c r="AV81" s="229">
        <f>AV77+AV80</f>
        <v>16</v>
      </c>
      <c r="AW81" s="228" t="str">
        <f>IF(AO81="","",AW79+AO81)</f>
        <v/>
      </c>
      <c r="AX81" s="230"/>
      <c r="AY81" s="224">
        <f>IF(L80="",10^30,SQRT(BA78)*(BA80^2)*(N(AN79)+N(AN81)+N(AO79)+N(AV79))/(100000*L80*M78))</f>
        <v>1E+30</v>
      </c>
      <c r="AZ81" s="225"/>
      <c r="BA81" s="220">
        <f>IF(AND(F80="",SUM(S78:S81)&lt;&gt;0),BA77,F80)</f>
        <v>0</v>
      </c>
      <c r="BB81" s="221">
        <f t="shared" si="1"/>
        <v>0</v>
      </c>
      <c r="BC81" s="232"/>
      <c r="BD81" s="232"/>
    </row>
    <row r="82" spans="1:56" ht="15" customHeight="1">
      <c r="B82" s="85"/>
      <c r="C82" s="271" t="str">
        <f>IF(BC82=1,"●","・")</f>
        <v>・</v>
      </c>
      <c r="D82" s="402"/>
      <c r="E82" s="403"/>
      <c r="F82" s="404"/>
      <c r="G82" s="265" t="str">
        <f>IF(F82="","","φ")</f>
        <v/>
      </c>
      <c r="H82" s="405"/>
      <c r="I82" s="265" t="str">
        <f>IF(H82="","","W")</f>
        <v/>
      </c>
      <c r="J82" s="405"/>
      <c r="K82" s="272" t="str">
        <f>IF(J82="","","V")</f>
        <v/>
      </c>
      <c r="L82" s="406"/>
      <c r="M82" s="407"/>
      <c r="N82" s="408"/>
      <c r="O82" s="193"/>
      <c r="P82" s="86"/>
      <c r="Q82" s="194"/>
      <c r="R82" s="87"/>
      <c r="S82" s="88" t="str">
        <f>IF(R82="","",IF(Q82="",P82/R82,P82/(Q82*R82)))</f>
        <v/>
      </c>
      <c r="T82" s="195"/>
      <c r="U82" s="196" t="str">
        <f>IF(OR(BA84="",S82=""),"",S82*1000*T82/(SQRT(BA82)*BA84))</f>
        <v/>
      </c>
      <c r="V82" s="254" t="str">
        <f>IF(AND(N(U82)=0,N(U83)=0,N(U84)=0,N(U85)=0),"",BA84/(SUM(U82:U85)))</f>
        <v/>
      </c>
      <c r="W82" s="280"/>
      <c r="X82" s="281"/>
      <c r="Y82" s="242"/>
      <c r="Z82" s="243"/>
      <c r="AA82" s="239"/>
      <c r="AB82" s="241"/>
      <c r="AC82" s="242"/>
      <c r="AD82" s="243"/>
      <c r="AE82" s="247"/>
      <c r="AF82" s="233" t="str">
        <f>IF(OR(AND(AF78="",N(BA80)=0,BA84&lt;&gt;0),D82&lt;&gt;""),AX84/AQ83,"")</f>
        <v/>
      </c>
      <c r="AG82" s="249" t="str">
        <f>IF(BA84=0,"",IF(AD84="",AX82,IF(AND(D82&lt;&gt;"",AU82=""),AX84*SQRT(AP84^2+AP85^2)/SQRT(AS82^2+AS83^2)/AQ83,AX82*SQRT(AP84^2+AP85^2)/SQRT(AS82^2+AS83^2))))</f>
        <v/>
      </c>
      <c r="AH82" s="250"/>
      <c r="AI82" s="234" t="str">
        <f>IF(AG82="","",IF(N(U82)&lt;0,-AX82*AQ83/SQRT(AS82^2+AS83^2),AX82*AQ83/SQRT(AS82^2+AS83^2)))</f>
        <v/>
      </c>
      <c r="AJ82" s="256"/>
      <c r="AK82" s="257"/>
      <c r="AL82" s="186"/>
      <c r="AM82" s="28"/>
      <c r="AN82" s="213" t="b">
        <f>IF(BA82="","",IF(AND(BA82=1,F84=50,L82="oil cooled type"),VLOOKUP(L84,変１,2,FALSE),IF(AND(BA82=1,F84=50,L82="(F)molded type"),VLOOKUP(L84,変１,7,FALSE),IF(AND(BA82=1,F84=60,L82="oil cooled type"),VLOOKUP(L84,変１,12,FALSE),IF(AND(BA82=1,F84=60,L82="(F)molded type"),VLOOKUP(L84,変１,17,FALSE),FALSE)))))</f>
        <v>0</v>
      </c>
      <c r="AO82" s="213">
        <f>IF(ISNA(VLOOKUP(L84,変ＵＳＥＲ,2,FALSE)),0,VLOOKUP(L84,変ＵＳＥＲ,2,FALSE))</f>
        <v>0</v>
      </c>
      <c r="AP82" s="214">
        <f>IF(N82="",0,N82*1000/BA84^2/SQRT(BA82))</f>
        <v>0</v>
      </c>
      <c r="AQ82" s="213" t="b">
        <f>IF(BA82=1,2,IF(BA82=3,SQRT(3),FALSE))</f>
        <v>0</v>
      </c>
      <c r="AR82" s="215" t="str">
        <f>IF(X82="","",IF(X82="600V IV",VLOOKUP(X84,ＩＶ,2,FALSE),IF(X82="600V CV-T",VLOOKUP(X84,ＣＶＴ,2,FALSE),IF(OR(X82="600V CV-1C",X82="600V CV-2C",X82="600V CV-3C",X82="600V CV-4C"),VLOOKUP(X84,ＣＶ２３Ｃ,2,FALSE),VLOOKUP(X84,ＣＵＳＥＲ,2,FALSE)))))</f>
        <v/>
      </c>
      <c r="AS82" s="213" t="str">
        <f>IF(AB85="",AP84,AP84+(AB85/1000))</f>
        <v/>
      </c>
      <c r="AT82" s="216" t="str">
        <f>IF(AU84="",AT84,AU84)</f>
        <v/>
      </c>
      <c r="AU82" s="216" t="str">
        <f>IF(D82="","",IF(AND(D342="",#REF!&lt;&gt;"",AV85=#REF!),#REF!,IF(AND(D342="",#REF!="",#REF!&lt;&gt;"",AV345=#REF!),#REF!,IF(AND(D342="",#REF!="",#REF!="",#REF!&lt;&gt;"",#REF!=#REF!),#REF!,IF(AND(D342="",#REF!="",#REF!="",#REF!="",D346&lt;&gt;"",#REF!=#REF!),AT346,IF(AND(D342="",#REF!="",#REF!="",#REF!="",D346="",#REF!&lt;&gt;"",#REF!=AV350),#REF!,IF(AND(D342="",#REF!="",#REF!="",#REF!="",D346="",#REF!="",D351&lt;&gt;"",#REF!=AV354),AT351,"")))))))</f>
        <v/>
      </c>
      <c r="AV82" s="216" t="str">
        <f>IF(L82="ACG",IF(ISNA(VLOOKUP(L84,ＡＣＧ,2,FALSE)),0,VLOOKUP(L84,ＡＣＧ,2,FALSE)),"")</f>
        <v/>
      </c>
      <c r="AW82" s="217" t="str">
        <f>IF(AT82="","",AT82/((AT82*AP82)^2+(AT83*AP82-1)^2))</f>
        <v/>
      </c>
      <c r="AX82" s="218" t="str">
        <f>IF(BA84=0,"",IF(OR(AX78="",AF82&lt;&gt;""),AF82*SQRT(AS84^2+AS85^2)/SQRT(AT84^2+AT85^2),AX78*SQRT(AS84^2+AS85^2)/SQRT(AT84^2+AT85^2)))</f>
        <v/>
      </c>
      <c r="AY82" s="219">
        <f>IF(N(AY84)=10^30,10^30,IF(N(AY344)=10^30,(N(AY84)*(N(AY344)^2+N(AY345)^2)+N(AY344)*(N(AY84)^2+N(AY85)^2))/((N(AY84)+N(AY344))^2+(N(AY85)+N(AY345))^2),(N(AY84)*(N(AY342)^2+N(AY343)^2)+N(AY342)*(N(AY84)^2+N(AY85)^2))/((N(AY84)+N(AY342))^2+(N(AY85)+N(AY343))^2)))</f>
        <v>1E+30</v>
      </c>
      <c r="AZ82" s="23"/>
      <c r="BA82" s="220">
        <f>IF(AND(F82="",SUM(S82:S85)&lt;&gt;0),BA78,F82)</f>
        <v>0</v>
      </c>
      <c r="BB82" s="221">
        <f t="shared" si="1"/>
        <v>0</v>
      </c>
      <c r="BC82" s="232">
        <f>IF(OR(E82="",F85="",AND(OR(P82="",Q82="",R82="",T82=""),OR(P83="",Q83="",R83="",T83=""),OR(P84="",Q84="",R84="",T84=""),OR(P85="",Q85="",R85="",T85="")),AND(OR(X82="",X84="",Y84="",Z84=""),OR(AB82="",AB84="",AC84="",AD84=""))),0,1)</f>
        <v>0</v>
      </c>
      <c r="BD82" s="232">
        <f>BC82+BD78</f>
        <v>0</v>
      </c>
    </row>
    <row r="83" spans="1:56" ht="15" customHeight="1">
      <c r="B83" s="85"/>
      <c r="C83" s="271"/>
      <c r="D83" s="409"/>
      <c r="E83" s="362"/>
      <c r="F83" s="410"/>
      <c r="G83" s="266"/>
      <c r="H83" s="266"/>
      <c r="I83" s="266"/>
      <c r="J83" s="266"/>
      <c r="K83" s="273"/>
      <c r="L83" s="411"/>
      <c r="M83" s="197" t="str">
        <f>IF(L82="ACG",SQRT(AV82^2+AV83^2),IF(L84="","",IF(OR(L82="oil cooled type",L82="(F)molded type"),IF(BA82=1,SQRT(AN82^2+AN83^2),IF(BA82=3,SQRT(AN84^2+AN85^2))),SQRT(AO82^2+AO83^2))))</f>
        <v/>
      </c>
      <c r="N83" s="412"/>
      <c r="O83" s="198"/>
      <c r="P83" s="90"/>
      <c r="Q83" s="199"/>
      <c r="R83" s="91"/>
      <c r="S83" s="92" t="str">
        <f>IF(R84="","",IF(Q84="",P84/R84,P84/(Q84*R84)))</f>
        <v/>
      </c>
      <c r="T83" s="200"/>
      <c r="U83" s="201" t="str">
        <f>IF(OR(BA84="",S83=""),"",S83*1000*T83/(SQRT(BA82)*BA84))</f>
        <v/>
      </c>
      <c r="V83" s="255"/>
      <c r="W83" s="248"/>
      <c r="X83" s="258"/>
      <c r="Y83" s="245"/>
      <c r="Z83" s="246"/>
      <c r="AA83" s="240"/>
      <c r="AB83" s="244"/>
      <c r="AC83" s="245"/>
      <c r="AD83" s="246"/>
      <c r="AE83" s="248"/>
      <c r="AF83" s="235" t="str">
        <f>IF(OR(AF82="",AG78&lt;&gt;""),"",AF82*AQ83/SQRT(AT82^2+AT83^2))</f>
        <v/>
      </c>
      <c r="AG83" s="274" t="str">
        <f>IF(AG82="","",100*AG82*AQ83/BA84)</f>
        <v/>
      </c>
      <c r="AH83" s="275"/>
      <c r="AI83" s="260" t="str">
        <f>IF(BA84=0,"",IF(AI78="",AX84/SQRT(AT82^2+AT83^2),IF(AI86="","",IF(AT82&lt;0,-AX82*AQ79/SQRT(AT82^2+AT83^2),AX82*AQ79/SQRT(AT82^2+AT83^2)))))</f>
        <v/>
      </c>
      <c r="AJ83" s="258"/>
      <c r="AK83" s="259"/>
      <c r="AL83" s="187"/>
      <c r="AM83" s="28"/>
      <c r="AN83" s="213" t="b">
        <f>IF(BA82="","",IF(AND(BA82=1,F84=50,L82="oil cooled type"),VLOOKUP(L84,変１,3,FALSE),IF(AND(BA82=1,F84=50,L82="(F)molded type"),VLOOKUP(L84,変１,8,FALSE),IF(AND(BA82=1,F84=60,L82="oil cooled type"),VLOOKUP(L84,変１,13,FALSE),IF(AND(BA82=1,F84=60,L82="(F)molded type"),VLOOKUP(L84,変１,18,FALSE),FALSE)))))</f>
        <v>0</v>
      </c>
      <c r="AO83" s="213">
        <f>IF(ISNA(VLOOKUP(L84,変ＵＳＥＲ,3,FALSE)),0,VLOOKUP(L84,変ＵＳＥＲ,3,FALSE)*BA85/50)</f>
        <v>0</v>
      </c>
      <c r="AP83" s="214">
        <f>IF(W82="",0,W82*1000/BA84^2/SQRT(BA82))</f>
        <v>0</v>
      </c>
      <c r="AQ83" s="213">
        <f>IF(AND(BA82=1,BA83=2),1,IF(AND(BA82=3,BA83=3),1,IF(AND(BA82=1,BA83=3),2,IF(AND(BA82=3,BA83=4)*OR(BB82=1,BB83=1,BB84=1,BB85=1),1,SQRT(3)))))</f>
        <v>1.7320508075688772</v>
      </c>
      <c r="AR83" s="215" t="str">
        <f>IF(X82="","",IF(X82="600V IV",VLOOKUP(X84,ＩＶ,3,FALSE),IF(X82="600V CV-T",VLOOKUP(X84,ＣＶＴ,3,FALSE),IF(OR(X82="600V CV-1C",X82="600V CV-2C",X82="600V CV-3C",X82="600V CV-4C"),VLOOKUP(X84,ＣＶ２３Ｃ,3,FALSE),VLOOKUP(X84,ＣＵＳＥＲ,3,FALSE)))))</f>
        <v/>
      </c>
      <c r="AS83" s="213" t="str">
        <f>IF(AD85="",AP85,AP85+(AD85/1000))</f>
        <v/>
      </c>
      <c r="AT83" s="216" t="str">
        <f>IF(AU85="",AT85,AU85)</f>
        <v/>
      </c>
      <c r="AU83" s="216" t="str">
        <f>IF(D82="","",IF(AND(D342="",#REF!&lt;&gt;"",AV85=#REF!),#REF!,IF(AND(D342="",#REF!="",#REF!&lt;&gt;"",AV345=#REF!),#REF!,IF(AND(D342="",#REF!="",#REF!="",#REF!&lt;&gt;"",#REF!=#REF!),#REF!,IF(AND(D342="",#REF!="",#REF!="",#REF!="",D346&lt;&gt;"",#REF!=#REF!),AT347,IF(AND(D342="",#REF!="",#REF!="",#REF!="",D346="",#REF!&lt;&gt;"",#REF!=AV350),AT348,IF(AND(D342="",#REF!="",#REF!="",#REF!="",D346="",#REF!="",D351&lt;&gt;"",#REF!=AV354),AT352,"")))))))</f>
        <v/>
      </c>
      <c r="AV83" s="215" t="str">
        <f>IF(L82="ACG",IF(ISNA(VLOOKUP(L84,ＡＣＧ,3,FALSE)),0,VLOOKUP(L84,ＡＣＧ,3,FALSE)*BA85/50),"")</f>
        <v/>
      </c>
      <c r="AW83" s="217" t="str">
        <f>IF(AT83="","",(AT83-AP82*(AT82^2+AT83^2))/((AT82*AP82)^2+(AP82*AT83-1)^2))</f>
        <v/>
      </c>
      <c r="AX83" s="218"/>
      <c r="AY83" s="219">
        <f>IF(N(AY85)=10^30,10^30,IF(N(AY345)=10^30,(N(AY85)*(N(AY344)^2+N(AY345)^2)+N(AY345)*(N(AY84)^2+N(AY85)^2))/((N(AY84)+N(AY344))^2+(N(AY85)+N(AY345))^2),(N(AY85)*(N(AY342)^2+N(AY343)^2)+N(AY343)*(N(AY84)^2+N(AY85)^2))/((N(AY84)+N(AY342))^2+(N(AY85)+N(AY343))^2)))</f>
        <v>1E+30</v>
      </c>
      <c r="AZ83" s="23"/>
      <c r="BA83" s="220">
        <f>IF(AND(H82="",SUM(S82:S85)&lt;&gt;0),BA79,H82)</f>
        <v>0</v>
      </c>
      <c r="BB83" s="221">
        <f t="shared" si="1"/>
        <v>0</v>
      </c>
      <c r="BC83" s="232"/>
      <c r="BD83" s="232"/>
    </row>
    <row r="84" spans="1:56" ht="15" customHeight="1">
      <c r="B84" s="85"/>
      <c r="C84" s="271"/>
      <c r="D84" s="409"/>
      <c r="E84" s="362"/>
      <c r="F84" s="413"/>
      <c r="G84" s="414"/>
      <c r="H84" s="414"/>
      <c r="I84" s="414"/>
      <c r="J84" s="414"/>
      <c r="K84" s="415"/>
      <c r="L84" s="416"/>
      <c r="M84" s="275"/>
      <c r="N84" s="412"/>
      <c r="O84" s="198"/>
      <c r="P84" s="93"/>
      <c r="Q84" s="202"/>
      <c r="R84" s="91"/>
      <c r="S84" s="92" t="str">
        <f>IF(R85="","",IF(Q85="",P85/R85,P85/(Q85*R85)))</f>
        <v/>
      </c>
      <c r="T84" s="200"/>
      <c r="U84" s="203" t="str">
        <f>IF(OR(BA84="",S84=""),"",S84*1000*T84/(SQRT(BA82)*BA84))</f>
        <v/>
      </c>
      <c r="V84" s="94" t="str">
        <f>IF(AND(N(U82)=0,N(U83)=0,N(U84)=0,N(U85)=0),"",V82*(P82*R82*T82+P83*R83*T83+P84*R84*T84+P85*R85*T85)/(P82*T82+P83*T83+P84*T84+P85*T85))</f>
        <v/>
      </c>
      <c r="W84" s="276" t="str">
        <f>IF(AND(N(AP84)=0,N(AP85)=0,N(AP83)=0),"",IF(AP85&gt;=0,COS(ATAN(AP85/AP84)),-COS(ATAN(AP85/AP84))))</f>
        <v/>
      </c>
      <c r="X84" s="95"/>
      <c r="Y84" s="204"/>
      <c r="Z84" s="96"/>
      <c r="AA84" s="97"/>
      <c r="AB84" s="98"/>
      <c r="AC84" s="204"/>
      <c r="AD84" s="96"/>
      <c r="AE84" s="99"/>
      <c r="AF84" s="236" t="str">
        <f>IF(OR(AF82="",AG78&lt;&gt;""),"",BA84/SQRT(AW84^2+AW85^2))</f>
        <v/>
      </c>
      <c r="AG84" s="274" t="str">
        <f>IF(AG82="","",100*((BA84/AQ83)-AG82)/(BA84/AQ83))</f>
        <v/>
      </c>
      <c r="AH84" s="275"/>
      <c r="AI84" s="261"/>
      <c r="AJ84" s="262"/>
      <c r="AK84" s="264"/>
      <c r="AL84" s="188"/>
      <c r="AM84" s="28"/>
      <c r="AN84" s="222" t="b">
        <f>IF(BA82="","",IF(AND(BA82=3,F84=50,L82="oil cooled type"),VLOOKUP(L84,変３,2,FALSE),IF(AND(BA82=3,F84=50,L82="(F)molded type"),VLOOKUP(L84,変３,7,FALSE),IF(AND(BA82=3,F84=60,L82="oil cooled type"),VLOOKUP(L84,変３,12,FALSE),IF(AND(BA82=3,F84=60,L82="(F)molded type"),VLOOKUP(L84,変３,17,FALSE),FALSE)))))</f>
        <v>0</v>
      </c>
      <c r="AO84" s="215" t="str">
        <f>IF(AND(L78="",N(AY82)&lt;10^29),AY82,"")</f>
        <v/>
      </c>
      <c r="AP84" s="223" t="str">
        <f>IF(V82="","",IF(AND(N(V84)=0,N(AP83)=0),"",AQ84/((AQ84*AP83)^2+(AP83*AQ85-1)^2)))</f>
        <v/>
      </c>
      <c r="AQ84" s="213">
        <f>IF(N(V84)=0,10^30,V84)</f>
        <v>1E+30</v>
      </c>
      <c r="AR84" s="215" t="str">
        <f>IF(AB82="","",IF(AB82="600V IV",VLOOKUP(AB84,ＩＶ,2,FALSE),IF(AB82="600V CV-T",VLOOKUP(AB84,ＣＶＴ,2,FALSE),IF(OR(AB82="600V CV-1C",AB82="600V CV-2C",AB82="600V CV-3C",AB82="600V CV-4C"),VLOOKUP(AB84,ＣＶ２３Ｃ,2,FALSE),VLOOKUP(AB84,ＣＵＳＥＲ,2,FALSE)))))</f>
        <v/>
      </c>
      <c r="AS84" s="213" t="str">
        <f>IF(OR(AND(AS342="",AS343=""),AND(D82="",D342&lt;&gt;"")),AS82,(AS82*(AT342^2+AT343^2)+AT342*(AS82^2+AS83^2))/((AS82+AT342)^2+(AS83+AT343)^2))</f>
        <v/>
      </c>
      <c r="AT84" s="216" t="str">
        <f>IF(X85="",AS84,N(AS84)+(X85/1000))</f>
        <v/>
      </c>
      <c r="AU84" s="216" t="str">
        <f>IF(AU82="","",(AT84*(AU82^2+AU83^2)+AU82*(AT84^2+AT85^2))/((AT84+AU82)^2+(AT85+AU83)^2))</f>
        <v/>
      </c>
      <c r="AV84" s="216">
        <f>IF(BA84=0,1,0)</f>
        <v>1</v>
      </c>
      <c r="AW84" s="217" t="str">
        <f>IF(AO84="","",AW82+AO84)</f>
        <v/>
      </c>
      <c r="AX84" s="218" t="str">
        <f>IF(AND(AX80="",AW84&lt;&gt;""),BA84*SQRT(AW82^2+AW83^2)/SQRT(AW84^2+AW85^2),IF(BA84&lt;&gt;0,AX80,""))</f>
        <v/>
      </c>
      <c r="AY84" s="224">
        <f>IF(L84="",10^30,SQRT(BA82)*(BA84^2)*(N(AN82)+N(AN84)+N(AO82)+N(AV82))/(100000*L84*M82))</f>
        <v>1E+30</v>
      </c>
      <c r="AZ84" s="225"/>
      <c r="BA84" s="220">
        <f>IF(AND(J82="",SUM(S82:S85)&lt;&gt;0),BA80,J82)</f>
        <v>0</v>
      </c>
      <c r="BB84" s="221">
        <f t="shared" si="1"/>
        <v>0</v>
      </c>
      <c r="BC84" s="232"/>
      <c r="BD84" s="232"/>
    </row>
    <row r="85" spans="1:56" ht="15" customHeight="1">
      <c r="A85" s="85"/>
      <c r="B85" s="85"/>
      <c r="C85" s="271"/>
      <c r="D85" s="417"/>
      <c r="E85" s="418"/>
      <c r="F85" s="419"/>
      <c r="G85" s="270"/>
      <c r="H85" s="270"/>
      <c r="I85" s="270"/>
      <c r="J85" s="270"/>
      <c r="K85" s="268"/>
      <c r="L85" s="251" t="str">
        <f>IF(M82="","",L84*1000*M82/(SQRT(BA82)*BA84))</f>
        <v/>
      </c>
      <c r="M85" s="252"/>
      <c r="N85" s="277"/>
      <c r="O85" s="205"/>
      <c r="P85" s="106"/>
      <c r="Q85" s="206"/>
      <c r="R85" s="107"/>
      <c r="S85" s="108" t="str">
        <f>IF(R85="","",IF(Q85="",P85/R85,P85/(Q85*R85)))</f>
        <v/>
      </c>
      <c r="T85" s="207"/>
      <c r="U85" s="208" t="str">
        <f>IF(OR(BA84="",S85=""),"",S85*1000*T85/(SQRT(BA82)*BA84))</f>
        <v/>
      </c>
      <c r="V85" s="109" t="str">
        <f>IF(AND(N(U82)=0,N(U83)=0,N(U84)=0,N(U85)=0),"",IF(V82&gt;=0,SQRT(ABS(V82^2-V84^2)),-SQRT(V82^2-V84^2)))</f>
        <v/>
      </c>
      <c r="W85" s="277"/>
      <c r="X85" s="278" t="str">
        <f>IF(Y84="","",AQ82*Z84*AR82*((1+0.00393*(F85-20))/1.2751)/Y84)</f>
        <v/>
      </c>
      <c r="Y85" s="270"/>
      <c r="Z85" s="267" t="str">
        <f>IF(Y84="","",(BA85/50)*AQ82*Z84*AR83/Y84)</f>
        <v/>
      </c>
      <c r="AA85" s="252"/>
      <c r="AB85" s="279" t="str">
        <f>IF(AC84="","",AQ82*AD84*AR84*((1+0.00393*(F85-20))/1.2751)/AC84)</f>
        <v/>
      </c>
      <c r="AC85" s="270"/>
      <c r="AD85" s="267" t="str">
        <f>IF(AC84="","",(BA85/50)*AQ82*AD84*AR85/AC84)</f>
        <v/>
      </c>
      <c r="AE85" s="268"/>
      <c r="AF85" s="237" t="str">
        <f>IF(AND(AX82&lt;&gt;"",D82=""),AX82,"")</f>
        <v/>
      </c>
      <c r="AG85" s="269" t="str">
        <f>IF(AP84="","",AP84)</f>
        <v/>
      </c>
      <c r="AH85" s="270"/>
      <c r="AI85" s="238" t="str">
        <f>IF(AP85="","",AP85)</f>
        <v/>
      </c>
      <c r="AJ85" s="263"/>
      <c r="AK85" s="253"/>
      <c r="AL85" s="189"/>
      <c r="AM85" s="28"/>
      <c r="AN85" s="226" t="b">
        <f>IF(BA82="","",IF(AND(BA82=3,F84=50,L82="oil cooled type"),VLOOKUP(L84,変３,3,FALSE),IF(AND(BA82=3,F84=50,L82="(F)molded type"),VLOOKUP(L84,変３,8,FALSE),IF(AND(BA82=3,F84=60,L82="oil cooled type"),VLOOKUP(L84,変３,13,FALSE),IF(AND(BA82=3,F84=60,L82="(F)molded type"),VLOOKUP(L84,変３,18,FALSE),FALSE)))))</f>
        <v>0</v>
      </c>
      <c r="AO85" s="226" t="str">
        <f>IF(AND(L78="",N(AY83)&lt;10^29),AY83,"")</f>
        <v/>
      </c>
      <c r="AP85" s="227" t="str">
        <f>IF(V82="","",IF(AND(N(V85)=0,N(AP83)=0),0,(AQ85-AP83*(AQ84^2+AQ85^2))/((AQ84*AP83)^2+(AP83*AQ85-1)^2)))</f>
        <v/>
      </c>
      <c r="AQ85" s="228">
        <f>IF(N(V85)=0,10^30,V85)</f>
        <v>1E+30</v>
      </c>
      <c r="AR85" s="226" t="str">
        <f>IF(AB82="","",IF(AB82="600V IV",VLOOKUP(AB84,ＩＶ,3,FALSE),IF(AB82="600V CV-T",VLOOKUP(AB84,ＣＶＴ,3,FALSE),IF(OR(AB82="600V CV-1C",AB82="600V CV-2C",AB82="600V CV-3C",AB82="600V CV-4C"),VLOOKUP(AB84,ＣＶ２３Ｃ,3,FALSE),VLOOKUP(AB84,ＣＵＳＥＲ,3,FALSE)))))</f>
        <v/>
      </c>
      <c r="AS85" s="228" t="str">
        <f>IF(OR(AND(AS342="",AS343=""),AND(D82="",D342&lt;&gt;"")),AS83,(AS83*(AT342^2+AT343^2)+AT343*(AS82^2+AS83^2))/((AS82+AT342)^2+(AS83+AT343)^2))</f>
        <v/>
      </c>
      <c r="AT85" s="229" t="str">
        <f>IF(Z85="",AS85,N(AS85)+(Z85/1000))</f>
        <v/>
      </c>
      <c r="AU85" s="229" t="str">
        <f>IF(AU83="","",(AT85*(AU82^2+AU83^2)+AU83*(AT84^2+AT85^2))/((AT84+AU82)^2+(AT85+AU83)^2))</f>
        <v/>
      </c>
      <c r="AV85" s="229">
        <f>AV81+AV84</f>
        <v>17</v>
      </c>
      <c r="AW85" s="228" t="str">
        <f>IF(AO85="","",AW83+AO85)</f>
        <v/>
      </c>
      <c r="AX85" s="230"/>
      <c r="AY85" s="224">
        <f>IF(L84="",10^30,SQRT(BA82)*(BA84^2)*(N(AN83)+N(AN85)+N(AO83)+N(AV83))/(100000*L84*M82))</f>
        <v>1E+30</v>
      </c>
      <c r="AZ85" s="225"/>
      <c r="BA85" s="220">
        <f>IF(AND(F84="",SUM(S82:S85)&lt;&gt;0),BA81,F84)</f>
        <v>0</v>
      </c>
      <c r="BB85" s="221">
        <f t="shared" si="1"/>
        <v>0</v>
      </c>
      <c r="BC85" s="232"/>
      <c r="BD85" s="232"/>
    </row>
    <row r="86" spans="1:56" ht="15" customHeight="1">
      <c r="B86" s="85"/>
      <c r="C86" s="271" t="str">
        <f>IF(BC86=1,"●","・")</f>
        <v>・</v>
      </c>
      <c r="D86" s="402"/>
      <c r="E86" s="403"/>
      <c r="F86" s="404"/>
      <c r="G86" s="265" t="str">
        <f>IF(F86="","","φ")</f>
        <v/>
      </c>
      <c r="H86" s="405"/>
      <c r="I86" s="265" t="str">
        <f>IF(H86="","","W")</f>
        <v/>
      </c>
      <c r="J86" s="405"/>
      <c r="K86" s="272" t="str">
        <f>IF(J86="","","V")</f>
        <v/>
      </c>
      <c r="L86" s="406"/>
      <c r="M86" s="407"/>
      <c r="N86" s="408"/>
      <c r="O86" s="193"/>
      <c r="P86" s="86"/>
      <c r="Q86" s="194"/>
      <c r="R86" s="87"/>
      <c r="S86" s="88" t="str">
        <f>IF(R86="","",IF(Q86="",P86/R86,P86/(Q86*R86)))</f>
        <v/>
      </c>
      <c r="T86" s="195"/>
      <c r="U86" s="196" t="str">
        <f>IF(OR(BA88="",S86=""),"",S86*1000*T86/(SQRT(BA86)*BA88))</f>
        <v/>
      </c>
      <c r="V86" s="254" t="str">
        <f>IF(AND(N(U86)=0,N(U87)=0,N(U88)=0,N(U89)=0),"",BA88/(SUM(U86:U89)))</f>
        <v/>
      </c>
      <c r="W86" s="280"/>
      <c r="X86" s="281"/>
      <c r="Y86" s="242"/>
      <c r="Z86" s="243"/>
      <c r="AA86" s="239"/>
      <c r="AB86" s="241"/>
      <c r="AC86" s="242"/>
      <c r="AD86" s="243"/>
      <c r="AE86" s="247"/>
      <c r="AF86" s="233" t="str">
        <f>IF(OR(AND(AF82="",N(BA84)=0,BA88&lt;&gt;0),D86&lt;&gt;""),AX88/AQ87,"")</f>
        <v/>
      </c>
      <c r="AG86" s="249" t="str">
        <f>IF(BA88=0,"",IF(AD88="",AX86,IF(AND(D86&lt;&gt;"",AU86=""),AX88*SQRT(AP88^2+AP89^2)/SQRT(AS86^2+AS87^2)/AQ87,AX86*SQRT(AP88^2+AP89^2)/SQRT(AS86^2+AS87^2))))</f>
        <v/>
      </c>
      <c r="AH86" s="250"/>
      <c r="AI86" s="234" t="str">
        <f>IF(AG86="","",IF(N(U86)&lt;0,-AX86*AQ87/SQRT(AS86^2+AS87^2),AX86*AQ87/SQRT(AS86^2+AS87^2)))</f>
        <v/>
      </c>
      <c r="AJ86" s="256"/>
      <c r="AK86" s="257"/>
      <c r="AL86" s="186"/>
      <c r="AM86" s="28"/>
      <c r="AN86" s="213" t="b">
        <f>IF(BA86="","",IF(AND(BA86=1,F88=50,L86="oil cooled type"),VLOOKUP(L88,変１,2,FALSE),IF(AND(BA86=1,F88=50,L86="(F)molded type"),VLOOKUP(L88,変１,7,FALSE),IF(AND(BA86=1,F88=60,L86="oil cooled type"),VLOOKUP(L88,変１,12,FALSE),IF(AND(BA86=1,F88=60,L86="(F)molded type"),VLOOKUP(L88,変１,17,FALSE),FALSE)))))</f>
        <v>0</v>
      </c>
      <c r="AO86" s="213">
        <f>IF(ISNA(VLOOKUP(L88,変ＵＳＥＲ,2,FALSE)),0,VLOOKUP(L88,変ＵＳＥＲ,2,FALSE))</f>
        <v>0</v>
      </c>
      <c r="AP86" s="214">
        <f>IF(N86="",0,N86*1000/BA88^2/SQRT(BA86))</f>
        <v>0</v>
      </c>
      <c r="AQ86" s="213" t="b">
        <f>IF(BA86=1,2,IF(BA86=3,SQRT(3),FALSE))</f>
        <v>0</v>
      </c>
      <c r="AR86" s="215" t="str">
        <f>IF(X86="","",IF(X86="600V IV",VLOOKUP(X88,ＩＶ,2,FALSE),IF(X86="600V CV-T",VLOOKUP(X88,ＣＶＴ,2,FALSE),IF(OR(X86="600V CV-1C",X86="600V CV-2C",X86="600V CV-3C",X86="600V CV-4C"),VLOOKUP(X88,ＣＶ２３Ｃ,2,FALSE),VLOOKUP(X88,ＣＵＳＥＲ,2,FALSE)))))</f>
        <v/>
      </c>
      <c r="AS86" s="213" t="str">
        <f>IF(AB89="",AP88,AP88+(AB89/1000))</f>
        <v/>
      </c>
      <c r="AT86" s="216" t="str">
        <f>IF(AU88="",AT88,AU88)</f>
        <v/>
      </c>
      <c r="AU86" s="216" t="str">
        <f>IF(D86="","",IF(AND(D346="",#REF!&lt;&gt;"",AV89=#REF!),#REF!,IF(AND(D346="",#REF!="",#REF!&lt;&gt;"",AV349=#REF!),#REF!,IF(AND(D346="",#REF!="",#REF!="",#REF!&lt;&gt;"",#REF!=#REF!),#REF!,IF(AND(D346="",#REF!="",#REF!="",#REF!="",D350&lt;&gt;"",#REF!=#REF!),AT350,IF(AND(D346="",#REF!="",#REF!="",#REF!="",D350="",#REF!&lt;&gt;"",#REF!=AV354),#REF!,IF(AND(D346="",#REF!="",#REF!="",#REF!="",D350="",#REF!="",D355&lt;&gt;"",#REF!=AV358),AT355,"")))))))</f>
        <v/>
      </c>
      <c r="AV86" s="216" t="str">
        <f>IF(L86="ACG",IF(ISNA(VLOOKUP(L88,ＡＣＧ,2,FALSE)),0,VLOOKUP(L88,ＡＣＧ,2,FALSE)),"")</f>
        <v/>
      </c>
      <c r="AW86" s="217" t="str">
        <f>IF(AT86="","",AT86/((AT86*AP86)^2+(AT87*AP86-1)^2))</f>
        <v/>
      </c>
      <c r="AX86" s="218" t="str">
        <f>IF(BA88=0,"",IF(OR(AX82="",AF86&lt;&gt;""),AF86*SQRT(AS88^2+AS89^2)/SQRT(AT88^2+AT89^2),AX82*SQRT(AS88^2+AS89^2)/SQRT(AT88^2+AT89^2)))</f>
        <v/>
      </c>
      <c r="AY86" s="219">
        <f>IF(N(AY88)=10^30,10^30,IF(N(AY348)=10^30,(N(AY88)*(N(AY348)^2+N(AY349)^2)+N(AY348)*(N(AY88)^2+N(AY89)^2))/((N(AY88)+N(AY348))^2+(N(AY89)+N(AY349))^2),(N(AY88)*(N(AY346)^2+N(AY347)^2)+N(AY346)*(N(AY88)^2+N(AY89)^2))/((N(AY88)+N(AY346))^2+(N(AY89)+N(AY347))^2)))</f>
        <v>1E+30</v>
      </c>
      <c r="AZ86" s="23"/>
      <c r="BA86" s="220">
        <f>IF(AND(F86="",SUM(S86:S89)&lt;&gt;0),BA82,F86)</f>
        <v>0</v>
      </c>
      <c r="BB86" s="221">
        <f t="shared" ref="BB86:BB113" si="2">IF(OR(O86="熱源動力",O86="換気動力",O86="衛生動力",O86="生産動力",O86="動力差込",O86="防災動力"),1,0)</f>
        <v>0</v>
      </c>
      <c r="BC86" s="232">
        <f>IF(OR(E86="",F89="",AND(OR(P86="",Q86="",R86="",T86=""),OR(P87="",Q87="",R87="",T87=""),OR(P88="",Q88="",R88="",T88=""),OR(P89="",Q89="",R89="",T89="")),AND(OR(X86="",X88="",Y88="",Z88=""),OR(AB86="",AB88="",AC88="",AD88=""))),0,1)</f>
        <v>0</v>
      </c>
      <c r="BD86" s="232">
        <f>BC86+BD82</f>
        <v>0</v>
      </c>
    </row>
    <row r="87" spans="1:56" ht="15" customHeight="1">
      <c r="B87" s="85"/>
      <c r="C87" s="271"/>
      <c r="D87" s="409"/>
      <c r="E87" s="362"/>
      <c r="F87" s="410"/>
      <c r="G87" s="266"/>
      <c r="H87" s="266"/>
      <c r="I87" s="266"/>
      <c r="J87" s="266"/>
      <c r="K87" s="273"/>
      <c r="L87" s="411"/>
      <c r="M87" s="197" t="str">
        <f>IF(L86="ACG",SQRT(AV86^2+AV87^2),IF(L88="","",IF(OR(L86="oil cooled type",L86="(F)molded type"),IF(BA86=1,SQRT(AN86^2+AN87^2),IF(BA86=3,SQRT(AN88^2+AN89^2))),SQRT(AO86^2+AO87^2))))</f>
        <v/>
      </c>
      <c r="N87" s="412"/>
      <c r="O87" s="198"/>
      <c r="P87" s="90"/>
      <c r="Q87" s="199"/>
      <c r="R87" s="91"/>
      <c r="S87" s="92" t="str">
        <f>IF(R88="","",IF(Q88="",P88/R88,P88/(Q88*R88)))</f>
        <v/>
      </c>
      <c r="T87" s="200"/>
      <c r="U87" s="201" t="str">
        <f>IF(OR(BA88="",S87=""),"",S87*1000*T87/(SQRT(BA86)*BA88))</f>
        <v/>
      </c>
      <c r="V87" s="255"/>
      <c r="W87" s="248"/>
      <c r="X87" s="258"/>
      <c r="Y87" s="245"/>
      <c r="Z87" s="246"/>
      <c r="AA87" s="240"/>
      <c r="AB87" s="244"/>
      <c r="AC87" s="245"/>
      <c r="AD87" s="246"/>
      <c r="AE87" s="248"/>
      <c r="AF87" s="235" t="str">
        <f>IF(OR(AF86="",AG82&lt;&gt;""),"",AF86*AQ87/SQRT(AT86^2+AT87^2))</f>
        <v/>
      </c>
      <c r="AG87" s="274" t="str">
        <f>IF(AG86="","",100*AG86*AQ87/BA88)</f>
        <v/>
      </c>
      <c r="AH87" s="275"/>
      <c r="AI87" s="260" t="str">
        <f>IF(BA88=0,"",IF(AI82="",AX88/SQRT(AT86^2+AT87^2),IF(AI90="","",IF(AT86&lt;0,-AX86*AQ83/SQRT(AT86^2+AT87^2),AX86*AQ83/SQRT(AT86^2+AT87^2)))))</f>
        <v/>
      </c>
      <c r="AJ87" s="258"/>
      <c r="AK87" s="259"/>
      <c r="AL87" s="187"/>
      <c r="AM87" s="28"/>
      <c r="AN87" s="213" t="b">
        <f>IF(BA86="","",IF(AND(BA86=1,F88=50,L86="oil cooled type"),VLOOKUP(L88,変１,3,FALSE),IF(AND(BA86=1,F88=50,L86="(F)molded type"),VLOOKUP(L88,変１,8,FALSE),IF(AND(BA86=1,F88=60,L86="oil cooled type"),VLOOKUP(L88,変１,13,FALSE),IF(AND(BA86=1,F88=60,L86="(F)molded type"),VLOOKUP(L88,変１,18,FALSE),FALSE)))))</f>
        <v>0</v>
      </c>
      <c r="AO87" s="213">
        <f>IF(ISNA(VLOOKUP(L88,変ＵＳＥＲ,3,FALSE)),0,VLOOKUP(L88,変ＵＳＥＲ,3,FALSE)*BA89/50)</f>
        <v>0</v>
      </c>
      <c r="AP87" s="214">
        <f>IF(W86="",0,W86*1000/BA88^2/SQRT(BA86))</f>
        <v>0</v>
      </c>
      <c r="AQ87" s="213">
        <f>IF(AND(BA86=1,BA87=2),1,IF(AND(BA86=3,BA87=3),1,IF(AND(BA86=1,BA87=3),2,IF(AND(BA86=3,BA87=4)*OR(BB86=1,BB87=1,BB88=1,BB89=1),1,SQRT(3)))))</f>
        <v>1.7320508075688772</v>
      </c>
      <c r="AR87" s="215" t="str">
        <f>IF(X86="","",IF(X86="600V IV",VLOOKUP(X88,ＩＶ,3,FALSE),IF(X86="600V CV-T",VLOOKUP(X88,ＣＶＴ,3,FALSE),IF(OR(X86="600V CV-1C",X86="600V CV-2C",X86="600V CV-3C",X86="600V CV-4C"),VLOOKUP(X88,ＣＶ２３Ｃ,3,FALSE),VLOOKUP(X88,ＣＵＳＥＲ,3,FALSE)))))</f>
        <v/>
      </c>
      <c r="AS87" s="213" t="str">
        <f>IF(AD89="",AP89,AP89+(AD89/1000))</f>
        <v/>
      </c>
      <c r="AT87" s="216" t="str">
        <f>IF(AU89="",AT89,AU89)</f>
        <v/>
      </c>
      <c r="AU87" s="216" t="str">
        <f>IF(D86="","",IF(AND(D346="",#REF!&lt;&gt;"",AV89=#REF!),#REF!,IF(AND(D346="",#REF!="",#REF!&lt;&gt;"",AV349=#REF!),#REF!,IF(AND(D346="",#REF!="",#REF!="",#REF!&lt;&gt;"",#REF!=#REF!),#REF!,IF(AND(D346="",#REF!="",#REF!="",#REF!="",D350&lt;&gt;"",#REF!=#REF!),AT351,IF(AND(D346="",#REF!="",#REF!="",#REF!="",D350="",#REF!&lt;&gt;"",#REF!=AV354),AT352,IF(AND(D346="",#REF!="",#REF!="",#REF!="",D350="",#REF!="",D355&lt;&gt;"",#REF!=AV358),AT356,"")))))))</f>
        <v/>
      </c>
      <c r="AV87" s="215" t="str">
        <f>IF(L86="ACG",IF(ISNA(VLOOKUP(L88,ＡＣＧ,3,FALSE)),0,VLOOKUP(L88,ＡＣＧ,3,FALSE)*BA89/50),"")</f>
        <v/>
      </c>
      <c r="AW87" s="217" t="str">
        <f>IF(AT87="","",(AT87-AP86*(AT86^2+AT87^2))/((AT86*AP86)^2+(AP86*AT87-1)^2))</f>
        <v/>
      </c>
      <c r="AX87" s="218"/>
      <c r="AY87" s="219">
        <f>IF(N(AY89)=10^30,10^30,IF(N(AY349)=10^30,(N(AY89)*(N(AY348)^2+N(AY349)^2)+N(AY349)*(N(AY88)^2+N(AY89)^2))/((N(AY88)+N(AY348))^2+(N(AY89)+N(AY349))^2),(N(AY89)*(N(AY346)^2+N(AY347)^2)+N(AY347)*(N(AY88)^2+N(AY89)^2))/((N(AY88)+N(AY346))^2+(N(AY89)+N(AY347))^2)))</f>
        <v>1E+30</v>
      </c>
      <c r="AZ87" s="23"/>
      <c r="BA87" s="220">
        <f>IF(AND(H86="",SUM(S86:S89)&lt;&gt;0),BA83,H86)</f>
        <v>0</v>
      </c>
      <c r="BB87" s="221">
        <f t="shared" si="2"/>
        <v>0</v>
      </c>
      <c r="BC87" s="232"/>
      <c r="BD87" s="232"/>
    </row>
    <row r="88" spans="1:56" ht="15" customHeight="1">
      <c r="B88" s="85"/>
      <c r="C88" s="271"/>
      <c r="D88" s="409"/>
      <c r="E88" s="362"/>
      <c r="F88" s="413"/>
      <c r="G88" s="414"/>
      <c r="H88" s="414"/>
      <c r="I88" s="414"/>
      <c r="J88" s="414"/>
      <c r="K88" s="415"/>
      <c r="L88" s="416"/>
      <c r="M88" s="275"/>
      <c r="N88" s="412"/>
      <c r="O88" s="198"/>
      <c r="P88" s="93"/>
      <c r="Q88" s="202"/>
      <c r="R88" s="91"/>
      <c r="S88" s="92" t="str">
        <f>IF(R89="","",IF(Q89="",P89/R89,P89/(Q89*R89)))</f>
        <v/>
      </c>
      <c r="T88" s="200"/>
      <c r="U88" s="203" t="str">
        <f>IF(OR(BA88="",S88=""),"",S88*1000*T88/(SQRT(BA86)*BA88))</f>
        <v/>
      </c>
      <c r="V88" s="94" t="str">
        <f>IF(AND(N(U86)=0,N(U87)=0,N(U88)=0,N(U89)=0),"",V86*(P86*R86*T86+P87*R87*T87+P88*R88*T88+P89*R89*T89)/(P86*T86+P87*T87+P88*T88+P89*T89))</f>
        <v/>
      </c>
      <c r="W88" s="276" t="str">
        <f>IF(AND(N(AP88)=0,N(AP89)=0,N(AP87)=0),"",IF(AP89&gt;=0,COS(ATAN(AP89/AP88)),-COS(ATAN(AP89/AP88))))</f>
        <v/>
      </c>
      <c r="X88" s="95"/>
      <c r="Y88" s="204"/>
      <c r="Z88" s="96"/>
      <c r="AA88" s="97"/>
      <c r="AB88" s="98"/>
      <c r="AC88" s="204"/>
      <c r="AD88" s="96"/>
      <c r="AE88" s="99"/>
      <c r="AF88" s="236" t="str">
        <f>IF(OR(AF86="",AG82&lt;&gt;""),"",BA88/SQRT(AW88^2+AW89^2))</f>
        <v/>
      </c>
      <c r="AG88" s="274" t="str">
        <f>IF(AG86="","",100*((BA88/AQ87)-AG86)/(BA88/AQ87))</f>
        <v/>
      </c>
      <c r="AH88" s="275"/>
      <c r="AI88" s="261"/>
      <c r="AJ88" s="262"/>
      <c r="AK88" s="264"/>
      <c r="AL88" s="188"/>
      <c r="AM88" s="28"/>
      <c r="AN88" s="222" t="b">
        <f>IF(BA86="","",IF(AND(BA86=3,F88=50,L86="oil cooled type"),VLOOKUP(L88,変３,2,FALSE),IF(AND(BA86=3,F88=50,L86="(F)molded type"),VLOOKUP(L88,変３,7,FALSE),IF(AND(BA86=3,F88=60,L86="oil cooled type"),VLOOKUP(L88,変３,12,FALSE),IF(AND(BA86=3,F88=60,L86="(F)molded type"),VLOOKUP(L88,変３,17,FALSE),FALSE)))))</f>
        <v>0</v>
      </c>
      <c r="AO88" s="215" t="str">
        <f>IF(AND(L82="",N(AY86)&lt;10^29),AY86,"")</f>
        <v/>
      </c>
      <c r="AP88" s="223" t="str">
        <f>IF(V86="","",IF(AND(N(V88)=0,N(AP87)=0),"",AQ88/((AQ88*AP87)^2+(AP87*AQ89-1)^2)))</f>
        <v/>
      </c>
      <c r="AQ88" s="213">
        <f>IF(N(V88)=0,10^30,V88)</f>
        <v>1E+30</v>
      </c>
      <c r="AR88" s="215" t="str">
        <f>IF(AB86="","",IF(AB86="600V IV",VLOOKUP(AB88,ＩＶ,2,FALSE),IF(AB86="600V CV-T",VLOOKUP(AB88,ＣＶＴ,2,FALSE),IF(OR(AB86="600V CV-1C",AB86="600V CV-2C",AB86="600V CV-3C",AB86="600V CV-4C"),VLOOKUP(AB88,ＣＶ２３Ｃ,2,FALSE),VLOOKUP(AB88,ＣＵＳＥＲ,2,FALSE)))))</f>
        <v/>
      </c>
      <c r="AS88" s="213" t="str">
        <f>IF(OR(AND(AS346="",AS347=""),AND(D86="",D346&lt;&gt;"")),AS86,(AS86*(AT346^2+AT347^2)+AT346*(AS86^2+AS87^2))/((AS86+AT346)^2+(AS87+AT347)^2))</f>
        <v/>
      </c>
      <c r="AT88" s="216" t="str">
        <f>IF(X89="",AS88,N(AS88)+(X89/1000))</f>
        <v/>
      </c>
      <c r="AU88" s="216" t="str">
        <f>IF(AU86="","",(AT88*(AU86^2+AU87^2)+AU86*(AT88^2+AT89^2))/((AT88+AU86)^2+(AT89+AU87)^2))</f>
        <v/>
      </c>
      <c r="AV88" s="216">
        <f>IF(BA88=0,1,0)</f>
        <v>1</v>
      </c>
      <c r="AW88" s="217" t="str">
        <f>IF(AO88="","",AW86+AO88)</f>
        <v/>
      </c>
      <c r="AX88" s="218" t="str">
        <f>IF(AND(AX84="",AW88&lt;&gt;""),BA88*SQRT(AW86^2+AW87^2)/SQRT(AW88^2+AW89^2),IF(BA88&lt;&gt;0,AX84,""))</f>
        <v/>
      </c>
      <c r="AY88" s="224">
        <f>IF(L88="",10^30,SQRT(BA86)*(BA88^2)*(N(AN86)+N(AN88)+N(AO86)+N(AV86))/(100000*L88*M86))</f>
        <v>1E+30</v>
      </c>
      <c r="AZ88" s="225"/>
      <c r="BA88" s="220">
        <f>IF(AND(J86="",SUM(S86:S89)&lt;&gt;0),BA84,J86)</f>
        <v>0</v>
      </c>
      <c r="BB88" s="221">
        <f t="shared" si="2"/>
        <v>0</v>
      </c>
      <c r="BC88" s="232"/>
      <c r="BD88" s="232"/>
    </row>
    <row r="89" spans="1:56" ht="15" customHeight="1">
      <c r="A89" s="85"/>
      <c r="B89" s="85"/>
      <c r="C89" s="271"/>
      <c r="D89" s="417"/>
      <c r="E89" s="418"/>
      <c r="F89" s="419"/>
      <c r="G89" s="270"/>
      <c r="H89" s="270"/>
      <c r="I89" s="270"/>
      <c r="J89" s="270"/>
      <c r="K89" s="268"/>
      <c r="L89" s="251" t="str">
        <f>IF(M86="","",L88*1000*M86/(SQRT(BA86)*BA88))</f>
        <v/>
      </c>
      <c r="M89" s="252"/>
      <c r="N89" s="277"/>
      <c r="O89" s="205"/>
      <c r="P89" s="106"/>
      <c r="Q89" s="206"/>
      <c r="R89" s="107"/>
      <c r="S89" s="108" t="str">
        <f>IF(R89="","",IF(Q89="",P89/R89,P89/(Q89*R89)))</f>
        <v/>
      </c>
      <c r="T89" s="207"/>
      <c r="U89" s="208" t="str">
        <f>IF(OR(BA88="",S89=""),"",S89*1000*T89/(SQRT(BA86)*BA88))</f>
        <v/>
      </c>
      <c r="V89" s="109" t="str">
        <f>IF(AND(N(U86)=0,N(U87)=0,N(U88)=0,N(U89)=0),"",IF(V86&gt;=0,SQRT(ABS(V86^2-V88^2)),-SQRT(V86^2-V88^2)))</f>
        <v/>
      </c>
      <c r="W89" s="277"/>
      <c r="X89" s="278" t="str">
        <f>IF(Y88="","",AQ86*Z88*AR86*((1+0.00393*(F89-20))/1.2751)/Y88)</f>
        <v/>
      </c>
      <c r="Y89" s="270"/>
      <c r="Z89" s="267" t="str">
        <f>IF(Y88="","",(BA89/50)*AQ86*Z88*AR87/Y88)</f>
        <v/>
      </c>
      <c r="AA89" s="252"/>
      <c r="AB89" s="279" t="str">
        <f>IF(AC88="","",AQ86*AD88*AR88*((1+0.00393*(F89-20))/1.2751)/AC88)</f>
        <v/>
      </c>
      <c r="AC89" s="270"/>
      <c r="AD89" s="267" t="str">
        <f>IF(AC88="","",(BA89/50)*AQ86*AD88*AR89/AC88)</f>
        <v/>
      </c>
      <c r="AE89" s="268"/>
      <c r="AF89" s="237" t="str">
        <f>IF(AND(AX86&lt;&gt;"",D86=""),AX86,"")</f>
        <v/>
      </c>
      <c r="AG89" s="269" t="str">
        <f>IF(AP88="","",AP88)</f>
        <v/>
      </c>
      <c r="AH89" s="270"/>
      <c r="AI89" s="238" t="str">
        <f>IF(AP89="","",AP89)</f>
        <v/>
      </c>
      <c r="AJ89" s="263"/>
      <c r="AK89" s="253"/>
      <c r="AL89" s="189"/>
      <c r="AM89" s="28"/>
      <c r="AN89" s="226" t="b">
        <f>IF(BA86="","",IF(AND(BA86=3,F88=50,L86="oil cooled type"),VLOOKUP(L88,変３,3,FALSE),IF(AND(BA86=3,F88=50,L86="(F)molded type"),VLOOKUP(L88,変３,8,FALSE),IF(AND(BA86=3,F88=60,L86="oil cooled type"),VLOOKUP(L88,変３,13,FALSE),IF(AND(BA86=3,F88=60,L86="(F)molded type"),VLOOKUP(L88,変３,18,FALSE),FALSE)))))</f>
        <v>0</v>
      </c>
      <c r="AO89" s="226" t="str">
        <f>IF(AND(L82="",N(AY87)&lt;10^29),AY87,"")</f>
        <v/>
      </c>
      <c r="AP89" s="227" t="str">
        <f>IF(V86="","",IF(AND(N(V89)=0,N(AP87)=0),0,(AQ89-AP87*(AQ88^2+AQ89^2))/((AQ88*AP87)^2+(AP87*AQ89-1)^2)))</f>
        <v/>
      </c>
      <c r="AQ89" s="228">
        <f>IF(N(V89)=0,10^30,V89)</f>
        <v>1E+30</v>
      </c>
      <c r="AR89" s="226" t="str">
        <f>IF(AB86="","",IF(AB86="600V IV",VLOOKUP(AB88,ＩＶ,3,FALSE),IF(AB86="600V CV-T",VLOOKUP(AB88,ＣＶＴ,3,FALSE),IF(OR(AB86="600V CV-1C",AB86="600V CV-2C",AB86="600V CV-3C",AB86="600V CV-4C"),VLOOKUP(AB88,ＣＶ２３Ｃ,3,FALSE),VLOOKUP(AB88,ＣＵＳＥＲ,3,FALSE)))))</f>
        <v/>
      </c>
      <c r="AS89" s="228" t="str">
        <f>IF(OR(AND(AS346="",AS347=""),AND(D86="",D346&lt;&gt;"")),AS87,(AS87*(AT346^2+AT347^2)+AT347*(AS86^2+AS87^2))/((AS86+AT346)^2+(AS87+AT347)^2))</f>
        <v/>
      </c>
      <c r="AT89" s="229" t="str">
        <f>IF(Z89="",AS89,N(AS89)+(Z89/1000))</f>
        <v/>
      </c>
      <c r="AU89" s="229" t="str">
        <f>IF(AU87="","",(AT89*(AU86^2+AU87^2)+AU87*(AT88^2+AT89^2))/((AT88+AU86)^2+(AT89+AU87)^2))</f>
        <v/>
      </c>
      <c r="AV89" s="229">
        <f>AV85+AV88</f>
        <v>18</v>
      </c>
      <c r="AW89" s="228" t="str">
        <f>IF(AO89="","",AW87+AO89)</f>
        <v/>
      </c>
      <c r="AX89" s="230"/>
      <c r="AY89" s="224">
        <f>IF(L88="",10^30,SQRT(BA86)*(BA88^2)*(N(AN87)+N(AN89)+N(AO87)+N(AV87))/(100000*L88*M86))</f>
        <v>1E+30</v>
      </c>
      <c r="AZ89" s="225"/>
      <c r="BA89" s="220">
        <f>IF(AND(F88="",SUM(S86:S89)&lt;&gt;0),BA85,F88)</f>
        <v>0</v>
      </c>
      <c r="BB89" s="221">
        <f t="shared" si="2"/>
        <v>0</v>
      </c>
      <c r="BC89" s="232"/>
      <c r="BD89" s="232"/>
    </row>
    <row r="90" spans="1:56" ht="15" customHeight="1">
      <c r="B90" s="85"/>
      <c r="C90" s="271" t="str">
        <f>IF(BC90=1,"●","・")</f>
        <v>・</v>
      </c>
      <c r="D90" s="402"/>
      <c r="E90" s="403"/>
      <c r="F90" s="404"/>
      <c r="G90" s="265" t="str">
        <f>IF(F90="","","φ")</f>
        <v/>
      </c>
      <c r="H90" s="405"/>
      <c r="I90" s="265" t="str">
        <f>IF(H90="","","W")</f>
        <v/>
      </c>
      <c r="J90" s="405"/>
      <c r="K90" s="272" t="str">
        <f>IF(J90="","","V")</f>
        <v/>
      </c>
      <c r="L90" s="406"/>
      <c r="M90" s="407"/>
      <c r="N90" s="408"/>
      <c r="O90" s="193"/>
      <c r="P90" s="86"/>
      <c r="Q90" s="194"/>
      <c r="R90" s="87"/>
      <c r="S90" s="88" t="str">
        <f>IF(R90="","",IF(Q90="",P90/R90,P90/(Q90*R90)))</f>
        <v/>
      </c>
      <c r="T90" s="195"/>
      <c r="U90" s="196" t="str">
        <f>IF(OR(BA92="",S90=""),"",S90*1000*T90/(SQRT(BA90)*BA92))</f>
        <v/>
      </c>
      <c r="V90" s="254" t="str">
        <f>IF(AND(N(U90)=0,N(U91)=0,N(U92)=0,N(U93)=0),"",BA92/(SUM(U90:U93)))</f>
        <v/>
      </c>
      <c r="W90" s="280"/>
      <c r="X90" s="281"/>
      <c r="Y90" s="242"/>
      <c r="Z90" s="243"/>
      <c r="AA90" s="239"/>
      <c r="AB90" s="241"/>
      <c r="AC90" s="242"/>
      <c r="AD90" s="243"/>
      <c r="AE90" s="247"/>
      <c r="AF90" s="233" t="str">
        <f>IF(OR(AND(AF86="",N(BA88)=0,BA92&lt;&gt;0),D90&lt;&gt;""),AX92/AQ91,"")</f>
        <v/>
      </c>
      <c r="AG90" s="249" t="str">
        <f>IF(BA92=0,"",IF(AD92="",AX90,IF(AND(D90&lt;&gt;"",AU90=""),AX92*SQRT(AP92^2+AP93^2)/SQRT(AS90^2+AS91^2)/AQ91,AX90*SQRT(AP92^2+AP93^2)/SQRT(AS90^2+AS91^2))))</f>
        <v/>
      </c>
      <c r="AH90" s="250"/>
      <c r="AI90" s="234" t="str">
        <f>IF(AG90="","",IF(N(U90)&lt;0,-AX90*AQ91/SQRT(AS90^2+AS91^2),AX90*AQ91/SQRT(AS90^2+AS91^2)))</f>
        <v/>
      </c>
      <c r="AJ90" s="256"/>
      <c r="AK90" s="257"/>
      <c r="AL90" s="186"/>
      <c r="AM90" s="28"/>
      <c r="AN90" s="213" t="b">
        <f>IF(BA90="","",IF(AND(BA90=1,F92=50,L90="oil cooled type"),VLOOKUP(L92,変１,2,FALSE),IF(AND(BA90=1,F92=50,L90="(F)molded type"),VLOOKUP(L92,変１,7,FALSE),IF(AND(BA90=1,F92=60,L90="oil cooled type"),VLOOKUP(L92,変１,12,FALSE),IF(AND(BA90=1,F92=60,L90="(F)molded type"),VLOOKUP(L92,変１,17,FALSE),FALSE)))))</f>
        <v>0</v>
      </c>
      <c r="AO90" s="213">
        <f>IF(ISNA(VLOOKUP(L92,変ＵＳＥＲ,2,FALSE)),0,VLOOKUP(L92,変ＵＳＥＲ,2,FALSE))</f>
        <v>0</v>
      </c>
      <c r="AP90" s="214">
        <f>IF(N90="",0,N90*1000/BA92^2/SQRT(BA90))</f>
        <v>0</v>
      </c>
      <c r="AQ90" s="213" t="b">
        <f>IF(BA90=1,2,IF(BA90=3,SQRT(3),FALSE))</f>
        <v>0</v>
      </c>
      <c r="AR90" s="215" t="str">
        <f>IF(X90="","",IF(X90="600V IV",VLOOKUP(X92,ＩＶ,2,FALSE),IF(X90="600V CV-T",VLOOKUP(X92,ＣＶＴ,2,FALSE),IF(OR(X90="600V CV-1C",X90="600V CV-2C",X90="600V CV-3C",X90="600V CV-4C"),VLOOKUP(X92,ＣＶ２３Ｃ,2,FALSE),VLOOKUP(X92,ＣＵＳＥＲ,2,FALSE)))))</f>
        <v/>
      </c>
      <c r="AS90" s="213" t="str">
        <f>IF(AB93="",AP92,AP92+(AB93/1000))</f>
        <v/>
      </c>
      <c r="AT90" s="216" t="str">
        <f>IF(AU92="",AT92,AU92)</f>
        <v/>
      </c>
      <c r="AU90" s="216" t="str">
        <f>IF(D90="","",IF(AND(D350="",#REF!&lt;&gt;"",AV93=#REF!),#REF!,IF(AND(D350="",#REF!="",#REF!&lt;&gt;"",AV353=#REF!),#REF!,IF(AND(D350="",#REF!="",#REF!="",#REF!&lt;&gt;"",#REF!=#REF!),#REF!,IF(AND(D350="",#REF!="",#REF!="",#REF!="",D354&lt;&gt;"",#REF!=#REF!),AT354,IF(AND(D350="",#REF!="",#REF!="",#REF!="",D354="",#REF!&lt;&gt;"",#REF!=AV358),#REF!,IF(AND(D350="",#REF!="",#REF!="",#REF!="",D354="",#REF!="",D359&lt;&gt;"",#REF!=AV362),AT359,"")))))))</f>
        <v/>
      </c>
      <c r="AV90" s="216" t="str">
        <f>IF(L90="ACG",IF(ISNA(VLOOKUP(L92,ＡＣＧ,2,FALSE)),0,VLOOKUP(L92,ＡＣＧ,2,FALSE)),"")</f>
        <v/>
      </c>
      <c r="AW90" s="217" t="str">
        <f>IF(AT90="","",AT90/((AT90*AP90)^2+(AT91*AP90-1)^2))</f>
        <v/>
      </c>
      <c r="AX90" s="218" t="str">
        <f>IF(BA92=0,"",IF(OR(AX86="",AF90&lt;&gt;""),AF90*SQRT(AS92^2+AS93^2)/SQRT(AT92^2+AT93^2),AX86*SQRT(AS92^2+AS93^2)/SQRT(AT92^2+AT93^2)))</f>
        <v/>
      </c>
      <c r="AY90" s="219">
        <f>IF(N(AY92)=10^30,10^30,IF(N(AY352)=10^30,(N(AY92)*(N(AY352)^2+N(AY353)^2)+N(AY352)*(N(AY92)^2+N(AY93)^2))/((N(AY92)+N(AY352))^2+(N(AY93)+N(AY353))^2),(N(AY92)*(N(AY350)^2+N(AY351)^2)+N(AY350)*(N(AY92)^2+N(AY93)^2))/((N(AY92)+N(AY350))^2+(N(AY93)+N(AY351))^2)))</f>
        <v>1E+30</v>
      </c>
      <c r="AZ90" s="23"/>
      <c r="BA90" s="220">
        <f>IF(AND(F90="",SUM(S90:S93)&lt;&gt;0),BA86,F90)</f>
        <v>0</v>
      </c>
      <c r="BB90" s="221">
        <f t="shared" si="2"/>
        <v>0</v>
      </c>
      <c r="BC90" s="232">
        <f>IF(OR(E90="",F93="",AND(OR(P90="",Q90="",R90="",T90=""),OR(P91="",Q91="",R91="",T91=""),OR(P92="",Q92="",R92="",T92=""),OR(P93="",Q93="",R93="",T93="")),AND(OR(X90="",X92="",Y92="",Z92=""),OR(AB90="",AB92="",AC92="",AD92=""))),0,1)</f>
        <v>0</v>
      </c>
      <c r="BD90" s="232">
        <f>BC90+BD86</f>
        <v>0</v>
      </c>
    </row>
    <row r="91" spans="1:56" ht="15" customHeight="1">
      <c r="B91" s="85"/>
      <c r="C91" s="271"/>
      <c r="D91" s="409"/>
      <c r="E91" s="362"/>
      <c r="F91" s="410"/>
      <c r="G91" s="266"/>
      <c r="H91" s="266"/>
      <c r="I91" s="266"/>
      <c r="J91" s="266"/>
      <c r="K91" s="273"/>
      <c r="L91" s="411"/>
      <c r="M91" s="197" t="str">
        <f>IF(L90="ACG",SQRT(AV90^2+AV91^2),IF(L92="","",IF(OR(L90="oil cooled type",L90="(F)molded type"),IF(BA90=1,SQRT(AN90^2+AN91^2),IF(BA90=3,SQRT(AN92^2+AN93^2))),SQRT(AO90^2+AO91^2))))</f>
        <v/>
      </c>
      <c r="N91" s="412"/>
      <c r="O91" s="198"/>
      <c r="P91" s="90"/>
      <c r="Q91" s="199"/>
      <c r="R91" s="91"/>
      <c r="S91" s="92" t="str">
        <f>IF(R92="","",IF(Q92="",P92/R92,P92/(Q92*R92)))</f>
        <v/>
      </c>
      <c r="T91" s="200"/>
      <c r="U91" s="201" t="str">
        <f>IF(OR(BA92="",S91=""),"",S91*1000*T91/(SQRT(BA90)*BA92))</f>
        <v/>
      </c>
      <c r="V91" s="255"/>
      <c r="W91" s="248"/>
      <c r="X91" s="258"/>
      <c r="Y91" s="245"/>
      <c r="Z91" s="246"/>
      <c r="AA91" s="240"/>
      <c r="AB91" s="244"/>
      <c r="AC91" s="245"/>
      <c r="AD91" s="246"/>
      <c r="AE91" s="248"/>
      <c r="AF91" s="235" t="str">
        <f>IF(OR(AF90="",AG86&lt;&gt;""),"",AF90*AQ91/SQRT(AT90^2+AT91^2))</f>
        <v/>
      </c>
      <c r="AG91" s="274" t="str">
        <f>IF(AG90="","",100*AG90*AQ91/BA92)</f>
        <v/>
      </c>
      <c r="AH91" s="275"/>
      <c r="AI91" s="260" t="str">
        <f>IF(BA92=0,"",IF(AI86="",AX92/SQRT(AT90^2+AT91^2),IF(AI94="","",IF(AT90&lt;0,-AX90*AQ87/SQRT(AT90^2+AT91^2),AX90*AQ87/SQRT(AT90^2+AT91^2)))))</f>
        <v/>
      </c>
      <c r="AJ91" s="258"/>
      <c r="AK91" s="259"/>
      <c r="AL91" s="187"/>
      <c r="AM91" s="28"/>
      <c r="AN91" s="213" t="b">
        <f>IF(BA90="","",IF(AND(BA90=1,F92=50,L90="oil cooled type"),VLOOKUP(L92,変１,3,FALSE),IF(AND(BA90=1,F92=50,L90="(F)molded type"),VLOOKUP(L92,変１,8,FALSE),IF(AND(BA90=1,F92=60,L90="oil cooled type"),VLOOKUP(L92,変１,13,FALSE),IF(AND(BA90=1,F92=60,L90="(F)molded type"),VLOOKUP(L92,変１,18,FALSE),FALSE)))))</f>
        <v>0</v>
      </c>
      <c r="AO91" s="213">
        <f>IF(ISNA(VLOOKUP(L92,変ＵＳＥＲ,3,FALSE)),0,VLOOKUP(L92,変ＵＳＥＲ,3,FALSE)*BA93/50)</f>
        <v>0</v>
      </c>
      <c r="AP91" s="214">
        <f>IF(W90="",0,W90*1000/BA92^2/SQRT(BA90))</f>
        <v>0</v>
      </c>
      <c r="AQ91" s="213">
        <f>IF(AND(BA90=1,BA91=2),1,IF(AND(BA90=3,BA91=3),1,IF(AND(BA90=1,BA91=3),2,IF(AND(BA90=3,BA91=4)*OR(BB90=1,BB91=1,BB92=1,BB93=1),1,SQRT(3)))))</f>
        <v>1.7320508075688772</v>
      </c>
      <c r="AR91" s="215" t="str">
        <f>IF(X90="","",IF(X90="600V IV",VLOOKUP(X92,ＩＶ,3,FALSE),IF(X90="600V CV-T",VLOOKUP(X92,ＣＶＴ,3,FALSE),IF(OR(X90="600V CV-1C",X90="600V CV-2C",X90="600V CV-3C",X90="600V CV-4C"),VLOOKUP(X92,ＣＶ２３Ｃ,3,FALSE),VLOOKUP(X92,ＣＵＳＥＲ,3,FALSE)))))</f>
        <v/>
      </c>
      <c r="AS91" s="213" t="str">
        <f>IF(AD93="",AP93,AP93+(AD93/1000))</f>
        <v/>
      </c>
      <c r="AT91" s="216" t="str">
        <f>IF(AU93="",AT93,AU93)</f>
        <v/>
      </c>
      <c r="AU91" s="216" t="str">
        <f>IF(D90="","",IF(AND(D350="",#REF!&lt;&gt;"",AV93=#REF!),#REF!,IF(AND(D350="",#REF!="",#REF!&lt;&gt;"",AV353=#REF!),#REF!,IF(AND(D350="",#REF!="",#REF!="",#REF!&lt;&gt;"",#REF!=#REF!),#REF!,IF(AND(D350="",#REF!="",#REF!="",#REF!="",D354&lt;&gt;"",#REF!=#REF!),AT355,IF(AND(D350="",#REF!="",#REF!="",#REF!="",D354="",#REF!&lt;&gt;"",#REF!=AV358),AT356,IF(AND(D350="",#REF!="",#REF!="",#REF!="",D354="",#REF!="",D359&lt;&gt;"",#REF!=AV362),AT360,"")))))))</f>
        <v/>
      </c>
      <c r="AV91" s="215" t="str">
        <f>IF(L90="ACG",IF(ISNA(VLOOKUP(L92,ＡＣＧ,3,FALSE)),0,VLOOKUP(L92,ＡＣＧ,3,FALSE)*BA93/50),"")</f>
        <v/>
      </c>
      <c r="AW91" s="217" t="str">
        <f>IF(AT91="","",(AT91-AP90*(AT90^2+AT91^2))/((AT90*AP90)^2+(AP90*AT91-1)^2))</f>
        <v/>
      </c>
      <c r="AX91" s="218"/>
      <c r="AY91" s="219">
        <f>IF(N(AY93)=10^30,10^30,IF(N(AY353)=10^30,(N(AY93)*(N(AY352)^2+N(AY353)^2)+N(AY353)*(N(AY92)^2+N(AY93)^2))/((N(AY92)+N(AY352))^2+(N(AY93)+N(AY353))^2),(N(AY93)*(N(AY350)^2+N(AY351)^2)+N(AY351)*(N(AY92)^2+N(AY93)^2))/((N(AY92)+N(AY350))^2+(N(AY93)+N(AY351))^2)))</f>
        <v>1E+30</v>
      </c>
      <c r="AZ91" s="23"/>
      <c r="BA91" s="220">
        <f>IF(AND(H90="",SUM(S90:S93)&lt;&gt;0),BA87,H90)</f>
        <v>0</v>
      </c>
      <c r="BB91" s="221">
        <f t="shared" si="2"/>
        <v>0</v>
      </c>
      <c r="BC91" s="232"/>
      <c r="BD91" s="232"/>
    </row>
    <row r="92" spans="1:56" ht="15" customHeight="1">
      <c r="B92" s="85"/>
      <c r="C92" s="271"/>
      <c r="D92" s="409"/>
      <c r="E92" s="362"/>
      <c r="F92" s="413"/>
      <c r="G92" s="414"/>
      <c r="H92" s="414"/>
      <c r="I92" s="414"/>
      <c r="J92" s="414"/>
      <c r="K92" s="415"/>
      <c r="L92" s="416"/>
      <c r="M92" s="275"/>
      <c r="N92" s="412"/>
      <c r="O92" s="198"/>
      <c r="P92" s="93"/>
      <c r="Q92" s="202"/>
      <c r="R92" s="91"/>
      <c r="S92" s="92" t="str">
        <f>IF(R93="","",IF(Q93="",P93/R93,P93/(Q93*R93)))</f>
        <v/>
      </c>
      <c r="T92" s="200"/>
      <c r="U92" s="203" t="str">
        <f>IF(OR(BA92="",S92=""),"",S92*1000*T92/(SQRT(BA90)*BA92))</f>
        <v/>
      </c>
      <c r="V92" s="94" t="str">
        <f>IF(AND(N(U90)=0,N(U91)=0,N(U92)=0,N(U93)=0),"",V90*(P90*R90*T90+P91*R91*T91+P92*R92*T92+P93*R93*T93)/(P90*T90+P91*T91+P92*T92+P93*T93))</f>
        <v/>
      </c>
      <c r="W92" s="276" t="str">
        <f>IF(AND(N(AP92)=0,N(AP93)=0,N(AP91)=0),"",IF(AP93&gt;=0,COS(ATAN(AP93/AP92)),-COS(ATAN(AP93/AP92))))</f>
        <v/>
      </c>
      <c r="X92" s="95"/>
      <c r="Y92" s="204"/>
      <c r="Z92" s="96"/>
      <c r="AA92" s="97"/>
      <c r="AB92" s="98"/>
      <c r="AC92" s="204"/>
      <c r="AD92" s="96"/>
      <c r="AE92" s="99"/>
      <c r="AF92" s="236" t="str">
        <f>IF(OR(AF90="",AG86&lt;&gt;""),"",BA92/SQRT(AW92^2+AW93^2))</f>
        <v/>
      </c>
      <c r="AG92" s="274" t="str">
        <f>IF(AG90="","",100*((BA92/AQ91)-AG90)/(BA92/AQ91))</f>
        <v/>
      </c>
      <c r="AH92" s="275"/>
      <c r="AI92" s="261"/>
      <c r="AJ92" s="262"/>
      <c r="AK92" s="264"/>
      <c r="AL92" s="188"/>
      <c r="AM92" s="28"/>
      <c r="AN92" s="222" t="b">
        <f>IF(BA90="","",IF(AND(BA90=3,F92=50,L90="oil cooled type"),VLOOKUP(L92,変３,2,FALSE),IF(AND(BA90=3,F92=50,L90="(F)molded type"),VLOOKUP(L92,変３,7,FALSE),IF(AND(BA90=3,F92=60,L90="oil cooled type"),VLOOKUP(L92,変３,12,FALSE),IF(AND(BA90=3,F92=60,L90="(F)molded type"),VLOOKUP(L92,変３,17,FALSE),FALSE)))))</f>
        <v>0</v>
      </c>
      <c r="AO92" s="215" t="str">
        <f>IF(AND(L86="",N(AY90)&lt;10^29),AY90,"")</f>
        <v/>
      </c>
      <c r="AP92" s="223" t="str">
        <f>IF(V90="","",IF(AND(N(V92)=0,N(AP91)=0),"",AQ92/((AQ92*AP91)^2+(AP91*AQ93-1)^2)))</f>
        <v/>
      </c>
      <c r="AQ92" s="213">
        <f>IF(N(V92)=0,10^30,V92)</f>
        <v>1E+30</v>
      </c>
      <c r="AR92" s="215" t="str">
        <f>IF(AB90="","",IF(AB90="600V IV",VLOOKUP(AB92,ＩＶ,2,FALSE),IF(AB90="600V CV-T",VLOOKUP(AB92,ＣＶＴ,2,FALSE),IF(OR(AB90="600V CV-1C",AB90="600V CV-2C",AB90="600V CV-3C",AB90="600V CV-4C"),VLOOKUP(AB92,ＣＶ２３Ｃ,2,FALSE),VLOOKUP(AB92,ＣＵＳＥＲ,2,FALSE)))))</f>
        <v/>
      </c>
      <c r="AS92" s="213" t="str">
        <f>IF(OR(AND(AS350="",AS351=""),AND(D90="",D350&lt;&gt;"")),AS90,(AS90*(AT350^2+AT351^2)+AT350*(AS90^2+AS91^2))/((AS90+AT350)^2+(AS91+AT351)^2))</f>
        <v/>
      </c>
      <c r="AT92" s="216" t="str">
        <f>IF(X93="",AS92,N(AS92)+(X93/1000))</f>
        <v/>
      </c>
      <c r="AU92" s="216" t="str">
        <f>IF(AU90="","",(AT92*(AU90^2+AU91^2)+AU90*(AT92^2+AT93^2))/((AT92+AU90)^2+(AT93+AU91)^2))</f>
        <v/>
      </c>
      <c r="AV92" s="216">
        <f>IF(BA92=0,1,0)</f>
        <v>1</v>
      </c>
      <c r="AW92" s="217" t="str">
        <f>IF(AO92="","",AW90+AO92)</f>
        <v/>
      </c>
      <c r="AX92" s="218" t="str">
        <f>IF(AND(AX88="",AW92&lt;&gt;""),BA92*SQRT(AW90^2+AW91^2)/SQRT(AW92^2+AW93^2),IF(BA92&lt;&gt;0,AX88,""))</f>
        <v/>
      </c>
      <c r="AY92" s="224">
        <f>IF(L92="",10^30,SQRT(BA90)*(BA92^2)*(N(AN90)+N(AN92)+N(AO90)+N(AV90))/(100000*L92*M90))</f>
        <v>1E+30</v>
      </c>
      <c r="AZ92" s="225"/>
      <c r="BA92" s="220">
        <f>IF(AND(J90="",SUM(S90:S93)&lt;&gt;0),BA88,J90)</f>
        <v>0</v>
      </c>
      <c r="BB92" s="221">
        <f t="shared" si="2"/>
        <v>0</v>
      </c>
      <c r="BC92" s="232"/>
      <c r="BD92" s="232"/>
    </row>
    <row r="93" spans="1:56" ht="15" customHeight="1">
      <c r="A93" s="85"/>
      <c r="B93" s="85"/>
      <c r="C93" s="271"/>
      <c r="D93" s="417"/>
      <c r="E93" s="418"/>
      <c r="F93" s="419"/>
      <c r="G93" s="270"/>
      <c r="H93" s="270"/>
      <c r="I93" s="270"/>
      <c r="J93" s="270"/>
      <c r="K93" s="268"/>
      <c r="L93" s="251" t="str">
        <f>IF(M90="","",L92*1000*M90/(SQRT(BA90)*BA92))</f>
        <v/>
      </c>
      <c r="M93" s="252"/>
      <c r="N93" s="277"/>
      <c r="O93" s="205"/>
      <c r="P93" s="106"/>
      <c r="Q93" s="206"/>
      <c r="R93" s="107"/>
      <c r="S93" s="108" t="str">
        <f>IF(R93="","",IF(Q93="",P93/R93,P93/(Q93*R93)))</f>
        <v/>
      </c>
      <c r="T93" s="207"/>
      <c r="U93" s="208" t="str">
        <f>IF(OR(BA92="",S93=""),"",S93*1000*T93/(SQRT(BA90)*BA92))</f>
        <v/>
      </c>
      <c r="V93" s="109" t="str">
        <f>IF(AND(N(U90)=0,N(U91)=0,N(U92)=0,N(U93)=0),"",IF(V90&gt;=0,SQRT(ABS(V90^2-V92^2)),-SQRT(V90^2-V92^2)))</f>
        <v/>
      </c>
      <c r="W93" s="277"/>
      <c r="X93" s="278" t="str">
        <f>IF(Y92="","",AQ90*Z92*AR90*((1+0.00393*(F93-20))/1.2751)/Y92)</f>
        <v/>
      </c>
      <c r="Y93" s="270"/>
      <c r="Z93" s="267" t="str">
        <f>IF(Y92="","",(BA93/50)*AQ90*Z92*AR91/Y92)</f>
        <v/>
      </c>
      <c r="AA93" s="252"/>
      <c r="AB93" s="279" t="str">
        <f>IF(AC92="","",AQ90*AD92*AR92*((1+0.00393*(F93-20))/1.2751)/AC92)</f>
        <v/>
      </c>
      <c r="AC93" s="270"/>
      <c r="AD93" s="267" t="str">
        <f>IF(AC92="","",(BA93/50)*AQ90*AD92*AR93/AC92)</f>
        <v/>
      </c>
      <c r="AE93" s="268"/>
      <c r="AF93" s="237" t="str">
        <f>IF(AND(AX90&lt;&gt;"",D90=""),AX90,"")</f>
        <v/>
      </c>
      <c r="AG93" s="269" t="str">
        <f>IF(AP92="","",AP92)</f>
        <v/>
      </c>
      <c r="AH93" s="270"/>
      <c r="AI93" s="238" t="str">
        <f>IF(AP93="","",AP93)</f>
        <v/>
      </c>
      <c r="AJ93" s="263"/>
      <c r="AK93" s="253"/>
      <c r="AL93" s="189"/>
      <c r="AM93" s="28"/>
      <c r="AN93" s="226" t="b">
        <f>IF(BA90="","",IF(AND(BA90=3,F92=50,L90="oil cooled type"),VLOOKUP(L92,変３,3,FALSE),IF(AND(BA90=3,F92=50,L90="(F)molded type"),VLOOKUP(L92,変３,8,FALSE),IF(AND(BA90=3,F92=60,L90="oil cooled type"),VLOOKUP(L92,変３,13,FALSE),IF(AND(BA90=3,F92=60,L90="(F)molded type"),VLOOKUP(L92,変３,18,FALSE),FALSE)))))</f>
        <v>0</v>
      </c>
      <c r="AO93" s="226" t="str">
        <f>IF(AND(L86="",N(AY91)&lt;10^29),AY91,"")</f>
        <v/>
      </c>
      <c r="AP93" s="227" t="str">
        <f>IF(V90="","",IF(AND(N(V93)=0,N(AP91)=0),0,(AQ93-AP91*(AQ92^2+AQ93^2))/((AQ92*AP91)^2+(AP91*AQ93-1)^2)))</f>
        <v/>
      </c>
      <c r="AQ93" s="228">
        <f>IF(N(V93)=0,10^30,V93)</f>
        <v>1E+30</v>
      </c>
      <c r="AR93" s="226" t="str">
        <f>IF(AB90="","",IF(AB90="600V IV",VLOOKUP(AB92,ＩＶ,3,FALSE),IF(AB90="600V CV-T",VLOOKUP(AB92,ＣＶＴ,3,FALSE),IF(OR(AB90="600V CV-1C",AB90="600V CV-2C",AB90="600V CV-3C",AB90="600V CV-4C"),VLOOKUP(AB92,ＣＶ２３Ｃ,3,FALSE),VLOOKUP(AB92,ＣＵＳＥＲ,3,FALSE)))))</f>
        <v/>
      </c>
      <c r="AS93" s="228" t="str">
        <f>IF(OR(AND(AS350="",AS351=""),AND(D90="",D350&lt;&gt;"")),AS91,(AS91*(AT350^2+AT351^2)+AT351*(AS90^2+AS91^2))/((AS90+AT350)^2+(AS91+AT351)^2))</f>
        <v/>
      </c>
      <c r="AT93" s="229" t="str">
        <f>IF(Z93="",AS93,N(AS93)+(Z93/1000))</f>
        <v/>
      </c>
      <c r="AU93" s="229" t="str">
        <f>IF(AU91="","",(AT93*(AU90^2+AU91^2)+AU91*(AT92^2+AT93^2))/((AT92+AU90)^2+(AT93+AU91)^2))</f>
        <v/>
      </c>
      <c r="AV93" s="229">
        <f>AV89+AV92</f>
        <v>19</v>
      </c>
      <c r="AW93" s="228" t="str">
        <f>IF(AO93="","",AW91+AO93)</f>
        <v/>
      </c>
      <c r="AX93" s="230"/>
      <c r="AY93" s="224">
        <f>IF(L92="",10^30,SQRT(BA90)*(BA92^2)*(N(AN91)+N(AN93)+N(AO91)+N(AV91))/(100000*L92*M90))</f>
        <v>1E+30</v>
      </c>
      <c r="AZ93" s="225"/>
      <c r="BA93" s="220">
        <f>IF(AND(F92="",SUM(S90:S93)&lt;&gt;0),BA89,F92)</f>
        <v>0</v>
      </c>
      <c r="BB93" s="221">
        <f t="shared" si="2"/>
        <v>0</v>
      </c>
      <c r="BC93" s="232"/>
      <c r="BD93" s="232"/>
    </row>
    <row r="94" spans="1:56" ht="15" customHeight="1">
      <c r="B94" s="85"/>
      <c r="C94" s="271" t="str">
        <f>IF(BC94=1,"●","・")</f>
        <v>・</v>
      </c>
      <c r="D94" s="402"/>
      <c r="E94" s="403"/>
      <c r="F94" s="404"/>
      <c r="G94" s="265" t="str">
        <f>IF(F94="","","φ")</f>
        <v/>
      </c>
      <c r="H94" s="405"/>
      <c r="I94" s="265" t="str">
        <f>IF(H94="","","W")</f>
        <v/>
      </c>
      <c r="J94" s="405"/>
      <c r="K94" s="272" t="str">
        <f>IF(J94="","","V")</f>
        <v/>
      </c>
      <c r="L94" s="406"/>
      <c r="M94" s="407"/>
      <c r="N94" s="408"/>
      <c r="O94" s="193"/>
      <c r="P94" s="86"/>
      <c r="Q94" s="194"/>
      <c r="R94" s="87"/>
      <c r="S94" s="88" t="str">
        <f>IF(R94="","",IF(Q94="",P94/R94,P94/(Q94*R94)))</f>
        <v/>
      </c>
      <c r="T94" s="195"/>
      <c r="U94" s="196" t="str">
        <f>IF(OR(BA96="",S94=""),"",S94*1000*T94/(SQRT(BA94)*BA96))</f>
        <v/>
      </c>
      <c r="V94" s="254" t="str">
        <f>IF(AND(N(U94)=0,N(U95)=0,N(U96)=0,N(U97)=0),"",BA96/(SUM(U94:U97)))</f>
        <v/>
      </c>
      <c r="W94" s="280"/>
      <c r="X94" s="281"/>
      <c r="Y94" s="242"/>
      <c r="Z94" s="243"/>
      <c r="AA94" s="239"/>
      <c r="AB94" s="241"/>
      <c r="AC94" s="242"/>
      <c r="AD94" s="243"/>
      <c r="AE94" s="247"/>
      <c r="AF94" s="233" t="str">
        <f>IF(OR(AND(AF90="",N(BA92)=0,BA96&lt;&gt;0),D94&lt;&gt;""),AX96/AQ95,"")</f>
        <v/>
      </c>
      <c r="AG94" s="249" t="str">
        <f>IF(BA96=0,"",IF(AD96="",AX94,IF(AND(D94&lt;&gt;"",AU94=""),AX96*SQRT(AP96^2+AP97^2)/SQRT(AS94^2+AS95^2)/AQ95,AX94*SQRT(AP96^2+AP97^2)/SQRT(AS94^2+AS95^2))))</f>
        <v/>
      </c>
      <c r="AH94" s="250"/>
      <c r="AI94" s="234" t="str">
        <f>IF(AG94="","",IF(N(U94)&lt;0,-AX94*AQ95/SQRT(AS94^2+AS95^2),AX94*AQ95/SQRT(AS94^2+AS95^2)))</f>
        <v/>
      </c>
      <c r="AJ94" s="256"/>
      <c r="AK94" s="257"/>
      <c r="AL94" s="186"/>
      <c r="AM94" s="28"/>
      <c r="AN94" s="213" t="b">
        <f>IF(BA94="","",IF(AND(BA94=1,F96=50,L94="oil cooled type"),VLOOKUP(L96,変１,2,FALSE),IF(AND(BA94=1,F96=50,L94="(F)molded type"),VLOOKUP(L96,変１,7,FALSE),IF(AND(BA94=1,F96=60,L94="oil cooled type"),VLOOKUP(L96,変１,12,FALSE),IF(AND(BA94=1,F96=60,L94="(F)molded type"),VLOOKUP(L96,変１,17,FALSE),FALSE)))))</f>
        <v>0</v>
      </c>
      <c r="AO94" s="213">
        <f>IF(ISNA(VLOOKUP(L96,変ＵＳＥＲ,2,FALSE)),0,VLOOKUP(L96,変ＵＳＥＲ,2,FALSE))</f>
        <v>0</v>
      </c>
      <c r="AP94" s="214">
        <f>IF(N94="",0,N94*1000/BA96^2/SQRT(BA94))</f>
        <v>0</v>
      </c>
      <c r="AQ94" s="213" t="b">
        <f>IF(BA94=1,2,IF(BA94=3,SQRT(3),FALSE))</f>
        <v>0</v>
      </c>
      <c r="AR94" s="215" t="str">
        <f>IF(X94="","",IF(X94="600V IV",VLOOKUP(X96,ＩＶ,2,FALSE),IF(X94="600V CV-T",VLOOKUP(X96,ＣＶＴ,2,FALSE),IF(OR(X94="600V CV-1C",X94="600V CV-2C",X94="600V CV-3C",X94="600V CV-4C"),VLOOKUP(X96,ＣＶ２３Ｃ,2,FALSE),VLOOKUP(X96,ＣＵＳＥＲ,2,FALSE)))))</f>
        <v/>
      </c>
      <c r="AS94" s="213" t="str">
        <f>IF(AB97="",AP96,AP96+(AB97/1000))</f>
        <v/>
      </c>
      <c r="AT94" s="216" t="str">
        <f>IF(AU96="",AT96,AU96)</f>
        <v/>
      </c>
      <c r="AU94" s="216" t="str">
        <f>IF(D94="","",IF(AND(D354="",#REF!&lt;&gt;"",AV97=#REF!),#REF!,IF(AND(D354="",#REF!="",#REF!&lt;&gt;"",AV357=#REF!),#REF!,IF(AND(D354="",#REF!="",#REF!="",#REF!&lt;&gt;"",#REF!=#REF!),#REF!,IF(AND(D354="",#REF!="",#REF!="",#REF!="",D358&lt;&gt;"",#REF!=#REF!),AT358,IF(AND(D354="",#REF!="",#REF!="",#REF!="",D358="",#REF!&lt;&gt;"",#REF!=AV362),#REF!,IF(AND(D354="",#REF!="",#REF!="",#REF!="",D358="",#REF!="",D363&lt;&gt;"",#REF!=AV366),AT363,"")))))))</f>
        <v/>
      </c>
      <c r="AV94" s="216" t="str">
        <f>IF(L94="ACG",IF(ISNA(VLOOKUP(L96,ＡＣＧ,2,FALSE)),0,VLOOKUP(L96,ＡＣＧ,2,FALSE)),"")</f>
        <v/>
      </c>
      <c r="AW94" s="217" t="str">
        <f>IF(AT94="","",AT94/((AT94*AP94)^2+(AT95*AP94-1)^2))</f>
        <v/>
      </c>
      <c r="AX94" s="218" t="str">
        <f>IF(BA96=0,"",IF(OR(AX90="",AF94&lt;&gt;""),AF94*SQRT(AS96^2+AS97^2)/SQRT(AT96^2+AT97^2),AX90*SQRT(AS96^2+AS97^2)/SQRT(AT96^2+AT97^2)))</f>
        <v/>
      </c>
      <c r="AY94" s="219">
        <f>IF(N(AY96)=10^30,10^30,IF(N(AY356)=10^30,(N(AY96)*(N(AY356)^2+N(AY357)^2)+N(AY356)*(N(AY96)^2+N(AY97)^2))/((N(AY96)+N(AY356))^2+(N(AY97)+N(AY357))^2),(N(AY96)*(N(AY354)^2+N(AY355)^2)+N(AY354)*(N(AY96)^2+N(AY97)^2))/((N(AY96)+N(AY354))^2+(N(AY97)+N(AY355))^2)))</f>
        <v>1E+30</v>
      </c>
      <c r="AZ94" s="23"/>
      <c r="BA94" s="220">
        <f>IF(AND(F94="",SUM(S94:S97)&lt;&gt;0),BA90,F94)</f>
        <v>0</v>
      </c>
      <c r="BB94" s="221">
        <f t="shared" si="2"/>
        <v>0</v>
      </c>
      <c r="BC94" s="232">
        <f>IF(OR(E94="",F97="",AND(OR(P94="",Q94="",R94="",T94=""),OR(P95="",Q95="",R95="",T95=""),OR(P96="",Q96="",R96="",T96=""),OR(P97="",Q97="",R97="",T97="")),AND(OR(X94="",X96="",Y96="",Z96=""),OR(AB94="",AB96="",AC96="",AD96=""))),0,1)</f>
        <v>0</v>
      </c>
      <c r="BD94" s="232">
        <f>BC94+BD90</f>
        <v>0</v>
      </c>
    </row>
    <row r="95" spans="1:56" ht="15" customHeight="1">
      <c r="B95" s="85"/>
      <c r="C95" s="271"/>
      <c r="D95" s="409"/>
      <c r="E95" s="362"/>
      <c r="F95" s="410"/>
      <c r="G95" s="266"/>
      <c r="H95" s="266"/>
      <c r="I95" s="266"/>
      <c r="J95" s="266"/>
      <c r="K95" s="273"/>
      <c r="L95" s="411"/>
      <c r="M95" s="197" t="str">
        <f>IF(L94="ACG",SQRT(AV94^2+AV95^2),IF(L96="","",IF(OR(L94="oil cooled type",L94="(F)molded type"),IF(BA94=1,SQRT(AN94^2+AN95^2),IF(BA94=3,SQRT(AN96^2+AN97^2))),SQRT(AO94^2+AO95^2))))</f>
        <v/>
      </c>
      <c r="N95" s="412"/>
      <c r="O95" s="198"/>
      <c r="P95" s="90"/>
      <c r="Q95" s="199"/>
      <c r="R95" s="91"/>
      <c r="S95" s="92" t="str">
        <f>IF(R96="","",IF(Q96="",P96/R96,P96/(Q96*R96)))</f>
        <v/>
      </c>
      <c r="T95" s="200"/>
      <c r="U95" s="201" t="str">
        <f>IF(OR(BA96="",S95=""),"",S95*1000*T95/(SQRT(BA94)*BA96))</f>
        <v/>
      </c>
      <c r="V95" s="255"/>
      <c r="W95" s="248"/>
      <c r="X95" s="258"/>
      <c r="Y95" s="245"/>
      <c r="Z95" s="246"/>
      <c r="AA95" s="240"/>
      <c r="AB95" s="244"/>
      <c r="AC95" s="245"/>
      <c r="AD95" s="246"/>
      <c r="AE95" s="248"/>
      <c r="AF95" s="235" t="str">
        <f>IF(OR(AF94="",AG90&lt;&gt;""),"",AF94*AQ95/SQRT(AT94^2+AT95^2))</f>
        <v/>
      </c>
      <c r="AG95" s="274" t="str">
        <f>IF(AG94="","",100*AG94*AQ95/BA96)</f>
        <v/>
      </c>
      <c r="AH95" s="275"/>
      <c r="AI95" s="260" t="str">
        <f>IF(BA96=0,"",IF(AI90="",AX96/SQRT(AT94^2+AT95^2),IF(AI98="","",IF(AT94&lt;0,-AX94*AQ91/SQRT(AT94^2+AT95^2),AX94*AQ91/SQRT(AT94^2+AT95^2)))))</f>
        <v/>
      </c>
      <c r="AJ95" s="258"/>
      <c r="AK95" s="259"/>
      <c r="AL95" s="187"/>
      <c r="AM95" s="28"/>
      <c r="AN95" s="213" t="b">
        <f>IF(BA94="","",IF(AND(BA94=1,F96=50,L94="oil cooled type"),VLOOKUP(L96,変１,3,FALSE),IF(AND(BA94=1,F96=50,L94="(F)molded type"),VLOOKUP(L96,変１,8,FALSE),IF(AND(BA94=1,F96=60,L94="oil cooled type"),VLOOKUP(L96,変１,13,FALSE),IF(AND(BA94=1,F96=60,L94="(F)molded type"),VLOOKUP(L96,変１,18,FALSE),FALSE)))))</f>
        <v>0</v>
      </c>
      <c r="AO95" s="213">
        <f>IF(ISNA(VLOOKUP(L96,変ＵＳＥＲ,3,FALSE)),0,VLOOKUP(L96,変ＵＳＥＲ,3,FALSE)*BA97/50)</f>
        <v>0</v>
      </c>
      <c r="AP95" s="214">
        <f>IF(W94="",0,W94*1000/BA96^2/SQRT(BA94))</f>
        <v>0</v>
      </c>
      <c r="AQ95" s="213">
        <f>IF(AND(BA94=1,BA95=2),1,IF(AND(BA94=3,BA95=3),1,IF(AND(BA94=1,BA95=3),2,IF(AND(BA94=3,BA95=4)*OR(BB94=1,BB95=1,BB96=1,BB97=1),1,SQRT(3)))))</f>
        <v>1.7320508075688772</v>
      </c>
      <c r="AR95" s="215" t="str">
        <f>IF(X94="","",IF(X94="600V IV",VLOOKUP(X96,ＩＶ,3,FALSE),IF(X94="600V CV-T",VLOOKUP(X96,ＣＶＴ,3,FALSE),IF(OR(X94="600V CV-1C",X94="600V CV-2C",X94="600V CV-3C",X94="600V CV-4C"),VLOOKUP(X96,ＣＶ２３Ｃ,3,FALSE),VLOOKUP(X96,ＣＵＳＥＲ,3,FALSE)))))</f>
        <v/>
      </c>
      <c r="AS95" s="213" t="str">
        <f>IF(AD97="",AP97,AP97+(AD97/1000))</f>
        <v/>
      </c>
      <c r="AT95" s="216" t="str">
        <f>IF(AU97="",AT97,AU97)</f>
        <v/>
      </c>
      <c r="AU95" s="216" t="str">
        <f>IF(D94="","",IF(AND(D354="",#REF!&lt;&gt;"",AV97=#REF!),#REF!,IF(AND(D354="",#REF!="",#REF!&lt;&gt;"",AV357=#REF!),#REF!,IF(AND(D354="",#REF!="",#REF!="",#REF!&lt;&gt;"",#REF!=#REF!),#REF!,IF(AND(D354="",#REF!="",#REF!="",#REF!="",D358&lt;&gt;"",#REF!=#REF!),AT359,IF(AND(D354="",#REF!="",#REF!="",#REF!="",D358="",#REF!&lt;&gt;"",#REF!=AV362),AT360,IF(AND(D354="",#REF!="",#REF!="",#REF!="",D358="",#REF!="",D363&lt;&gt;"",#REF!=AV366),AT364,"")))))))</f>
        <v/>
      </c>
      <c r="AV95" s="215" t="str">
        <f>IF(L94="ACG",IF(ISNA(VLOOKUP(L96,ＡＣＧ,3,FALSE)),0,VLOOKUP(L96,ＡＣＧ,3,FALSE)*BA97/50),"")</f>
        <v/>
      </c>
      <c r="AW95" s="217" t="str">
        <f>IF(AT95="","",(AT95-AP94*(AT94^2+AT95^2))/((AT94*AP94)^2+(AP94*AT95-1)^2))</f>
        <v/>
      </c>
      <c r="AX95" s="218"/>
      <c r="AY95" s="219">
        <f>IF(N(AY97)=10^30,10^30,IF(N(AY357)=10^30,(N(AY97)*(N(AY356)^2+N(AY357)^2)+N(AY357)*(N(AY96)^2+N(AY97)^2))/((N(AY96)+N(AY356))^2+(N(AY97)+N(AY357))^2),(N(AY97)*(N(AY354)^2+N(AY355)^2)+N(AY355)*(N(AY96)^2+N(AY97)^2))/((N(AY96)+N(AY354))^2+(N(AY97)+N(AY355))^2)))</f>
        <v>1E+30</v>
      </c>
      <c r="AZ95" s="23"/>
      <c r="BA95" s="220">
        <f>IF(AND(H94="",SUM(S94:S97)&lt;&gt;0),BA91,H94)</f>
        <v>0</v>
      </c>
      <c r="BB95" s="221">
        <f t="shared" si="2"/>
        <v>0</v>
      </c>
      <c r="BC95" s="232"/>
      <c r="BD95" s="232"/>
    </row>
    <row r="96" spans="1:56" ht="15" customHeight="1">
      <c r="B96" s="85"/>
      <c r="C96" s="271"/>
      <c r="D96" s="409"/>
      <c r="E96" s="362"/>
      <c r="F96" s="413"/>
      <c r="G96" s="414"/>
      <c r="H96" s="414"/>
      <c r="I96" s="414"/>
      <c r="J96" s="414"/>
      <c r="K96" s="415"/>
      <c r="L96" s="416"/>
      <c r="M96" s="275"/>
      <c r="N96" s="412"/>
      <c r="O96" s="198"/>
      <c r="P96" s="93"/>
      <c r="Q96" s="202"/>
      <c r="R96" s="91"/>
      <c r="S96" s="92" t="str">
        <f>IF(R97="","",IF(Q97="",P97/R97,P97/(Q97*R97)))</f>
        <v/>
      </c>
      <c r="T96" s="200"/>
      <c r="U96" s="203" t="str">
        <f>IF(OR(BA96="",S96=""),"",S96*1000*T96/(SQRT(BA94)*BA96))</f>
        <v/>
      </c>
      <c r="V96" s="94" t="str">
        <f>IF(AND(N(U94)=0,N(U95)=0,N(U96)=0,N(U97)=0),"",V94*(P94*R94*T94+P95*R95*T95+P96*R96*T96+P97*R97*T97)/(P94*T94+P95*T95+P96*T96+P97*T97))</f>
        <v/>
      </c>
      <c r="W96" s="276" t="str">
        <f>IF(AND(N(AP96)=0,N(AP97)=0,N(AP95)=0),"",IF(AP97&gt;=0,COS(ATAN(AP97/AP96)),-COS(ATAN(AP97/AP96))))</f>
        <v/>
      </c>
      <c r="X96" s="95"/>
      <c r="Y96" s="204"/>
      <c r="Z96" s="96"/>
      <c r="AA96" s="97"/>
      <c r="AB96" s="98"/>
      <c r="AC96" s="204"/>
      <c r="AD96" s="96"/>
      <c r="AE96" s="99"/>
      <c r="AF96" s="236" t="str">
        <f>IF(OR(AF94="",AG90&lt;&gt;""),"",BA96/SQRT(AW96^2+AW97^2))</f>
        <v/>
      </c>
      <c r="AG96" s="274" t="str">
        <f>IF(AG94="","",100*((BA96/AQ95)-AG94)/(BA96/AQ95))</f>
        <v/>
      </c>
      <c r="AH96" s="275"/>
      <c r="AI96" s="261"/>
      <c r="AJ96" s="262"/>
      <c r="AK96" s="264"/>
      <c r="AL96" s="188"/>
      <c r="AM96" s="28"/>
      <c r="AN96" s="222" t="b">
        <f>IF(BA94="","",IF(AND(BA94=3,F96=50,L94="oil cooled type"),VLOOKUP(L96,変３,2,FALSE),IF(AND(BA94=3,F96=50,L94="(F)molded type"),VLOOKUP(L96,変３,7,FALSE),IF(AND(BA94=3,F96=60,L94="oil cooled type"),VLOOKUP(L96,変３,12,FALSE),IF(AND(BA94=3,F96=60,L94="(F)molded type"),VLOOKUP(L96,変３,17,FALSE),FALSE)))))</f>
        <v>0</v>
      </c>
      <c r="AO96" s="215" t="str">
        <f>IF(AND(L90="",N(AY94)&lt;10^29),AY94,"")</f>
        <v/>
      </c>
      <c r="AP96" s="223" t="str">
        <f>IF(V94="","",IF(AND(N(V96)=0,N(AP95)=0),"",AQ96/((AQ96*AP95)^2+(AP95*AQ97-1)^2)))</f>
        <v/>
      </c>
      <c r="AQ96" s="213">
        <f>IF(N(V96)=0,10^30,V96)</f>
        <v>1E+30</v>
      </c>
      <c r="AR96" s="215" t="str">
        <f>IF(AB94="","",IF(AB94="600V IV",VLOOKUP(AB96,ＩＶ,2,FALSE),IF(AB94="600V CV-T",VLOOKUP(AB96,ＣＶＴ,2,FALSE),IF(OR(AB94="600V CV-1C",AB94="600V CV-2C",AB94="600V CV-3C",AB94="600V CV-4C"),VLOOKUP(AB96,ＣＶ２３Ｃ,2,FALSE),VLOOKUP(AB96,ＣＵＳＥＲ,2,FALSE)))))</f>
        <v/>
      </c>
      <c r="AS96" s="213" t="str">
        <f>IF(OR(AND(AS354="",AS355=""),AND(D94="",D354&lt;&gt;"")),AS94,(AS94*(AT354^2+AT355^2)+AT354*(AS94^2+AS95^2))/((AS94+AT354)^2+(AS95+AT355)^2))</f>
        <v/>
      </c>
      <c r="AT96" s="216" t="str">
        <f>IF(X97="",AS96,N(AS96)+(X97/1000))</f>
        <v/>
      </c>
      <c r="AU96" s="216" t="str">
        <f>IF(AU94="","",(AT96*(AU94^2+AU95^2)+AU94*(AT96^2+AT97^2))/((AT96+AU94)^2+(AT97+AU95)^2))</f>
        <v/>
      </c>
      <c r="AV96" s="216">
        <f>IF(BA96=0,1,0)</f>
        <v>1</v>
      </c>
      <c r="AW96" s="217" t="str">
        <f>IF(AO96="","",AW94+AO96)</f>
        <v/>
      </c>
      <c r="AX96" s="218" t="str">
        <f>IF(AND(AX92="",AW96&lt;&gt;""),BA96*SQRT(AW94^2+AW95^2)/SQRT(AW96^2+AW97^2),IF(BA96&lt;&gt;0,AX92,""))</f>
        <v/>
      </c>
      <c r="AY96" s="224">
        <f>IF(L96="",10^30,SQRT(BA94)*(BA96^2)*(N(AN94)+N(AN96)+N(AO94)+N(AV94))/(100000*L96*M94))</f>
        <v>1E+30</v>
      </c>
      <c r="AZ96" s="225"/>
      <c r="BA96" s="220">
        <f>IF(AND(J94="",SUM(S94:S97)&lt;&gt;0),BA92,J94)</f>
        <v>0</v>
      </c>
      <c r="BB96" s="221">
        <f t="shared" si="2"/>
        <v>0</v>
      </c>
      <c r="BC96" s="232"/>
      <c r="BD96" s="232"/>
    </row>
    <row r="97" spans="1:56" ht="15" customHeight="1">
      <c r="A97" s="85"/>
      <c r="B97" s="85"/>
      <c r="C97" s="271"/>
      <c r="D97" s="417"/>
      <c r="E97" s="418"/>
      <c r="F97" s="419"/>
      <c r="G97" s="270"/>
      <c r="H97" s="270"/>
      <c r="I97" s="270"/>
      <c r="J97" s="270"/>
      <c r="K97" s="268"/>
      <c r="L97" s="251" t="str">
        <f>IF(M94="","",L96*1000*M94/(SQRT(BA94)*BA96))</f>
        <v/>
      </c>
      <c r="M97" s="252"/>
      <c r="N97" s="277"/>
      <c r="O97" s="205"/>
      <c r="P97" s="106"/>
      <c r="Q97" s="206"/>
      <c r="R97" s="107"/>
      <c r="S97" s="108" t="str">
        <f>IF(R97="","",IF(Q97="",P97/R97,P97/(Q97*R97)))</f>
        <v/>
      </c>
      <c r="T97" s="207"/>
      <c r="U97" s="208" t="str">
        <f>IF(OR(BA96="",S97=""),"",S97*1000*T97/(SQRT(BA94)*BA96))</f>
        <v/>
      </c>
      <c r="V97" s="109" t="str">
        <f>IF(AND(N(U94)=0,N(U95)=0,N(U96)=0,N(U97)=0),"",IF(V94&gt;=0,SQRT(ABS(V94^2-V96^2)),-SQRT(V94^2-V96^2)))</f>
        <v/>
      </c>
      <c r="W97" s="277"/>
      <c r="X97" s="278" t="str">
        <f>IF(Y96="","",AQ94*Z96*AR94*((1+0.00393*(F97-20))/1.2751)/Y96)</f>
        <v/>
      </c>
      <c r="Y97" s="270"/>
      <c r="Z97" s="267" t="str">
        <f>IF(Y96="","",(BA97/50)*AQ94*Z96*AR95/Y96)</f>
        <v/>
      </c>
      <c r="AA97" s="252"/>
      <c r="AB97" s="279" t="str">
        <f>IF(AC96="","",AQ94*AD96*AR96*((1+0.00393*(F97-20))/1.2751)/AC96)</f>
        <v/>
      </c>
      <c r="AC97" s="270"/>
      <c r="AD97" s="267" t="str">
        <f>IF(AC96="","",(BA97/50)*AQ94*AD96*AR97/AC96)</f>
        <v/>
      </c>
      <c r="AE97" s="268"/>
      <c r="AF97" s="237" t="str">
        <f>IF(AND(AX94&lt;&gt;"",D94=""),AX94,"")</f>
        <v/>
      </c>
      <c r="AG97" s="269" t="str">
        <f>IF(AP96="","",AP96)</f>
        <v/>
      </c>
      <c r="AH97" s="270"/>
      <c r="AI97" s="238" t="str">
        <f>IF(AP97="","",AP97)</f>
        <v/>
      </c>
      <c r="AJ97" s="263"/>
      <c r="AK97" s="253"/>
      <c r="AL97" s="189"/>
      <c r="AM97" s="28"/>
      <c r="AN97" s="226" t="b">
        <f>IF(BA94="","",IF(AND(BA94=3,F96=50,L94="oil cooled type"),VLOOKUP(L96,変３,3,FALSE),IF(AND(BA94=3,F96=50,L94="(F)molded type"),VLOOKUP(L96,変３,8,FALSE),IF(AND(BA94=3,F96=60,L94="oil cooled type"),VLOOKUP(L96,変３,13,FALSE),IF(AND(BA94=3,F96=60,L94="(F)molded type"),VLOOKUP(L96,変３,18,FALSE),FALSE)))))</f>
        <v>0</v>
      </c>
      <c r="AO97" s="226" t="str">
        <f>IF(AND(L90="",N(AY95)&lt;10^29),AY95,"")</f>
        <v/>
      </c>
      <c r="AP97" s="227" t="str">
        <f>IF(V94="","",IF(AND(N(V97)=0,N(AP95)=0),0,(AQ97-AP95*(AQ96^2+AQ97^2))/((AQ96*AP95)^2+(AP95*AQ97-1)^2)))</f>
        <v/>
      </c>
      <c r="AQ97" s="228">
        <f>IF(N(V97)=0,10^30,V97)</f>
        <v>1E+30</v>
      </c>
      <c r="AR97" s="226" t="str">
        <f>IF(AB94="","",IF(AB94="600V IV",VLOOKUP(AB96,ＩＶ,3,FALSE),IF(AB94="600V CV-T",VLOOKUP(AB96,ＣＶＴ,3,FALSE),IF(OR(AB94="600V CV-1C",AB94="600V CV-2C",AB94="600V CV-3C",AB94="600V CV-4C"),VLOOKUP(AB96,ＣＶ２３Ｃ,3,FALSE),VLOOKUP(AB96,ＣＵＳＥＲ,3,FALSE)))))</f>
        <v/>
      </c>
      <c r="AS97" s="228" t="str">
        <f>IF(OR(AND(AS354="",AS355=""),AND(D94="",D354&lt;&gt;"")),AS95,(AS95*(AT354^2+AT355^2)+AT355*(AS94^2+AS95^2))/((AS94+AT354)^2+(AS95+AT355)^2))</f>
        <v/>
      </c>
      <c r="AT97" s="229" t="str">
        <f>IF(Z97="",AS97,N(AS97)+(Z97/1000))</f>
        <v/>
      </c>
      <c r="AU97" s="229" t="str">
        <f>IF(AU95="","",(AT97*(AU94^2+AU95^2)+AU95*(AT96^2+AT97^2))/((AT96+AU94)^2+(AT97+AU95)^2))</f>
        <v/>
      </c>
      <c r="AV97" s="229">
        <f>AV93+AV96</f>
        <v>20</v>
      </c>
      <c r="AW97" s="228" t="str">
        <f>IF(AO97="","",AW95+AO97)</f>
        <v/>
      </c>
      <c r="AX97" s="230"/>
      <c r="AY97" s="224">
        <f>IF(L96="",10^30,SQRT(BA94)*(BA96^2)*(N(AN95)+N(AN97)+N(AO95)+N(AV95))/(100000*L96*M94))</f>
        <v>1E+30</v>
      </c>
      <c r="AZ97" s="225"/>
      <c r="BA97" s="220">
        <f>IF(AND(F96="",SUM(S94:S97)&lt;&gt;0),BA93,F96)</f>
        <v>0</v>
      </c>
      <c r="BB97" s="221">
        <f t="shared" si="2"/>
        <v>0</v>
      </c>
      <c r="BC97" s="232"/>
      <c r="BD97" s="232"/>
    </row>
    <row r="98" spans="1:56" ht="15" customHeight="1">
      <c r="B98" s="85"/>
      <c r="C98" s="271" t="str">
        <f>IF(BC98=1,"●","・")</f>
        <v>・</v>
      </c>
      <c r="D98" s="402"/>
      <c r="E98" s="403"/>
      <c r="F98" s="404"/>
      <c r="G98" s="265" t="str">
        <f>IF(F98="","","φ")</f>
        <v/>
      </c>
      <c r="H98" s="405"/>
      <c r="I98" s="265" t="str">
        <f>IF(H98="","","W")</f>
        <v/>
      </c>
      <c r="J98" s="405"/>
      <c r="K98" s="272" t="str">
        <f>IF(J98="","","V")</f>
        <v/>
      </c>
      <c r="L98" s="406"/>
      <c r="M98" s="407"/>
      <c r="N98" s="408"/>
      <c r="O98" s="193"/>
      <c r="P98" s="86"/>
      <c r="Q98" s="194"/>
      <c r="R98" s="87"/>
      <c r="S98" s="88" t="str">
        <f>IF(R98="","",IF(Q98="",P98/R98,P98/(Q98*R98)))</f>
        <v/>
      </c>
      <c r="T98" s="195"/>
      <c r="U98" s="196" t="str">
        <f>IF(OR(BA100="",S98=""),"",S98*1000*T98/(SQRT(BA98)*BA100))</f>
        <v/>
      </c>
      <c r="V98" s="254" t="str">
        <f>IF(AND(N(U98)=0,N(U99)=0,N(U100)=0,N(U101)=0),"",BA100/(SUM(U98:U101)))</f>
        <v/>
      </c>
      <c r="W98" s="280"/>
      <c r="X98" s="281"/>
      <c r="Y98" s="242"/>
      <c r="Z98" s="243"/>
      <c r="AA98" s="239"/>
      <c r="AB98" s="241"/>
      <c r="AC98" s="242"/>
      <c r="AD98" s="243"/>
      <c r="AE98" s="247"/>
      <c r="AF98" s="233" t="str">
        <f>IF(OR(AND(AF94="",N(BA96)=0,BA100&lt;&gt;0),D98&lt;&gt;""),AX100/AQ99,"")</f>
        <v/>
      </c>
      <c r="AG98" s="249" t="str">
        <f>IF(BA100=0,"",IF(AD100="",AX98,IF(AND(D98&lt;&gt;"",AU98=""),AX100*SQRT(AP100^2+AP101^2)/SQRT(AS98^2+AS99^2)/AQ99,AX98*SQRT(AP100^2+AP101^2)/SQRT(AS98^2+AS99^2))))</f>
        <v/>
      </c>
      <c r="AH98" s="250"/>
      <c r="AI98" s="234" t="str">
        <f>IF(AG98="","",IF(N(U98)&lt;0,-AX98*AQ99/SQRT(AS98^2+AS99^2),AX98*AQ99/SQRT(AS98^2+AS99^2)))</f>
        <v/>
      </c>
      <c r="AJ98" s="256"/>
      <c r="AK98" s="257"/>
      <c r="AL98" s="186"/>
      <c r="AM98" s="28"/>
      <c r="AN98" s="213" t="b">
        <f>IF(BA98="","",IF(AND(BA98=1,F100=50,L98="oil cooled type"),VLOOKUP(L100,変１,2,FALSE),IF(AND(BA98=1,F100=50,L98="(F)molded type"),VLOOKUP(L100,変１,7,FALSE),IF(AND(BA98=1,F100=60,L98="oil cooled type"),VLOOKUP(L100,変１,12,FALSE),IF(AND(BA98=1,F100=60,L98="(F)molded type"),VLOOKUP(L100,変１,17,FALSE),FALSE)))))</f>
        <v>0</v>
      </c>
      <c r="AO98" s="213">
        <f>IF(ISNA(VLOOKUP(L100,変ＵＳＥＲ,2,FALSE)),0,VLOOKUP(L100,変ＵＳＥＲ,2,FALSE))</f>
        <v>0</v>
      </c>
      <c r="AP98" s="214">
        <f>IF(N98="",0,N98*1000/BA100^2/SQRT(BA98))</f>
        <v>0</v>
      </c>
      <c r="AQ98" s="213" t="b">
        <f>IF(BA98=1,2,IF(BA98=3,SQRT(3),FALSE))</f>
        <v>0</v>
      </c>
      <c r="AR98" s="215" t="str">
        <f>IF(X98="","",IF(X98="600V IV",VLOOKUP(X100,ＩＶ,2,FALSE),IF(X98="600V CV-T",VLOOKUP(X100,ＣＶＴ,2,FALSE),IF(OR(X98="600V CV-1C",X98="600V CV-2C",X98="600V CV-3C",X98="600V CV-4C"),VLOOKUP(X100,ＣＶ２３Ｃ,2,FALSE),VLOOKUP(X100,ＣＵＳＥＲ,2,FALSE)))))</f>
        <v/>
      </c>
      <c r="AS98" s="213" t="str">
        <f>IF(AB101="",AP100,AP100+(AB101/1000))</f>
        <v/>
      </c>
      <c r="AT98" s="216" t="str">
        <f>IF(AU100="",AT100,AU100)</f>
        <v/>
      </c>
      <c r="AU98" s="216" t="str">
        <f>IF(D98="","",IF(AND(D358="",#REF!&lt;&gt;"",AV101=#REF!),#REF!,IF(AND(D358="",#REF!="",#REF!&lt;&gt;"",AV361=#REF!),#REF!,IF(AND(D358="",#REF!="",#REF!="",#REF!&lt;&gt;"",#REF!=#REF!),#REF!,IF(AND(D358="",#REF!="",#REF!="",#REF!="",D362&lt;&gt;"",#REF!=#REF!),AT362,IF(AND(D358="",#REF!="",#REF!="",#REF!="",D362="",#REF!&lt;&gt;"",#REF!=AV366),#REF!,IF(AND(D358="",#REF!="",#REF!="",#REF!="",D362="",#REF!="",D367&lt;&gt;"",#REF!=AV370),AT367,"")))))))</f>
        <v/>
      </c>
      <c r="AV98" s="216" t="str">
        <f>IF(L98="ACG",IF(ISNA(VLOOKUP(L100,ＡＣＧ,2,FALSE)),0,VLOOKUP(L100,ＡＣＧ,2,FALSE)),"")</f>
        <v/>
      </c>
      <c r="AW98" s="217" t="str">
        <f>IF(AT98="","",AT98/((AT98*AP98)^2+(AT99*AP98-1)^2))</f>
        <v/>
      </c>
      <c r="AX98" s="218" t="str">
        <f>IF(BA100=0,"",IF(OR(AX94="",AF98&lt;&gt;""),AF98*SQRT(AS100^2+AS101^2)/SQRT(AT100^2+AT101^2),AX94*SQRT(AS100^2+AS101^2)/SQRT(AT100^2+AT101^2)))</f>
        <v/>
      </c>
      <c r="AY98" s="219">
        <f>IF(N(AY100)=10^30,10^30,IF(N(AY360)=10^30,(N(AY100)*(N(AY360)^2+N(AY361)^2)+N(AY360)*(N(AY100)^2+N(AY101)^2))/((N(AY100)+N(AY360))^2+(N(AY101)+N(AY361))^2),(N(AY100)*(N(AY358)^2+N(AY359)^2)+N(AY358)*(N(AY100)^2+N(AY101)^2))/((N(AY100)+N(AY358))^2+(N(AY101)+N(AY359))^2)))</f>
        <v>1E+30</v>
      </c>
      <c r="AZ98" s="23"/>
      <c r="BA98" s="220">
        <f>IF(AND(F98="",SUM(S98:S101)&lt;&gt;0),BA94,F98)</f>
        <v>0</v>
      </c>
      <c r="BB98" s="221">
        <f t="shared" si="2"/>
        <v>0</v>
      </c>
      <c r="BC98" s="232">
        <f>IF(OR(E98="",F101="",AND(OR(P98="",Q98="",R98="",T98=""),OR(P99="",Q99="",R99="",T99=""),OR(P100="",Q100="",R100="",T100=""),OR(P101="",Q101="",R101="",T101="")),AND(OR(X98="",X100="",Y100="",Z100=""),OR(AB98="",AB100="",AC100="",AD100=""))),0,1)</f>
        <v>0</v>
      </c>
      <c r="BD98" s="232">
        <f>BC98+BD94</f>
        <v>0</v>
      </c>
    </row>
    <row r="99" spans="1:56" ht="15" customHeight="1">
      <c r="B99" s="85"/>
      <c r="C99" s="271"/>
      <c r="D99" s="409"/>
      <c r="E99" s="362"/>
      <c r="F99" s="410"/>
      <c r="G99" s="266"/>
      <c r="H99" s="266"/>
      <c r="I99" s="266"/>
      <c r="J99" s="266"/>
      <c r="K99" s="273"/>
      <c r="L99" s="411"/>
      <c r="M99" s="197" t="str">
        <f>IF(L98="ACG",SQRT(AV98^2+AV99^2),IF(L100="","",IF(OR(L98="oil cooled type",L98="(F)molded type"),IF(BA98=1,SQRT(AN98^2+AN99^2),IF(BA98=3,SQRT(AN100^2+AN101^2))),SQRT(AO98^2+AO99^2))))</f>
        <v/>
      </c>
      <c r="N99" s="412"/>
      <c r="O99" s="198"/>
      <c r="P99" s="90"/>
      <c r="Q99" s="199"/>
      <c r="R99" s="91"/>
      <c r="S99" s="92" t="str">
        <f>IF(R100="","",IF(Q100="",P100/R100,P100/(Q100*R100)))</f>
        <v/>
      </c>
      <c r="T99" s="200"/>
      <c r="U99" s="201" t="str">
        <f>IF(OR(BA100="",S99=""),"",S99*1000*T99/(SQRT(BA98)*BA100))</f>
        <v/>
      </c>
      <c r="V99" s="255"/>
      <c r="W99" s="248"/>
      <c r="X99" s="258"/>
      <c r="Y99" s="245"/>
      <c r="Z99" s="246"/>
      <c r="AA99" s="240"/>
      <c r="AB99" s="244"/>
      <c r="AC99" s="245"/>
      <c r="AD99" s="246"/>
      <c r="AE99" s="248"/>
      <c r="AF99" s="235" t="str">
        <f>IF(OR(AF98="",AG94&lt;&gt;""),"",AF98*AQ99/SQRT(AT98^2+AT99^2))</f>
        <v/>
      </c>
      <c r="AG99" s="274" t="str">
        <f>IF(AG98="","",100*AG98*AQ99/BA100)</f>
        <v/>
      </c>
      <c r="AH99" s="275"/>
      <c r="AI99" s="260" t="str">
        <f>IF(BA100=0,"",IF(AI94="",AX100/SQRT(AT98^2+AT99^2),IF(AI102="","",IF(AT98&lt;0,-AX98*AQ95/SQRT(AT98^2+AT99^2),AX98*AQ95/SQRT(AT98^2+AT99^2)))))</f>
        <v/>
      </c>
      <c r="AJ99" s="258"/>
      <c r="AK99" s="259"/>
      <c r="AL99" s="187"/>
      <c r="AM99" s="28"/>
      <c r="AN99" s="213" t="b">
        <f>IF(BA98="","",IF(AND(BA98=1,F100=50,L98="oil cooled type"),VLOOKUP(L100,変１,3,FALSE),IF(AND(BA98=1,F100=50,L98="(F)molded type"),VLOOKUP(L100,変１,8,FALSE),IF(AND(BA98=1,F100=60,L98="oil cooled type"),VLOOKUP(L100,変１,13,FALSE),IF(AND(BA98=1,F100=60,L98="(F)molded type"),VLOOKUP(L100,変１,18,FALSE),FALSE)))))</f>
        <v>0</v>
      </c>
      <c r="AO99" s="213">
        <f>IF(ISNA(VLOOKUP(L100,変ＵＳＥＲ,3,FALSE)),0,VLOOKUP(L100,変ＵＳＥＲ,3,FALSE)*BA101/50)</f>
        <v>0</v>
      </c>
      <c r="AP99" s="214">
        <f>IF(W98="",0,W98*1000/BA100^2/SQRT(BA98))</f>
        <v>0</v>
      </c>
      <c r="AQ99" s="213">
        <f>IF(AND(BA98=1,BA99=2),1,IF(AND(BA98=3,BA99=3),1,IF(AND(BA98=1,BA99=3),2,IF(AND(BA98=3,BA99=4)*OR(BB98=1,BB99=1,BB100=1,BB101=1),1,SQRT(3)))))</f>
        <v>1.7320508075688772</v>
      </c>
      <c r="AR99" s="215" t="str">
        <f>IF(X98="","",IF(X98="600V IV",VLOOKUP(X100,ＩＶ,3,FALSE),IF(X98="600V CV-T",VLOOKUP(X100,ＣＶＴ,3,FALSE),IF(OR(X98="600V CV-1C",X98="600V CV-2C",X98="600V CV-3C",X98="600V CV-4C"),VLOOKUP(X100,ＣＶ２３Ｃ,3,FALSE),VLOOKUP(X100,ＣＵＳＥＲ,3,FALSE)))))</f>
        <v/>
      </c>
      <c r="AS99" s="213" t="str">
        <f>IF(AD101="",AP101,AP101+(AD101/1000))</f>
        <v/>
      </c>
      <c r="AT99" s="216" t="str">
        <f>IF(AU101="",AT101,AU101)</f>
        <v/>
      </c>
      <c r="AU99" s="216" t="str">
        <f>IF(D98="","",IF(AND(D358="",#REF!&lt;&gt;"",AV101=#REF!),#REF!,IF(AND(D358="",#REF!="",#REF!&lt;&gt;"",AV361=#REF!),#REF!,IF(AND(D358="",#REF!="",#REF!="",#REF!&lt;&gt;"",#REF!=#REF!),#REF!,IF(AND(D358="",#REF!="",#REF!="",#REF!="",D362&lt;&gt;"",#REF!=#REF!),AT363,IF(AND(D358="",#REF!="",#REF!="",#REF!="",D362="",#REF!&lt;&gt;"",#REF!=AV366),AT364,IF(AND(D358="",#REF!="",#REF!="",#REF!="",D362="",#REF!="",D367&lt;&gt;"",#REF!=AV370),AT368,"")))))))</f>
        <v/>
      </c>
      <c r="AV99" s="215" t="str">
        <f>IF(L98="ACG",IF(ISNA(VLOOKUP(L100,ＡＣＧ,3,FALSE)),0,VLOOKUP(L100,ＡＣＧ,3,FALSE)*BA101/50),"")</f>
        <v/>
      </c>
      <c r="AW99" s="217" t="str">
        <f>IF(AT99="","",(AT99-AP98*(AT98^2+AT99^2))/((AT98*AP98)^2+(AP98*AT99-1)^2))</f>
        <v/>
      </c>
      <c r="AX99" s="218"/>
      <c r="AY99" s="219">
        <f>IF(N(AY101)=10^30,10^30,IF(N(AY361)=10^30,(N(AY101)*(N(AY360)^2+N(AY361)^2)+N(AY361)*(N(AY100)^2+N(AY101)^2))/((N(AY100)+N(AY360))^2+(N(AY101)+N(AY361))^2),(N(AY101)*(N(AY358)^2+N(AY359)^2)+N(AY359)*(N(AY100)^2+N(AY101)^2))/((N(AY100)+N(AY358))^2+(N(AY101)+N(AY359))^2)))</f>
        <v>1E+30</v>
      </c>
      <c r="AZ99" s="23"/>
      <c r="BA99" s="220">
        <f>IF(AND(H98="",SUM(S98:S101)&lt;&gt;0),BA95,H98)</f>
        <v>0</v>
      </c>
      <c r="BB99" s="221">
        <f t="shared" si="2"/>
        <v>0</v>
      </c>
      <c r="BC99" s="232"/>
      <c r="BD99" s="232"/>
    </row>
    <row r="100" spans="1:56" ht="15" customHeight="1">
      <c r="B100" s="85"/>
      <c r="C100" s="271"/>
      <c r="D100" s="409"/>
      <c r="E100" s="362"/>
      <c r="F100" s="413"/>
      <c r="G100" s="414"/>
      <c r="H100" s="414"/>
      <c r="I100" s="414"/>
      <c r="J100" s="414"/>
      <c r="K100" s="415"/>
      <c r="L100" s="416"/>
      <c r="M100" s="275"/>
      <c r="N100" s="412"/>
      <c r="O100" s="198"/>
      <c r="P100" s="93"/>
      <c r="Q100" s="202"/>
      <c r="R100" s="91"/>
      <c r="S100" s="92" t="str">
        <f>IF(R101="","",IF(Q101="",P101/R101,P101/(Q101*R101)))</f>
        <v/>
      </c>
      <c r="T100" s="200"/>
      <c r="U100" s="203" t="str">
        <f>IF(OR(BA100="",S100=""),"",S100*1000*T100/(SQRT(BA98)*BA100))</f>
        <v/>
      </c>
      <c r="V100" s="94" t="str">
        <f>IF(AND(N(U98)=0,N(U99)=0,N(U100)=0,N(U101)=0),"",V98*(P98*R98*T98+P99*R99*T99+P100*R100*T100+P101*R101*T101)/(P98*T98+P99*T99+P100*T100+P101*T101))</f>
        <v/>
      </c>
      <c r="W100" s="276" t="str">
        <f>IF(AND(N(AP100)=0,N(AP101)=0,N(AP99)=0),"",IF(AP101&gt;=0,COS(ATAN(AP101/AP100)),-COS(ATAN(AP101/AP100))))</f>
        <v/>
      </c>
      <c r="X100" s="95"/>
      <c r="Y100" s="204"/>
      <c r="Z100" s="96"/>
      <c r="AA100" s="97"/>
      <c r="AB100" s="98"/>
      <c r="AC100" s="204"/>
      <c r="AD100" s="96"/>
      <c r="AE100" s="99"/>
      <c r="AF100" s="236" t="str">
        <f>IF(OR(AF98="",AG94&lt;&gt;""),"",BA100/SQRT(AW100^2+AW101^2))</f>
        <v/>
      </c>
      <c r="AG100" s="274" t="str">
        <f>IF(AG98="","",100*((BA100/AQ99)-AG98)/(BA100/AQ99))</f>
        <v/>
      </c>
      <c r="AH100" s="275"/>
      <c r="AI100" s="261"/>
      <c r="AJ100" s="262"/>
      <c r="AK100" s="264"/>
      <c r="AL100" s="188"/>
      <c r="AM100" s="28"/>
      <c r="AN100" s="222" t="b">
        <f>IF(BA98="","",IF(AND(BA98=3,F100=50,L98="oil cooled type"),VLOOKUP(L100,変３,2,FALSE),IF(AND(BA98=3,F100=50,L98="(F)molded type"),VLOOKUP(L100,変３,7,FALSE),IF(AND(BA98=3,F100=60,L98="oil cooled type"),VLOOKUP(L100,変３,12,FALSE),IF(AND(BA98=3,F100=60,L98="(F)molded type"),VLOOKUP(L100,変３,17,FALSE),FALSE)))))</f>
        <v>0</v>
      </c>
      <c r="AO100" s="215" t="str">
        <f>IF(AND(L94="",N(AY98)&lt;10^29),AY98,"")</f>
        <v/>
      </c>
      <c r="AP100" s="223" t="str">
        <f>IF(V98="","",IF(AND(N(V100)=0,N(AP99)=0),"",AQ100/((AQ100*AP99)^2+(AP99*AQ101-1)^2)))</f>
        <v/>
      </c>
      <c r="AQ100" s="213">
        <f>IF(N(V100)=0,10^30,V100)</f>
        <v>1E+30</v>
      </c>
      <c r="AR100" s="215" t="str">
        <f>IF(AB98="","",IF(AB98="600V IV",VLOOKUP(AB100,ＩＶ,2,FALSE),IF(AB98="600V CV-T",VLOOKUP(AB100,ＣＶＴ,2,FALSE),IF(OR(AB98="600V CV-1C",AB98="600V CV-2C",AB98="600V CV-3C",AB98="600V CV-4C"),VLOOKUP(AB100,ＣＶ２３Ｃ,2,FALSE),VLOOKUP(AB100,ＣＵＳＥＲ,2,FALSE)))))</f>
        <v/>
      </c>
      <c r="AS100" s="213" t="str">
        <f>IF(OR(AND(AS358="",AS359=""),AND(D98="",D358&lt;&gt;"")),AS98,(AS98*(AT358^2+AT359^2)+AT358*(AS98^2+AS99^2))/((AS98+AT358)^2+(AS99+AT359)^2))</f>
        <v/>
      </c>
      <c r="AT100" s="216" t="str">
        <f>IF(X101="",AS100,N(AS100)+(X101/1000))</f>
        <v/>
      </c>
      <c r="AU100" s="216" t="str">
        <f>IF(AU98="","",(AT100*(AU98^2+AU99^2)+AU98*(AT100^2+AT101^2))/((AT100+AU98)^2+(AT101+AU99)^2))</f>
        <v/>
      </c>
      <c r="AV100" s="216">
        <f>IF(BA100=0,1,0)</f>
        <v>1</v>
      </c>
      <c r="AW100" s="217" t="str">
        <f>IF(AO100="","",AW98+AO100)</f>
        <v/>
      </c>
      <c r="AX100" s="218" t="str">
        <f>IF(AND(AX96="",AW100&lt;&gt;""),BA100*SQRT(AW98^2+AW99^2)/SQRT(AW100^2+AW101^2),IF(BA100&lt;&gt;0,AX96,""))</f>
        <v/>
      </c>
      <c r="AY100" s="224">
        <f>IF(L100="",10^30,SQRT(BA98)*(BA100^2)*(N(AN98)+N(AN100)+N(AO98)+N(AV98))/(100000*L100*M98))</f>
        <v>1E+30</v>
      </c>
      <c r="AZ100" s="225"/>
      <c r="BA100" s="220">
        <f>IF(AND(J98="",SUM(S98:S101)&lt;&gt;0),BA96,J98)</f>
        <v>0</v>
      </c>
      <c r="BB100" s="221">
        <f t="shared" si="2"/>
        <v>0</v>
      </c>
      <c r="BC100" s="232"/>
      <c r="BD100" s="232"/>
    </row>
    <row r="101" spans="1:56" ht="15" customHeight="1">
      <c r="A101" s="85"/>
      <c r="B101" s="85"/>
      <c r="C101" s="271"/>
      <c r="D101" s="417"/>
      <c r="E101" s="418"/>
      <c r="F101" s="419"/>
      <c r="G101" s="270"/>
      <c r="H101" s="270"/>
      <c r="I101" s="270"/>
      <c r="J101" s="270"/>
      <c r="K101" s="268"/>
      <c r="L101" s="251" t="str">
        <f>IF(M98="","",L100*1000*M98/(SQRT(BA98)*BA100))</f>
        <v/>
      </c>
      <c r="M101" s="252"/>
      <c r="N101" s="277"/>
      <c r="O101" s="205"/>
      <c r="P101" s="106"/>
      <c r="Q101" s="206"/>
      <c r="R101" s="107"/>
      <c r="S101" s="108" t="str">
        <f>IF(R101="","",IF(Q101="",P101/R101,P101/(Q101*R101)))</f>
        <v/>
      </c>
      <c r="T101" s="207"/>
      <c r="U101" s="208" t="str">
        <f>IF(OR(BA100="",S101=""),"",S101*1000*T101/(SQRT(BA98)*BA100))</f>
        <v/>
      </c>
      <c r="V101" s="109" t="str">
        <f>IF(AND(N(U98)=0,N(U99)=0,N(U100)=0,N(U101)=0),"",IF(V98&gt;=0,SQRT(ABS(V98^2-V100^2)),-SQRT(V98^2-V100^2)))</f>
        <v/>
      </c>
      <c r="W101" s="277"/>
      <c r="X101" s="278" t="str">
        <f>IF(Y100="","",AQ98*Z100*AR98*((1+0.00393*(F101-20))/1.2751)/Y100)</f>
        <v/>
      </c>
      <c r="Y101" s="270"/>
      <c r="Z101" s="267" t="str">
        <f>IF(Y100="","",(BA101/50)*AQ98*Z100*AR99/Y100)</f>
        <v/>
      </c>
      <c r="AA101" s="252"/>
      <c r="AB101" s="279" t="str">
        <f>IF(AC100="","",AQ98*AD100*AR100*((1+0.00393*(F101-20))/1.2751)/AC100)</f>
        <v/>
      </c>
      <c r="AC101" s="270"/>
      <c r="AD101" s="267" t="str">
        <f>IF(AC100="","",(BA101/50)*AQ98*AD100*AR101/AC100)</f>
        <v/>
      </c>
      <c r="AE101" s="268"/>
      <c r="AF101" s="237" t="str">
        <f>IF(AND(AX98&lt;&gt;"",D98=""),AX98,"")</f>
        <v/>
      </c>
      <c r="AG101" s="269" t="str">
        <f>IF(AP100="","",AP100)</f>
        <v/>
      </c>
      <c r="AH101" s="270"/>
      <c r="AI101" s="238" t="str">
        <f>IF(AP101="","",AP101)</f>
        <v/>
      </c>
      <c r="AJ101" s="263"/>
      <c r="AK101" s="253"/>
      <c r="AL101" s="189"/>
      <c r="AM101" s="28"/>
      <c r="AN101" s="226" t="b">
        <f>IF(BA98="","",IF(AND(BA98=3,F100=50,L98="oil cooled type"),VLOOKUP(L100,変３,3,FALSE),IF(AND(BA98=3,F100=50,L98="(F)molded type"),VLOOKUP(L100,変３,8,FALSE),IF(AND(BA98=3,F100=60,L98="oil cooled type"),VLOOKUP(L100,変３,13,FALSE),IF(AND(BA98=3,F100=60,L98="(F)molded type"),VLOOKUP(L100,変３,18,FALSE),FALSE)))))</f>
        <v>0</v>
      </c>
      <c r="AO101" s="226" t="str">
        <f>IF(AND(L94="",N(AY99)&lt;10^29),AY99,"")</f>
        <v/>
      </c>
      <c r="AP101" s="227" t="str">
        <f>IF(V98="","",IF(AND(N(V101)=0,N(AP99)=0),0,(AQ101-AP99*(AQ100^2+AQ101^2))/((AQ100*AP99)^2+(AP99*AQ101-1)^2)))</f>
        <v/>
      </c>
      <c r="AQ101" s="228">
        <f>IF(N(V101)=0,10^30,V101)</f>
        <v>1E+30</v>
      </c>
      <c r="AR101" s="226" t="str">
        <f>IF(AB98="","",IF(AB98="600V IV",VLOOKUP(AB100,ＩＶ,3,FALSE),IF(AB98="600V CV-T",VLOOKUP(AB100,ＣＶＴ,3,FALSE),IF(OR(AB98="600V CV-1C",AB98="600V CV-2C",AB98="600V CV-3C",AB98="600V CV-4C"),VLOOKUP(AB100,ＣＶ２３Ｃ,3,FALSE),VLOOKUP(AB100,ＣＵＳＥＲ,3,FALSE)))))</f>
        <v/>
      </c>
      <c r="AS101" s="228" t="str">
        <f>IF(OR(AND(AS358="",AS359=""),AND(D98="",D358&lt;&gt;"")),AS99,(AS99*(AT358^2+AT359^2)+AT359*(AS98^2+AS99^2))/((AS98+AT358)^2+(AS99+AT359)^2))</f>
        <v/>
      </c>
      <c r="AT101" s="229" t="str">
        <f>IF(Z101="",AS101,N(AS101)+(Z101/1000))</f>
        <v/>
      </c>
      <c r="AU101" s="229" t="str">
        <f>IF(AU99="","",(AT101*(AU98^2+AU99^2)+AU99*(AT100^2+AT101^2))/((AT100+AU98)^2+(AT101+AU99)^2))</f>
        <v/>
      </c>
      <c r="AV101" s="229">
        <f>AV97+AV100</f>
        <v>21</v>
      </c>
      <c r="AW101" s="228" t="str">
        <f>IF(AO101="","",AW99+AO101)</f>
        <v/>
      </c>
      <c r="AX101" s="230"/>
      <c r="AY101" s="224">
        <f>IF(L100="",10^30,SQRT(BA98)*(BA100^2)*(N(AN99)+N(AN101)+N(AO99)+N(AV99))/(100000*L100*M98))</f>
        <v>1E+30</v>
      </c>
      <c r="AZ101" s="225"/>
      <c r="BA101" s="220">
        <f>IF(AND(F100="",SUM(S98:S101)&lt;&gt;0),BA97,F100)</f>
        <v>0</v>
      </c>
      <c r="BB101" s="221">
        <f t="shared" si="2"/>
        <v>0</v>
      </c>
      <c r="BC101" s="232"/>
      <c r="BD101" s="232"/>
    </row>
    <row r="102" spans="1:56" ht="15" customHeight="1">
      <c r="B102" s="85"/>
      <c r="C102" s="271" t="str">
        <f>IF(BC102=1,"●","・")</f>
        <v>・</v>
      </c>
      <c r="D102" s="402"/>
      <c r="E102" s="403"/>
      <c r="F102" s="404"/>
      <c r="G102" s="265" t="str">
        <f>IF(F102="","","φ")</f>
        <v/>
      </c>
      <c r="H102" s="405"/>
      <c r="I102" s="265" t="str">
        <f>IF(H102="","","W")</f>
        <v/>
      </c>
      <c r="J102" s="405"/>
      <c r="K102" s="272" t="str">
        <f>IF(J102="","","V")</f>
        <v/>
      </c>
      <c r="L102" s="406"/>
      <c r="M102" s="407"/>
      <c r="N102" s="408"/>
      <c r="O102" s="193"/>
      <c r="P102" s="86"/>
      <c r="Q102" s="194"/>
      <c r="R102" s="87"/>
      <c r="S102" s="88" t="str">
        <f>IF(R102="","",IF(Q102="",P102/R102,P102/(Q102*R102)))</f>
        <v/>
      </c>
      <c r="T102" s="195"/>
      <c r="U102" s="196" t="str">
        <f>IF(OR(BA104="",S102=""),"",S102*1000*T102/(SQRT(BA102)*BA104))</f>
        <v/>
      </c>
      <c r="V102" s="254" t="str">
        <f>IF(AND(N(U102)=0,N(U103)=0,N(U104)=0,N(U105)=0),"",BA104/(SUM(U102:U105)))</f>
        <v/>
      </c>
      <c r="W102" s="280"/>
      <c r="X102" s="281"/>
      <c r="Y102" s="242"/>
      <c r="Z102" s="243"/>
      <c r="AA102" s="239"/>
      <c r="AB102" s="241"/>
      <c r="AC102" s="242"/>
      <c r="AD102" s="243"/>
      <c r="AE102" s="247"/>
      <c r="AF102" s="233" t="str">
        <f>IF(OR(AND(AF98="",N(BA100)=0,BA104&lt;&gt;0),D102&lt;&gt;""),AX104/AQ103,"")</f>
        <v/>
      </c>
      <c r="AG102" s="249" t="str">
        <f>IF(BA104=0,"",IF(AD104="",AX102,IF(AND(D102&lt;&gt;"",AU102=""),AX104*SQRT(AP104^2+AP105^2)/SQRT(AS102^2+AS103^2)/AQ103,AX102*SQRT(AP104^2+AP105^2)/SQRT(AS102^2+AS103^2))))</f>
        <v/>
      </c>
      <c r="AH102" s="250"/>
      <c r="AI102" s="234" t="str">
        <f>IF(AG102="","",IF(N(U102)&lt;0,-AX102*AQ103/SQRT(AS102^2+AS103^2),AX102*AQ103/SQRT(AS102^2+AS103^2)))</f>
        <v/>
      </c>
      <c r="AJ102" s="256"/>
      <c r="AK102" s="257"/>
      <c r="AL102" s="186"/>
      <c r="AM102" s="28"/>
      <c r="AN102" s="213" t="b">
        <f>IF(BA102="","",IF(AND(BA102=1,F104=50,L102="oil cooled type"),VLOOKUP(L104,変１,2,FALSE),IF(AND(BA102=1,F104=50,L102="(F)molded type"),VLOOKUP(L104,変１,7,FALSE),IF(AND(BA102=1,F104=60,L102="oil cooled type"),VLOOKUP(L104,変１,12,FALSE),IF(AND(BA102=1,F104=60,L102="(F)molded type"),VLOOKUP(L104,変１,17,FALSE),FALSE)))))</f>
        <v>0</v>
      </c>
      <c r="AO102" s="213">
        <f>IF(ISNA(VLOOKUP(L104,変ＵＳＥＲ,2,FALSE)),0,VLOOKUP(L104,変ＵＳＥＲ,2,FALSE))</f>
        <v>0</v>
      </c>
      <c r="AP102" s="214">
        <f>IF(N102="",0,N102*1000/BA104^2/SQRT(BA102))</f>
        <v>0</v>
      </c>
      <c r="AQ102" s="213" t="b">
        <f>IF(BA102=1,2,IF(BA102=3,SQRT(3),FALSE))</f>
        <v>0</v>
      </c>
      <c r="AR102" s="215" t="str">
        <f>IF(X102="","",IF(X102="600V IV",VLOOKUP(X104,ＩＶ,2,FALSE),IF(X102="600V CV-T",VLOOKUP(X104,ＣＶＴ,2,FALSE),IF(OR(X102="600V CV-1C",X102="600V CV-2C",X102="600V CV-3C",X102="600V CV-4C"),VLOOKUP(X104,ＣＶ２３Ｃ,2,FALSE),VLOOKUP(X104,ＣＵＳＥＲ,2,FALSE)))))</f>
        <v/>
      </c>
      <c r="AS102" s="213" t="str">
        <f>IF(AB105="",AP104,AP104+(AB105/1000))</f>
        <v/>
      </c>
      <c r="AT102" s="216" t="str">
        <f>IF(AU104="",AT104,AU104)</f>
        <v/>
      </c>
      <c r="AU102" s="216" t="str">
        <f>IF(D102="","",IF(AND(D362="",#REF!&lt;&gt;"",AV105=#REF!),#REF!,IF(AND(D362="",#REF!="",#REF!&lt;&gt;"",AV365=#REF!),#REF!,IF(AND(D362="",#REF!="",#REF!="",#REF!&lt;&gt;"",#REF!=#REF!),#REF!,IF(AND(D362="",#REF!="",#REF!="",#REF!="",D366&lt;&gt;"",#REF!=#REF!),AT366,IF(AND(D362="",#REF!="",#REF!="",#REF!="",D366="",#REF!&lt;&gt;"",#REF!=AV370),#REF!,IF(AND(D362="",#REF!="",#REF!="",#REF!="",D366="",#REF!="",D371&lt;&gt;"",#REF!=AV374),AT371,"")))))))</f>
        <v/>
      </c>
      <c r="AV102" s="216" t="str">
        <f>IF(L102="ACG",IF(ISNA(VLOOKUP(L104,ＡＣＧ,2,FALSE)),0,VLOOKUP(L104,ＡＣＧ,2,FALSE)),"")</f>
        <v/>
      </c>
      <c r="AW102" s="217" t="str">
        <f>IF(AT102="","",AT102/((AT102*AP102)^2+(AT103*AP102-1)^2))</f>
        <v/>
      </c>
      <c r="AX102" s="218" t="str">
        <f>IF(BA104=0,"",IF(OR(AX98="",AF102&lt;&gt;""),AF102*SQRT(AS104^2+AS105^2)/SQRT(AT104^2+AT105^2),AX98*SQRT(AS104^2+AS105^2)/SQRT(AT104^2+AT105^2)))</f>
        <v/>
      </c>
      <c r="AY102" s="219">
        <f>IF(N(AY104)=10^30,10^30,IF(N(AY364)=10^30,(N(AY104)*(N(AY364)^2+N(AY365)^2)+N(AY364)*(N(AY104)^2+N(AY105)^2))/((N(AY104)+N(AY364))^2+(N(AY105)+N(AY365))^2),(N(AY104)*(N(AY362)^2+N(AY363)^2)+N(AY362)*(N(AY104)^2+N(AY105)^2))/((N(AY104)+N(AY362))^2+(N(AY105)+N(AY363))^2)))</f>
        <v>1E+30</v>
      </c>
      <c r="AZ102" s="23"/>
      <c r="BA102" s="220">
        <f>IF(AND(F102="",SUM(S102:S105)&lt;&gt;0),BA98,F102)</f>
        <v>0</v>
      </c>
      <c r="BB102" s="221">
        <f t="shared" si="2"/>
        <v>0</v>
      </c>
      <c r="BC102" s="232">
        <f>IF(OR(E102="",F105="",AND(OR(P102="",Q102="",R102="",T102=""),OR(P103="",Q103="",R103="",T103=""),OR(P104="",Q104="",R104="",T104=""),OR(P105="",Q105="",R105="",T105="")),AND(OR(X102="",X104="",Y104="",Z104=""),OR(AB102="",AB104="",AC104="",AD104=""))),0,1)</f>
        <v>0</v>
      </c>
      <c r="BD102" s="232">
        <f>BC102+BD98</f>
        <v>0</v>
      </c>
    </row>
    <row r="103" spans="1:56" ht="15" customHeight="1">
      <c r="B103" s="85"/>
      <c r="C103" s="271"/>
      <c r="D103" s="409"/>
      <c r="E103" s="362"/>
      <c r="F103" s="410"/>
      <c r="G103" s="266"/>
      <c r="H103" s="266"/>
      <c r="I103" s="266"/>
      <c r="J103" s="266"/>
      <c r="K103" s="273"/>
      <c r="L103" s="411"/>
      <c r="M103" s="197" t="str">
        <f>IF(L102="ACG",SQRT(AV102^2+AV103^2),IF(L104="","",IF(OR(L102="oil cooled type",L102="(F)molded type"),IF(BA102=1,SQRT(AN102^2+AN103^2),IF(BA102=3,SQRT(AN104^2+AN105^2))),SQRT(AO102^2+AO103^2))))</f>
        <v/>
      </c>
      <c r="N103" s="412"/>
      <c r="O103" s="198"/>
      <c r="P103" s="90"/>
      <c r="Q103" s="199"/>
      <c r="R103" s="91"/>
      <c r="S103" s="92" t="str">
        <f>IF(R104="","",IF(Q104="",P104/R104,P104/(Q104*R104)))</f>
        <v/>
      </c>
      <c r="T103" s="200"/>
      <c r="U103" s="201" t="str">
        <f>IF(OR(BA104="",S103=""),"",S103*1000*T103/(SQRT(BA102)*BA104))</f>
        <v/>
      </c>
      <c r="V103" s="255"/>
      <c r="W103" s="248"/>
      <c r="X103" s="258"/>
      <c r="Y103" s="245"/>
      <c r="Z103" s="246"/>
      <c r="AA103" s="240"/>
      <c r="AB103" s="244"/>
      <c r="AC103" s="245"/>
      <c r="AD103" s="246"/>
      <c r="AE103" s="248"/>
      <c r="AF103" s="235" t="str">
        <f>IF(OR(AF102="",AG98&lt;&gt;""),"",AF102*AQ103/SQRT(AT102^2+AT103^2))</f>
        <v/>
      </c>
      <c r="AG103" s="274" t="str">
        <f>IF(AG102="","",100*AG102*AQ103/BA104)</f>
        <v/>
      </c>
      <c r="AH103" s="275"/>
      <c r="AI103" s="260" t="str">
        <f>IF(BA104=0,"",IF(AI98="",AX104/SQRT(AT102^2+AT103^2),IF(AI106="","",IF(AT102&lt;0,-AX102*AQ99/SQRT(AT102^2+AT103^2),AX102*AQ99/SQRT(AT102^2+AT103^2)))))</f>
        <v/>
      </c>
      <c r="AJ103" s="258"/>
      <c r="AK103" s="259"/>
      <c r="AL103" s="187"/>
      <c r="AM103" s="28"/>
      <c r="AN103" s="213" t="b">
        <f>IF(BA102="","",IF(AND(BA102=1,F104=50,L102="oil cooled type"),VLOOKUP(L104,変１,3,FALSE),IF(AND(BA102=1,F104=50,L102="(F)molded type"),VLOOKUP(L104,変１,8,FALSE),IF(AND(BA102=1,F104=60,L102="oil cooled type"),VLOOKUP(L104,変１,13,FALSE),IF(AND(BA102=1,F104=60,L102="(F)molded type"),VLOOKUP(L104,変１,18,FALSE),FALSE)))))</f>
        <v>0</v>
      </c>
      <c r="AO103" s="213">
        <f>IF(ISNA(VLOOKUP(L104,変ＵＳＥＲ,3,FALSE)),0,VLOOKUP(L104,変ＵＳＥＲ,3,FALSE)*BA105/50)</f>
        <v>0</v>
      </c>
      <c r="AP103" s="214">
        <f>IF(W102="",0,W102*1000/BA104^2/SQRT(BA102))</f>
        <v>0</v>
      </c>
      <c r="AQ103" s="213">
        <f>IF(AND(BA102=1,BA103=2),1,IF(AND(BA102=3,BA103=3),1,IF(AND(BA102=1,BA103=3),2,IF(AND(BA102=3,BA103=4)*OR(BB102=1,BB103=1,BB104=1,BB105=1),1,SQRT(3)))))</f>
        <v>1.7320508075688772</v>
      </c>
      <c r="AR103" s="215" t="str">
        <f>IF(X102="","",IF(X102="600V IV",VLOOKUP(X104,ＩＶ,3,FALSE),IF(X102="600V CV-T",VLOOKUP(X104,ＣＶＴ,3,FALSE),IF(OR(X102="600V CV-1C",X102="600V CV-2C",X102="600V CV-3C",X102="600V CV-4C"),VLOOKUP(X104,ＣＶ２３Ｃ,3,FALSE),VLOOKUP(X104,ＣＵＳＥＲ,3,FALSE)))))</f>
        <v/>
      </c>
      <c r="AS103" s="213" t="str">
        <f>IF(AD105="",AP105,AP105+(AD105/1000))</f>
        <v/>
      </c>
      <c r="AT103" s="216" t="str">
        <f>IF(AU105="",AT105,AU105)</f>
        <v/>
      </c>
      <c r="AU103" s="216" t="str">
        <f>IF(D102="","",IF(AND(D362="",#REF!&lt;&gt;"",AV105=#REF!),#REF!,IF(AND(D362="",#REF!="",#REF!&lt;&gt;"",AV365=#REF!),#REF!,IF(AND(D362="",#REF!="",#REF!="",#REF!&lt;&gt;"",#REF!=#REF!),#REF!,IF(AND(D362="",#REF!="",#REF!="",#REF!="",D366&lt;&gt;"",#REF!=#REF!),AT367,IF(AND(D362="",#REF!="",#REF!="",#REF!="",D366="",#REF!&lt;&gt;"",#REF!=AV370),AT368,IF(AND(D362="",#REF!="",#REF!="",#REF!="",D366="",#REF!="",D371&lt;&gt;"",#REF!=AV374),AT372,"")))))))</f>
        <v/>
      </c>
      <c r="AV103" s="215" t="str">
        <f>IF(L102="ACG",IF(ISNA(VLOOKUP(L104,ＡＣＧ,3,FALSE)),0,VLOOKUP(L104,ＡＣＧ,3,FALSE)*BA105/50),"")</f>
        <v/>
      </c>
      <c r="AW103" s="217" t="str">
        <f>IF(AT103="","",(AT103-AP102*(AT102^2+AT103^2))/((AT102*AP102)^2+(AP102*AT103-1)^2))</f>
        <v/>
      </c>
      <c r="AX103" s="218"/>
      <c r="AY103" s="219">
        <f>IF(N(AY105)=10^30,10^30,IF(N(AY365)=10^30,(N(AY105)*(N(AY364)^2+N(AY365)^2)+N(AY365)*(N(AY104)^2+N(AY105)^2))/((N(AY104)+N(AY364))^2+(N(AY105)+N(AY365))^2),(N(AY105)*(N(AY362)^2+N(AY363)^2)+N(AY363)*(N(AY104)^2+N(AY105)^2))/((N(AY104)+N(AY362))^2+(N(AY105)+N(AY363))^2)))</f>
        <v>1E+30</v>
      </c>
      <c r="AZ103" s="23"/>
      <c r="BA103" s="220">
        <f>IF(AND(H102="",SUM(S102:S105)&lt;&gt;0),BA99,H102)</f>
        <v>0</v>
      </c>
      <c r="BB103" s="221">
        <f t="shared" si="2"/>
        <v>0</v>
      </c>
      <c r="BC103" s="232"/>
      <c r="BD103" s="232"/>
    </row>
    <row r="104" spans="1:56" ht="15" customHeight="1">
      <c r="B104" s="85"/>
      <c r="C104" s="271"/>
      <c r="D104" s="409"/>
      <c r="E104" s="362"/>
      <c r="F104" s="413"/>
      <c r="G104" s="414"/>
      <c r="H104" s="414"/>
      <c r="I104" s="414"/>
      <c r="J104" s="414"/>
      <c r="K104" s="415"/>
      <c r="L104" s="416"/>
      <c r="M104" s="275"/>
      <c r="N104" s="412"/>
      <c r="O104" s="198"/>
      <c r="P104" s="93"/>
      <c r="Q104" s="202"/>
      <c r="R104" s="91"/>
      <c r="S104" s="92" t="str">
        <f>IF(R105="","",IF(Q105="",P105/R105,P105/(Q105*R105)))</f>
        <v/>
      </c>
      <c r="T104" s="200"/>
      <c r="U104" s="203" t="str">
        <f>IF(OR(BA104="",S104=""),"",S104*1000*T104/(SQRT(BA102)*BA104))</f>
        <v/>
      </c>
      <c r="V104" s="94" t="str">
        <f>IF(AND(N(U102)=0,N(U103)=0,N(U104)=0,N(U105)=0),"",V102*(P102*R102*T102+P103*R103*T103+P104*R104*T104+P105*R105*T105)/(P102*T102+P103*T103+P104*T104+P105*T105))</f>
        <v/>
      </c>
      <c r="W104" s="276" t="str">
        <f>IF(AND(N(AP104)=0,N(AP105)=0,N(AP103)=0),"",IF(AP105&gt;=0,COS(ATAN(AP105/AP104)),-COS(ATAN(AP105/AP104))))</f>
        <v/>
      </c>
      <c r="X104" s="95"/>
      <c r="Y104" s="204"/>
      <c r="Z104" s="96"/>
      <c r="AA104" s="97"/>
      <c r="AB104" s="98"/>
      <c r="AC104" s="204"/>
      <c r="AD104" s="96"/>
      <c r="AE104" s="99"/>
      <c r="AF104" s="236" t="str">
        <f>IF(OR(AF102="",AG98&lt;&gt;""),"",BA104/SQRT(AW104^2+AW105^2))</f>
        <v/>
      </c>
      <c r="AG104" s="274" t="str">
        <f>IF(AG102="","",100*((BA104/AQ103)-AG102)/(BA104/AQ103))</f>
        <v/>
      </c>
      <c r="AH104" s="275"/>
      <c r="AI104" s="261"/>
      <c r="AJ104" s="262"/>
      <c r="AK104" s="264"/>
      <c r="AL104" s="188"/>
      <c r="AM104" s="28"/>
      <c r="AN104" s="222" t="b">
        <f>IF(BA102="","",IF(AND(BA102=3,F104=50,L102="oil cooled type"),VLOOKUP(L104,変３,2,FALSE),IF(AND(BA102=3,F104=50,L102="(F)molded type"),VLOOKUP(L104,変３,7,FALSE),IF(AND(BA102=3,F104=60,L102="oil cooled type"),VLOOKUP(L104,変３,12,FALSE),IF(AND(BA102=3,F104=60,L102="(F)molded type"),VLOOKUP(L104,変３,17,FALSE),FALSE)))))</f>
        <v>0</v>
      </c>
      <c r="AO104" s="215" t="str">
        <f>IF(AND(L98="",N(AY102)&lt;10^29),AY102,"")</f>
        <v/>
      </c>
      <c r="AP104" s="223" t="str">
        <f>IF(V102="","",IF(AND(N(V104)=0,N(AP103)=0),"",AQ104/((AQ104*AP103)^2+(AP103*AQ105-1)^2)))</f>
        <v/>
      </c>
      <c r="AQ104" s="213">
        <f>IF(N(V104)=0,10^30,V104)</f>
        <v>1E+30</v>
      </c>
      <c r="AR104" s="215" t="str">
        <f>IF(AB102="","",IF(AB102="600V IV",VLOOKUP(AB104,ＩＶ,2,FALSE),IF(AB102="600V CV-T",VLOOKUP(AB104,ＣＶＴ,2,FALSE),IF(OR(AB102="600V CV-1C",AB102="600V CV-2C",AB102="600V CV-3C",AB102="600V CV-4C"),VLOOKUP(AB104,ＣＶ２３Ｃ,2,FALSE),VLOOKUP(AB104,ＣＵＳＥＲ,2,FALSE)))))</f>
        <v/>
      </c>
      <c r="AS104" s="213" t="str">
        <f>IF(OR(AND(AS362="",AS363=""),AND(D102="",D362&lt;&gt;"")),AS102,(AS102*(AT362^2+AT363^2)+AT362*(AS102^2+AS103^2))/((AS102+AT362)^2+(AS103+AT363)^2))</f>
        <v/>
      </c>
      <c r="AT104" s="216" t="str">
        <f>IF(X105="",AS104,N(AS104)+(X105/1000))</f>
        <v/>
      </c>
      <c r="AU104" s="216" t="str">
        <f>IF(AU102="","",(AT104*(AU102^2+AU103^2)+AU102*(AT104^2+AT105^2))/((AT104+AU102)^2+(AT105+AU103)^2))</f>
        <v/>
      </c>
      <c r="AV104" s="216">
        <f>IF(BA104=0,1,0)</f>
        <v>1</v>
      </c>
      <c r="AW104" s="217" t="str">
        <f>IF(AO104="","",AW102+AO104)</f>
        <v/>
      </c>
      <c r="AX104" s="218" t="str">
        <f>IF(AND(AX100="",AW104&lt;&gt;""),BA104*SQRT(AW102^2+AW103^2)/SQRT(AW104^2+AW105^2),IF(BA104&lt;&gt;0,AX100,""))</f>
        <v/>
      </c>
      <c r="AY104" s="224">
        <f>IF(L104="",10^30,SQRT(BA102)*(BA104^2)*(N(AN102)+N(AN104)+N(AO102)+N(AV102))/(100000*L104*M102))</f>
        <v>1E+30</v>
      </c>
      <c r="AZ104" s="225"/>
      <c r="BA104" s="220">
        <f>IF(AND(J102="",SUM(S102:S105)&lt;&gt;0),BA100,J102)</f>
        <v>0</v>
      </c>
      <c r="BB104" s="221">
        <f t="shared" si="2"/>
        <v>0</v>
      </c>
      <c r="BC104" s="232"/>
      <c r="BD104" s="232"/>
    </row>
    <row r="105" spans="1:56" ht="15" customHeight="1">
      <c r="A105" s="85"/>
      <c r="B105" s="85"/>
      <c r="C105" s="271"/>
      <c r="D105" s="417"/>
      <c r="E105" s="418"/>
      <c r="F105" s="419"/>
      <c r="G105" s="270"/>
      <c r="H105" s="270"/>
      <c r="I105" s="270"/>
      <c r="J105" s="270"/>
      <c r="K105" s="268"/>
      <c r="L105" s="251" t="str">
        <f>IF(M102="","",L104*1000*M102/(SQRT(BA102)*BA104))</f>
        <v/>
      </c>
      <c r="M105" s="252"/>
      <c r="N105" s="277"/>
      <c r="O105" s="205"/>
      <c r="P105" s="106"/>
      <c r="Q105" s="206"/>
      <c r="R105" s="107"/>
      <c r="S105" s="108" t="str">
        <f>IF(R105="","",IF(Q105="",P105/R105,P105/(Q105*R105)))</f>
        <v/>
      </c>
      <c r="T105" s="207"/>
      <c r="U105" s="208" t="str">
        <f>IF(OR(BA104="",S105=""),"",S105*1000*T105/(SQRT(BA102)*BA104))</f>
        <v/>
      </c>
      <c r="V105" s="109" t="str">
        <f>IF(AND(N(U102)=0,N(U103)=0,N(U104)=0,N(U105)=0),"",IF(V102&gt;=0,SQRT(ABS(V102^2-V104^2)),-SQRT(V102^2-V104^2)))</f>
        <v/>
      </c>
      <c r="W105" s="277"/>
      <c r="X105" s="278" t="str">
        <f>IF(Y104="","",AQ102*Z104*AR102*((1+0.00393*(F105-20))/1.2751)/Y104)</f>
        <v/>
      </c>
      <c r="Y105" s="270"/>
      <c r="Z105" s="267" t="str">
        <f>IF(Y104="","",(BA105/50)*AQ102*Z104*AR103/Y104)</f>
        <v/>
      </c>
      <c r="AA105" s="252"/>
      <c r="AB105" s="279" t="str">
        <f>IF(AC104="","",AQ102*AD104*AR104*((1+0.00393*(F105-20))/1.2751)/AC104)</f>
        <v/>
      </c>
      <c r="AC105" s="270"/>
      <c r="AD105" s="267" t="str">
        <f>IF(AC104="","",(BA105/50)*AQ102*AD104*AR105/AC104)</f>
        <v/>
      </c>
      <c r="AE105" s="268"/>
      <c r="AF105" s="237" t="str">
        <f>IF(AND(AX102&lt;&gt;"",D102=""),AX102,"")</f>
        <v/>
      </c>
      <c r="AG105" s="269" t="str">
        <f>IF(AP104="","",AP104)</f>
        <v/>
      </c>
      <c r="AH105" s="270"/>
      <c r="AI105" s="238" t="str">
        <f>IF(AP105="","",AP105)</f>
        <v/>
      </c>
      <c r="AJ105" s="263"/>
      <c r="AK105" s="253"/>
      <c r="AL105" s="189"/>
      <c r="AM105" s="28"/>
      <c r="AN105" s="226" t="b">
        <f>IF(BA102="","",IF(AND(BA102=3,F104=50,L102="oil cooled type"),VLOOKUP(L104,変３,3,FALSE),IF(AND(BA102=3,F104=50,L102="(F)molded type"),VLOOKUP(L104,変３,8,FALSE),IF(AND(BA102=3,F104=60,L102="oil cooled type"),VLOOKUP(L104,変３,13,FALSE),IF(AND(BA102=3,F104=60,L102="(F)molded type"),VLOOKUP(L104,変３,18,FALSE),FALSE)))))</f>
        <v>0</v>
      </c>
      <c r="AO105" s="226" t="str">
        <f>IF(AND(L98="",N(AY103)&lt;10^29),AY103,"")</f>
        <v/>
      </c>
      <c r="AP105" s="227" t="str">
        <f>IF(V102="","",IF(AND(N(V105)=0,N(AP103)=0),0,(AQ105-AP103*(AQ104^2+AQ105^2))/((AQ104*AP103)^2+(AP103*AQ105-1)^2)))</f>
        <v/>
      </c>
      <c r="AQ105" s="228">
        <f>IF(N(V105)=0,10^30,V105)</f>
        <v>1E+30</v>
      </c>
      <c r="AR105" s="226" t="str">
        <f>IF(AB102="","",IF(AB102="600V IV",VLOOKUP(AB104,ＩＶ,3,FALSE),IF(AB102="600V CV-T",VLOOKUP(AB104,ＣＶＴ,3,FALSE),IF(OR(AB102="600V CV-1C",AB102="600V CV-2C",AB102="600V CV-3C",AB102="600V CV-4C"),VLOOKUP(AB104,ＣＶ２３Ｃ,3,FALSE),VLOOKUP(AB104,ＣＵＳＥＲ,3,FALSE)))))</f>
        <v/>
      </c>
      <c r="AS105" s="228" t="str">
        <f>IF(OR(AND(AS362="",AS363=""),AND(D102="",D362&lt;&gt;"")),AS103,(AS103*(AT362^2+AT363^2)+AT363*(AS102^2+AS103^2))/((AS102+AT362)^2+(AS103+AT363)^2))</f>
        <v/>
      </c>
      <c r="AT105" s="229" t="str">
        <f>IF(Z105="",AS105,N(AS105)+(Z105/1000))</f>
        <v/>
      </c>
      <c r="AU105" s="229" t="str">
        <f>IF(AU103="","",(AT105*(AU102^2+AU103^2)+AU103*(AT104^2+AT105^2))/((AT104+AU102)^2+(AT105+AU103)^2))</f>
        <v/>
      </c>
      <c r="AV105" s="229">
        <f>AV101+AV104</f>
        <v>22</v>
      </c>
      <c r="AW105" s="228" t="str">
        <f>IF(AO105="","",AW103+AO105)</f>
        <v/>
      </c>
      <c r="AX105" s="230"/>
      <c r="AY105" s="224">
        <f>IF(L104="",10^30,SQRT(BA102)*(BA104^2)*(N(AN103)+N(AN105)+N(AO103)+N(AV103))/(100000*L104*M102))</f>
        <v>1E+30</v>
      </c>
      <c r="AZ105" s="225"/>
      <c r="BA105" s="220">
        <f>IF(AND(F104="",SUM(S102:S105)&lt;&gt;0),BA101,F104)</f>
        <v>0</v>
      </c>
      <c r="BB105" s="221">
        <f t="shared" si="2"/>
        <v>0</v>
      </c>
      <c r="BC105" s="232"/>
      <c r="BD105" s="232"/>
    </row>
    <row r="106" spans="1:56" ht="15" customHeight="1">
      <c r="B106" s="85"/>
      <c r="C106" s="271" t="str">
        <f>IF(BC106=1,"●","・")</f>
        <v>・</v>
      </c>
      <c r="D106" s="402"/>
      <c r="E106" s="403"/>
      <c r="F106" s="404"/>
      <c r="G106" s="265" t="str">
        <f>IF(F106="","","φ")</f>
        <v/>
      </c>
      <c r="H106" s="405"/>
      <c r="I106" s="265" t="str">
        <f>IF(H106="","","W")</f>
        <v/>
      </c>
      <c r="J106" s="405"/>
      <c r="K106" s="272" t="str">
        <f>IF(J106="","","V")</f>
        <v/>
      </c>
      <c r="L106" s="406"/>
      <c r="M106" s="407"/>
      <c r="N106" s="408"/>
      <c r="O106" s="193"/>
      <c r="P106" s="86"/>
      <c r="Q106" s="194"/>
      <c r="R106" s="87"/>
      <c r="S106" s="88" t="str">
        <f>IF(R106="","",IF(Q106="",P106/R106,P106/(Q106*R106)))</f>
        <v/>
      </c>
      <c r="T106" s="195"/>
      <c r="U106" s="196" t="str">
        <f>IF(OR(BA108="",S106=""),"",S106*1000*T106/(SQRT(BA106)*BA108))</f>
        <v/>
      </c>
      <c r="V106" s="254" t="str">
        <f>IF(AND(N(U106)=0,N(U107)=0,N(U108)=0,N(U109)=0),"",BA108/(SUM(U106:U109)))</f>
        <v/>
      </c>
      <c r="W106" s="280"/>
      <c r="X106" s="281"/>
      <c r="Y106" s="242"/>
      <c r="Z106" s="243"/>
      <c r="AA106" s="239"/>
      <c r="AB106" s="241"/>
      <c r="AC106" s="242"/>
      <c r="AD106" s="243"/>
      <c r="AE106" s="247"/>
      <c r="AF106" s="233" t="str">
        <f>IF(OR(AND(AF102="",N(BA104)=0,BA108&lt;&gt;0),D106&lt;&gt;""),AX108/AQ107,"")</f>
        <v/>
      </c>
      <c r="AG106" s="249" t="str">
        <f>IF(BA108=0,"",IF(AD108="",AX106,IF(AND(D106&lt;&gt;"",AU106=""),AX108*SQRT(AP108^2+AP109^2)/SQRT(AS106^2+AS107^2)/AQ107,AX106*SQRT(AP108^2+AP109^2)/SQRT(AS106^2+AS107^2))))</f>
        <v/>
      </c>
      <c r="AH106" s="250"/>
      <c r="AI106" s="234" t="str">
        <f>IF(AG106="","",IF(N(U106)&lt;0,-AX106*AQ107/SQRT(AS106^2+AS107^2),AX106*AQ107/SQRT(AS106^2+AS107^2)))</f>
        <v/>
      </c>
      <c r="AJ106" s="256"/>
      <c r="AK106" s="257"/>
      <c r="AL106" s="186"/>
      <c r="AM106" s="28"/>
      <c r="AN106" s="213" t="b">
        <f>IF(BA106="","",IF(AND(BA106=1,F108=50,L106="oil cooled type"),VLOOKUP(L108,変１,2,FALSE),IF(AND(BA106=1,F108=50,L106="(F)molded type"),VLOOKUP(L108,変１,7,FALSE),IF(AND(BA106=1,F108=60,L106="oil cooled type"),VLOOKUP(L108,変１,12,FALSE),IF(AND(BA106=1,F108=60,L106="(F)molded type"),VLOOKUP(L108,変１,17,FALSE),FALSE)))))</f>
        <v>0</v>
      </c>
      <c r="AO106" s="213">
        <f>IF(ISNA(VLOOKUP(L108,変ＵＳＥＲ,2,FALSE)),0,VLOOKUP(L108,変ＵＳＥＲ,2,FALSE))</f>
        <v>0</v>
      </c>
      <c r="AP106" s="214">
        <f>IF(N106="",0,N106*1000/BA108^2/SQRT(BA106))</f>
        <v>0</v>
      </c>
      <c r="AQ106" s="213" t="b">
        <f>IF(BA106=1,2,IF(BA106=3,SQRT(3),FALSE))</f>
        <v>0</v>
      </c>
      <c r="AR106" s="215" t="str">
        <f>IF(X106="","",IF(X106="600V IV",VLOOKUP(X108,ＩＶ,2,FALSE),IF(X106="600V CV-T",VLOOKUP(X108,ＣＶＴ,2,FALSE),IF(OR(X106="600V CV-1C",X106="600V CV-2C",X106="600V CV-3C",X106="600V CV-4C"),VLOOKUP(X108,ＣＶ２３Ｃ,2,FALSE),VLOOKUP(X108,ＣＵＳＥＲ,2,FALSE)))))</f>
        <v/>
      </c>
      <c r="AS106" s="213" t="str">
        <f>IF(AB109="",AP108,AP108+(AB109/1000))</f>
        <v/>
      </c>
      <c r="AT106" s="216" t="str">
        <f>IF(AU108="",AT108,AU108)</f>
        <v/>
      </c>
      <c r="AU106" s="216" t="str">
        <f>IF(D106="","",IF(AND(D366="",#REF!&lt;&gt;"",AV109=#REF!),#REF!,IF(AND(D366="",#REF!="",#REF!&lt;&gt;"",AV369=#REF!),#REF!,IF(AND(D366="",#REF!="",#REF!="",#REF!&lt;&gt;"",#REF!=#REF!),#REF!,IF(AND(D366="",#REF!="",#REF!="",#REF!="",D370&lt;&gt;"",#REF!=#REF!),AT370,IF(AND(D366="",#REF!="",#REF!="",#REF!="",D370="",#REF!&lt;&gt;"",#REF!=AV374),#REF!,IF(AND(D366="",#REF!="",#REF!="",#REF!="",D370="",#REF!="",D375&lt;&gt;"",#REF!=AV378),AT375,"")))))))</f>
        <v/>
      </c>
      <c r="AV106" s="216" t="str">
        <f>IF(L106="ACG",IF(ISNA(VLOOKUP(L108,ＡＣＧ,2,FALSE)),0,VLOOKUP(L108,ＡＣＧ,2,FALSE)),"")</f>
        <v/>
      </c>
      <c r="AW106" s="217" t="str">
        <f>IF(AT106="","",AT106/((AT106*AP106)^2+(AT107*AP106-1)^2))</f>
        <v/>
      </c>
      <c r="AX106" s="218" t="str">
        <f>IF(BA108=0,"",IF(OR(AX102="",AF106&lt;&gt;""),AF106*SQRT(AS108^2+AS109^2)/SQRT(AT108^2+AT109^2),AX102*SQRT(AS108^2+AS109^2)/SQRT(AT108^2+AT109^2)))</f>
        <v/>
      </c>
      <c r="AY106" s="219">
        <f>IF(N(AY108)=10^30,10^30,IF(N(AY368)=10^30,(N(AY108)*(N(AY368)^2+N(AY369)^2)+N(AY368)*(N(AY108)^2+N(AY109)^2))/((N(AY108)+N(AY368))^2+(N(AY109)+N(AY369))^2),(N(AY108)*(N(AY366)^2+N(AY367)^2)+N(AY366)*(N(AY108)^2+N(AY109)^2))/((N(AY108)+N(AY366))^2+(N(AY109)+N(AY367))^2)))</f>
        <v>1E+30</v>
      </c>
      <c r="AZ106" s="23"/>
      <c r="BA106" s="220">
        <f>IF(AND(F106="",SUM(S106:S109)&lt;&gt;0),BA102,F106)</f>
        <v>0</v>
      </c>
      <c r="BB106" s="221">
        <f t="shared" si="2"/>
        <v>0</v>
      </c>
      <c r="BC106" s="232">
        <f>IF(OR(E106="",F109="",AND(OR(P106="",Q106="",R106="",T106=""),OR(P107="",Q107="",R107="",T107=""),OR(P108="",Q108="",R108="",T108=""),OR(P109="",Q109="",R109="",T109="")),AND(OR(X106="",X108="",Y108="",Z108=""),OR(AB106="",AB108="",AC108="",AD108=""))),0,1)</f>
        <v>0</v>
      </c>
      <c r="BD106" s="232">
        <f>BC106+BD102</f>
        <v>0</v>
      </c>
    </row>
    <row r="107" spans="1:56" ht="15" customHeight="1">
      <c r="B107" s="85"/>
      <c r="C107" s="271"/>
      <c r="D107" s="409"/>
      <c r="E107" s="362"/>
      <c r="F107" s="410"/>
      <c r="G107" s="266"/>
      <c r="H107" s="266"/>
      <c r="I107" s="266"/>
      <c r="J107" s="266"/>
      <c r="K107" s="273"/>
      <c r="L107" s="411"/>
      <c r="M107" s="197" t="str">
        <f>IF(L106="ACG",SQRT(AV106^2+AV107^2),IF(L108="","",IF(OR(L106="oil cooled type",L106="(F)molded type"),IF(BA106=1,SQRT(AN106^2+AN107^2),IF(BA106=3,SQRT(AN108^2+AN109^2))),SQRT(AO106^2+AO107^2))))</f>
        <v/>
      </c>
      <c r="N107" s="412"/>
      <c r="O107" s="198"/>
      <c r="P107" s="90"/>
      <c r="Q107" s="199"/>
      <c r="R107" s="91"/>
      <c r="S107" s="92" t="str">
        <f>IF(R108="","",IF(Q108="",P108/R108,P108/(Q108*R108)))</f>
        <v/>
      </c>
      <c r="T107" s="200"/>
      <c r="U107" s="201" t="str">
        <f>IF(OR(BA108="",S107=""),"",S107*1000*T107/(SQRT(BA106)*BA108))</f>
        <v/>
      </c>
      <c r="V107" s="255"/>
      <c r="W107" s="248"/>
      <c r="X107" s="258"/>
      <c r="Y107" s="245"/>
      <c r="Z107" s="246"/>
      <c r="AA107" s="240"/>
      <c r="AB107" s="244"/>
      <c r="AC107" s="245"/>
      <c r="AD107" s="246"/>
      <c r="AE107" s="248"/>
      <c r="AF107" s="235" t="str">
        <f>IF(OR(AF106="",AG102&lt;&gt;""),"",AF106*AQ107/SQRT(AT106^2+AT107^2))</f>
        <v/>
      </c>
      <c r="AG107" s="274" t="str">
        <f>IF(AG106="","",100*AG106*AQ107/BA108)</f>
        <v/>
      </c>
      <c r="AH107" s="275"/>
      <c r="AI107" s="260" t="str">
        <f>IF(BA108=0,"",IF(AI102="",AX108/SQRT(AT106^2+AT107^2),IF(AI110="","",IF(AT106&lt;0,-AX106*AQ103/SQRT(AT106^2+AT107^2),AX106*AQ103/SQRT(AT106^2+AT107^2)))))</f>
        <v/>
      </c>
      <c r="AJ107" s="258"/>
      <c r="AK107" s="259"/>
      <c r="AL107" s="187"/>
      <c r="AM107" s="28"/>
      <c r="AN107" s="213" t="b">
        <f>IF(BA106="","",IF(AND(BA106=1,F108=50,L106="oil cooled type"),VLOOKUP(L108,変１,3,FALSE),IF(AND(BA106=1,F108=50,L106="(F)molded type"),VLOOKUP(L108,変１,8,FALSE),IF(AND(BA106=1,F108=60,L106="oil cooled type"),VLOOKUP(L108,変１,13,FALSE),IF(AND(BA106=1,F108=60,L106="(F)molded type"),VLOOKUP(L108,変１,18,FALSE),FALSE)))))</f>
        <v>0</v>
      </c>
      <c r="AO107" s="213">
        <f>IF(ISNA(VLOOKUP(L108,変ＵＳＥＲ,3,FALSE)),0,VLOOKUP(L108,変ＵＳＥＲ,3,FALSE)*BA109/50)</f>
        <v>0</v>
      </c>
      <c r="AP107" s="214">
        <f>IF(W106="",0,W106*1000/BA108^2/SQRT(BA106))</f>
        <v>0</v>
      </c>
      <c r="AQ107" s="213">
        <f>IF(AND(BA106=1,BA107=2),1,IF(AND(BA106=3,BA107=3),1,IF(AND(BA106=1,BA107=3),2,IF(AND(BA106=3,BA107=4)*OR(BB106=1,BB107=1,BB108=1,BB109=1),1,SQRT(3)))))</f>
        <v>1.7320508075688772</v>
      </c>
      <c r="AR107" s="215" t="str">
        <f>IF(X106="","",IF(X106="600V IV",VLOOKUP(X108,ＩＶ,3,FALSE),IF(X106="600V CV-T",VLOOKUP(X108,ＣＶＴ,3,FALSE),IF(OR(X106="600V CV-1C",X106="600V CV-2C",X106="600V CV-3C",X106="600V CV-4C"),VLOOKUP(X108,ＣＶ２３Ｃ,3,FALSE),VLOOKUP(X108,ＣＵＳＥＲ,3,FALSE)))))</f>
        <v/>
      </c>
      <c r="AS107" s="213" t="str">
        <f>IF(AD109="",AP109,AP109+(AD109/1000))</f>
        <v/>
      </c>
      <c r="AT107" s="216" t="str">
        <f>IF(AU109="",AT109,AU109)</f>
        <v/>
      </c>
      <c r="AU107" s="216" t="str">
        <f>IF(D106="","",IF(AND(D366="",#REF!&lt;&gt;"",AV109=#REF!),#REF!,IF(AND(D366="",#REF!="",#REF!&lt;&gt;"",AV369=#REF!),#REF!,IF(AND(D366="",#REF!="",#REF!="",#REF!&lt;&gt;"",#REF!=#REF!),#REF!,IF(AND(D366="",#REF!="",#REF!="",#REF!="",D370&lt;&gt;"",#REF!=#REF!),AT371,IF(AND(D366="",#REF!="",#REF!="",#REF!="",D370="",#REF!&lt;&gt;"",#REF!=AV374),AT372,IF(AND(D366="",#REF!="",#REF!="",#REF!="",D370="",#REF!="",D375&lt;&gt;"",#REF!=AV378),AT376,"")))))))</f>
        <v/>
      </c>
      <c r="AV107" s="215" t="str">
        <f>IF(L106="ACG",IF(ISNA(VLOOKUP(L108,ＡＣＧ,3,FALSE)),0,VLOOKUP(L108,ＡＣＧ,3,FALSE)*BA109/50),"")</f>
        <v/>
      </c>
      <c r="AW107" s="217" t="str">
        <f>IF(AT107="","",(AT107-AP106*(AT106^2+AT107^2))/((AT106*AP106)^2+(AP106*AT107-1)^2))</f>
        <v/>
      </c>
      <c r="AX107" s="218"/>
      <c r="AY107" s="219">
        <f>IF(N(AY109)=10^30,10^30,IF(N(AY369)=10^30,(N(AY109)*(N(AY368)^2+N(AY369)^2)+N(AY369)*(N(AY108)^2+N(AY109)^2))/((N(AY108)+N(AY368))^2+(N(AY109)+N(AY369))^2),(N(AY109)*(N(AY366)^2+N(AY367)^2)+N(AY367)*(N(AY108)^2+N(AY109)^2))/((N(AY108)+N(AY366))^2+(N(AY109)+N(AY367))^2)))</f>
        <v>1E+30</v>
      </c>
      <c r="AZ107" s="23"/>
      <c r="BA107" s="220">
        <f>IF(AND(H106="",SUM(S106:S109)&lt;&gt;0),BA103,H106)</f>
        <v>0</v>
      </c>
      <c r="BB107" s="221">
        <f t="shared" si="2"/>
        <v>0</v>
      </c>
      <c r="BC107" s="232"/>
      <c r="BD107" s="232"/>
    </row>
    <row r="108" spans="1:56" ht="15" customHeight="1">
      <c r="B108" s="85"/>
      <c r="C108" s="271"/>
      <c r="D108" s="409"/>
      <c r="E108" s="362"/>
      <c r="F108" s="413"/>
      <c r="G108" s="414"/>
      <c r="H108" s="414"/>
      <c r="I108" s="414"/>
      <c r="J108" s="414"/>
      <c r="K108" s="415"/>
      <c r="L108" s="416"/>
      <c r="M108" s="275"/>
      <c r="N108" s="412"/>
      <c r="O108" s="198"/>
      <c r="P108" s="93"/>
      <c r="Q108" s="202"/>
      <c r="R108" s="91"/>
      <c r="S108" s="92" t="str">
        <f>IF(R109="","",IF(Q109="",P109/R109,P109/(Q109*R109)))</f>
        <v/>
      </c>
      <c r="T108" s="200"/>
      <c r="U108" s="203" t="str">
        <f>IF(OR(BA108="",S108=""),"",S108*1000*T108/(SQRT(BA106)*BA108))</f>
        <v/>
      </c>
      <c r="V108" s="94" t="str">
        <f>IF(AND(N(U106)=0,N(U107)=0,N(U108)=0,N(U109)=0),"",V106*(P106*R106*T106+P107*R107*T107+P108*R108*T108+P109*R109*T109)/(P106*T106+P107*T107+P108*T108+P109*T109))</f>
        <v/>
      </c>
      <c r="W108" s="276" t="str">
        <f>IF(AND(N(AP108)=0,N(AP109)=0,N(AP107)=0),"",IF(AP109&gt;=0,COS(ATAN(AP109/AP108)),-COS(ATAN(AP109/AP108))))</f>
        <v/>
      </c>
      <c r="X108" s="95"/>
      <c r="Y108" s="204"/>
      <c r="Z108" s="96"/>
      <c r="AA108" s="97"/>
      <c r="AB108" s="98"/>
      <c r="AC108" s="204"/>
      <c r="AD108" s="96"/>
      <c r="AE108" s="99"/>
      <c r="AF108" s="236" t="str">
        <f>IF(OR(AF106="",AG102&lt;&gt;""),"",BA108/SQRT(AW108^2+AW109^2))</f>
        <v/>
      </c>
      <c r="AG108" s="274" t="str">
        <f>IF(AG106="","",100*((BA108/AQ107)-AG106)/(BA108/AQ107))</f>
        <v/>
      </c>
      <c r="AH108" s="275"/>
      <c r="AI108" s="261"/>
      <c r="AJ108" s="262"/>
      <c r="AK108" s="264"/>
      <c r="AL108" s="188"/>
      <c r="AM108" s="28"/>
      <c r="AN108" s="222" t="b">
        <f>IF(BA106="","",IF(AND(BA106=3,F108=50,L106="oil cooled type"),VLOOKUP(L108,変３,2,FALSE),IF(AND(BA106=3,F108=50,L106="(F)molded type"),VLOOKUP(L108,変３,7,FALSE),IF(AND(BA106=3,F108=60,L106="oil cooled type"),VLOOKUP(L108,変３,12,FALSE),IF(AND(BA106=3,F108=60,L106="(F)molded type"),VLOOKUP(L108,変３,17,FALSE),FALSE)))))</f>
        <v>0</v>
      </c>
      <c r="AO108" s="215" t="str">
        <f>IF(AND(L102="",N(AY106)&lt;10^29),AY106,"")</f>
        <v/>
      </c>
      <c r="AP108" s="223" t="str">
        <f>IF(V106="","",IF(AND(N(V108)=0,N(AP107)=0),"",AQ108/((AQ108*AP107)^2+(AP107*AQ109-1)^2)))</f>
        <v/>
      </c>
      <c r="AQ108" s="213">
        <f>IF(N(V108)=0,10^30,V108)</f>
        <v>1E+30</v>
      </c>
      <c r="AR108" s="215" t="str">
        <f>IF(AB106="","",IF(AB106="600V IV",VLOOKUP(AB108,ＩＶ,2,FALSE),IF(AB106="600V CV-T",VLOOKUP(AB108,ＣＶＴ,2,FALSE),IF(OR(AB106="600V CV-1C",AB106="600V CV-2C",AB106="600V CV-3C",AB106="600V CV-4C"),VLOOKUP(AB108,ＣＶ２３Ｃ,2,FALSE),VLOOKUP(AB108,ＣＵＳＥＲ,2,FALSE)))))</f>
        <v/>
      </c>
      <c r="AS108" s="213" t="str">
        <f>IF(OR(AND(AS366="",AS367=""),AND(D106="",D366&lt;&gt;"")),AS106,(AS106*(AT366^2+AT367^2)+AT366*(AS106^2+AS107^2))/((AS106+AT366)^2+(AS107+AT367)^2))</f>
        <v/>
      </c>
      <c r="AT108" s="216" t="str">
        <f>IF(X109="",AS108,N(AS108)+(X109/1000))</f>
        <v/>
      </c>
      <c r="AU108" s="216" t="str">
        <f>IF(AU106="","",(AT108*(AU106^2+AU107^2)+AU106*(AT108^2+AT109^2))/((AT108+AU106)^2+(AT109+AU107)^2))</f>
        <v/>
      </c>
      <c r="AV108" s="216">
        <f>IF(BA108=0,1,0)</f>
        <v>1</v>
      </c>
      <c r="AW108" s="217" t="str">
        <f>IF(AO108="","",AW106+AO108)</f>
        <v/>
      </c>
      <c r="AX108" s="218" t="str">
        <f>IF(AND(AX104="",AW108&lt;&gt;""),BA108*SQRT(AW106^2+AW107^2)/SQRT(AW108^2+AW109^2),IF(BA108&lt;&gt;0,AX104,""))</f>
        <v/>
      </c>
      <c r="AY108" s="224">
        <f>IF(L108="",10^30,SQRT(BA106)*(BA108^2)*(N(AN106)+N(AN108)+N(AO106)+N(AV106))/(100000*L108*M106))</f>
        <v>1E+30</v>
      </c>
      <c r="AZ108" s="225"/>
      <c r="BA108" s="220">
        <f>IF(AND(J106="",SUM(S106:S109)&lt;&gt;0),BA104,J106)</f>
        <v>0</v>
      </c>
      <c r="BB108" s="221">
        <f t="shared" si="2"/>
        <v>0</v>
      </c>
      <c r="BC108" s="232"/>
      <c r="BD108" s="232"/>
    </row>
    <row r="109" spans="1:56" ht="15" customHeight="1">
      <c r="A109" s="85"/>
      <c r="B109" s="85"/>
      <c r="C109" s="271"/>
      <c r="D109" s="417"/>
      <c r="E109" s="418"/>
      <c r="F109" s="419"/>
      <c r="G109" s="270"/>
      <c r="H109" s="270"/>
      <c r="I109" s="270"/>
      <c r="J109" s="270"/>
      <c r="K109" s="268"/>
      <c r="L109" s="251" t="str">
        <f>IF(M106="","",L108*1000*M106/(SQRT(BA106)*BA108))</f>
        <v/>
      </c>
      <c r="M109" s="252"/>
      <c r="N109" s="277"/>
      <c r="O109" s="205"/>
      <c r="P109" s="106"/>
      <c r="Q109" s="206"/>
      <c r="R109" s="107"/>
      <c r="S109" s="108" t="str">
        <f>IF(R109="","",IF(Q109="",P109/R109,P109/(Q109*R109)))</f>
        <v/>
      </c>
      <c r="T109" s="207"/>
      <c r="U109" s="208" t="str">
        <f>IF(OR(BA108="",S109=""),"",S109*1000*T109/(SQRT(BA106)*BA108))</f>
        <v/>
      </c>
      <c r="V109" s="109" t="str">
        <f>IF(AND(N(U106)=0,N(U107)=0,N(U108)=0,N(U109)=0),"",IF(V106&gt;=0,SQRT(ABS(V106^2-V108^2)),-SQRT(V106^2-V108^2)))</f>
        <v/>
      </c>
      <c r="W109" s="277"/>
      <c r="X109" s="278" t="str">
        <f>IF(Y108="","",AQ106*Z108*AR106*((1+0.00393*(F109-20))/1.2751)/Y108)</f>
        <v/>
      </c>
      <c r="Y109" s="270"/>
      <c r="Z109" s="267" t="str">
        <f>IF(Y108="","",(BA109/50)*AQ106*Z108*AR107/Y108)</f>
        <v/>
      </c>
      <c r="AA109" s="252"/>
      <c r="AB109" s="279" t="str">
        <f>IF(AC108="","",AQ106*AD108*AR108*((1+0.00393*(F109-20))/1.2751)/AC108)</f>
        <v/>
      </c>
      <c r="AC109" s="270"/>
      <c r="AD109" s="267" t="str">
        <f>IF(AC108="","",(BA109/50)*AQ106*AD108*AR109/AC108)</f>
        <v/>
      </c>
      <c r="AE109" s="268"/>
      <c r="AF109" s="237" t="str">
        <f>IF(AND(AX106&lt;&gt;"",D106=""),AX106,"")</f>
        <v/>
      </c>
      <c r="AG109" s="269" t="str">
        <f>IF(AP108="","",AP108)</f>
        <v/>
      </c>
      <c r="AH109" s="270"/>
      <c r="AI109" s="238" t="str">
        <f>IF(AP109="","",AP109)</f>
        <v/>
      </c>
      <c r="AJ109" s="263"/>
      <c r="AK109" s="253"/>
      <c r="AL109" s="189"/>
      <c r="AM109" s="28"/>
      <c r="AN109" s="226" t="b">
        <f>IF(BA106="","",IF(AND(BA106=3,F108=50,L106="oil cooled type"),VLOOKUP(L108,変３,3,FALSE),IF(AND(BA106=3,F108=50,L106="(F)molded type"),VLOOKUP(L108,変３,8,FALSE),IF(AND(BA106=3,F108=60,L106="oil cooled type"),VLOOKUP(L108,変３,13,FALSE),IF(AND(BA106=3,F108=60,L106="(F)molded type"),VLOOKUP(L108,変３,18,FALSE),FALSE)))))</f>
        <v>0</v>
      </c>
      <c r="AO109" s="226" t="str">
        <f>IF(AND(L102="",N(AY107)&lt;10^29),AY107,"")</f>
        <v/>
      </c>
      <c r="AP109" s="227" t="str">
        <f>IF(V106="","",IF(AND(N(V109)=0,N(AP107)=0),0,(AQ109-AP107*(AQ108^2+AQ109^2))/((AQ108*AP107)^2+(AP107*AQ109-1)^2)))</f>
        <v/>
      </c>
      <c r="AQ109" s="228">
        <f>IF(N(V109)=0,10^30,V109)</f>
        <v>1E+30</v>
      </c>
      <c r="AR109" s="226" t="str">
        <f>IF(AB106="","",IF(AB106="600V IV",VLOOKUP(AB108,ＩＶ,3,FALSE),IF(AB106="600V CV-T",VLOOKUP(AB108,ＣＶＴ,3,FALSE),IF(OR(AB106="600V CV-1C",AB106="600V CV-2C",AB106="600V CV-3C",AB106="600V CV-4C"),VLOOKUP(AB108,ＣＶ２３Ｃ,3,FALSE),VLOOKUP(AB108,ＣＵＳＥＲ,3,FALSE)))))</f>
        <v/>
      </c>
      <c r="AS109" s="228" t="str">
        <f>IF(OR(AND(AS366="",AS367=""),AND(D106="",D366&lt;&gt;"")),AS107,(AS107*(AT366^2+AT367^2)+AT367*(AS106^2+AS107^2))/((AS106+AT366)^2+(AS107+AT367)^2))</f>
        <v/>
      </c>
      <c r="AT109" s="229" t="str">
        <f>IF(Z109="",AS109,N(AS109)+(Z109/1000))</f>
        <v/>
      </c>
      <c r="AU109" s="229" t="str">
        <f>IF(AU107="","",(AT109*(AU106^2+AU107^2)+AU107*(AT108^2+AT109^2))/((AT108+AU106)^2+(AT109+AU107)^2))</f>
        <v/>
      </c>
      <c r="AV109" s="229">
        <f>AV105+AV108</f>
        <v>23</v>
      </c>
      <c r="AW109" s="228" t="str">
        <f>IF(AO109="","",AW107+AO109)</f>
        <v/>
      </c>
      <c r="AX109" s="230"/>
      <c r="AY109" s="224">
        <f>IF(L108="",10^30,SQRT(BA106)*(BA108^2)*(N(AN107)+N(AN109)+N(AO107)+N(AV107))/(100000*L108*M106))</f>
        <v>1E+30</v>
      </c>
      <c r="AZ109" s="225"/>
      <c r="BA109" s="220">
        <f>IF(AND(F108="",SUM(S106:S109)&lt;&gt;0),BA105,F108)</f>
        <v>0</v>
      </c>
      <c r="BB109" s="221">
        <f t="shared" si="2"/>
        <v>0</v>
      </c>
      <c r="BC109" s="232"/>
      <c r="BD109" s="232"/>
    </row>
    <row r="110" spans="1:56" ht="15" customHeight="1">
      <c r="B110" s="85"/>
      <c r="C110" s="271" t="str">
        <f>IF(BC110=1,"●","・")</f>
        <v>・</v>
      </c>
      <c r="D110" s="402"/>
      <c r="E110" s="403"/>
      <c r="F110" s="404"/>
      <c r="G110" s="265" t="str">
        <f>IF(F110="","","φ")</f>
        <v/>
      </c>
      <c r="H110" s="405"/>
      <c r="I110" s="265" t="str">
        <f>IF(H110="","","W")</f>
        <v/>
      </c>
      <c r="J110" s="405"/>
      <c r="K110" s="272" t="str">
        <f>IF(J110="","","V")</f>
        <v/>
      </c>
      <c r="L110" s="406"/>
      <c r="M110" s="407"/>
      <c r="N110" s="408"/>
      <c r="O110" s="193"/>
      <c r="P110" s="86"/>
      <c r="Q110" s="194"/>
      <c r="R110" s="87"/>
      <c r="S110" s="88" t="str">
        <f>IF(R110="","",IF(Q110="",P110/R110,P110/(Q110*R110)))</f>
        <v/>
      </c>
      <c r="T110" s="195"/>
      <c r="U110" s="196" t="str">
        <f>IF(OR(BA112="",S110=""),"",S110*1000*T110/(SQRT(BA110)*BA112))</f>
        <v/>
      </c>
      <c r="V110" s="254" t="str">
        <f>IF(AND(N(U110)=0,N(U111)=0,N(U112)=0,N(U113)=0),"",BA112/(SUM(U110:U113)))</f>
        <v/>
      </c>
      <c r="W110" s="280"/>
      <c r="X110" s="281"/>
      <c r="Y110" s="242"/>
      <c r="Z110" s="243"/>
      <c r="AA110" s="239"/>
      <c r="AB110" s="241"/>
      <c r="AC110" s="242"/>
      <c r="AD110" s="243"/>
      <c r="AE110" s="247"/>
      <c r="AF110" s="233" t="str">
        <f>IF(OR(AND(AF106="",N(BA108)=0,BA112&lt;&gt;0),D110&lt;&gt;""),AX112/AQ111,"")</f>
        <v/>
      </c>
      <c r="AG110" s="249" t="str">
        <f>IF(BA112=0,"",IF(AD112="",AX110,IF(AND(D110&lt;&gt;"",AU110=""),AX112*SQRT(AP112^2+AP113^2)/SQRT(AS110^2+AS111^2)/AQ111,AX110*SQRT(AP112^2+AP113^2)/SQRT(AS110^2+AS111^2))))</f>
        <v/>
      </c>
      <c r="AH110" s="250"/>
      <c r="AI110" s="234" t="str">
        <f>IF(AG110="","",IF(N(U110)&lt;0,-AX110*AQ111/SQRT(AS110^2+AS111^2),AX110*AQ111/SQRT(AS110^2+AS111^2)))</f>
        <v/>
      </c>
      <c r="AJ110" s="256"/>
      <c r="AK110" s="257"/>
      <c r="AL110" s="186"/>
      <c r="AM110" s="28"/>
      <c r="AN110" s="213" t="b">
        <f>IF(BA110="","",IF(AND(BA110=1,F112=50,L110="oil cooled type"),VLOOKUP(L112,変１,2,FALSE),IF(AND(BA110=1,F112=50,L110="(F)molded type"),VLOOKUP(L112,変１,7,FALSE),IF(AND(BA110=1,F112=60,L110="oil cooled type"),VLOOKUP(L112,変１,12,FALSE),IF(AND(BA110=1,F112=60,L110="(F)molded type"),VLOOKUP(L112,変１,17,FALSE),FALSE)))))</f>
        <v>0</v>
      </c>
      <c r="AO110" s="213">
        <f>IF(ISNA(VLOOKUP(L112,変ＵＳＥＲ,2,FALSE)),0,VLOOKUP(L112,変ＵＳＥＲ,2,FALSE))</f>
        <v>0</v>
      </c>
      <c r="AP110" s="214">
        <f>IF(N110="",0,N110*1000/BA112^2/SQRT(BA110))</f>
        <v>0</v>
      </c>
      <c r="AQ110" s="213" t="b">
        <f>IF(BA110=1,2,IF(BA110=3,SQRT(3),FALSE))</f>
        <v>0</v>
      </c>
      <c r="AR110" s="215" t="str">
        <f>IF(X110="","",IF(X110="600V IV",VLOOKUP(X112,ＩＶ,2,FALSE),IF(X110="600V CV-T",VLOOKUP(X112,ＣＶＴ,2,FALSE),IF(OR(X110="600V CV-1C",X110="600V CV-2C",X110="600V CV-3C",X110="600V CV-4C"),VLOOKUP(X112,ＣＶ２３Ｃ,2,FALSE),VLOOKUP(X112,ＣＵＳＥＲ,2,FALSE)))))</f>
        <v/>
      </c>
      <c r="AS110" s="213" t="str">
        <f>IF(AB113="",AP112,AP112+(AB113/1000))</f>
        <v/>
      </c>
      <c r="AT110" s="216" t="str">
        <f>IF(AU112="",AT112,AU112)</f>
        <v/>
      </c>
      <c r="AU110" s="216" t="str">
        <f>IF(D110="","",IF(AND(D370="",#REF!&lt;&gt;"",AV113=#REF!),#REF!,IF(AND(D370="",#REF!="",#REF!&lt;&gt;"",AV373=#REF!),#REF!,IF(AND(D370="",#REF!="",#REF!="",#REF!&lt;&gt;"",#REF!=#REF!),#REF!,IF(AND(D370="",#REF!="",#REF!="",#REF!="",D374&lt;&gt;"",#REF!=#REF!),AT374,IF(AND(D370="",#REF!="",#REF!="",#REF!="",D374="",#REF!&lt;&gt;"",#REF!=AV378),#REF!,IF(AND(D370="",#REF!="",#REF!="",#REF!="",D374="",#REF!="",D379&lt;&gt;"",#REF!=AV382),AT379,"")))))))</f>
        <v/>
      </c>
      <c r="AV110" s="216" t="str">
        <f>IF(L110="ACG",IF(ISNA(VLOOKUP(L112,ＡＣＧ,2,FALSE)),0,VLOOKUP(L112,ＡＣＧ,2,FALSE)),"")</f>
        <v/>
      </c>
      <c r="AW110" s="217" t="str">
        <f>IF(AT110="","",AT110/((AT110*AP110)^2+(AT111*AP110-1)^2))</f>
        <v/>
      </c>
      <c r="AX110" s="218" t="str">
        <f>IF(BA112=0,"",IF(OR(AX106="",AF110&lt;&gt;""),AF110*SQRT(AS112^2+AS113^2)/SQRT(AT112^2+AT113^2),AX106*SQRT(AS112^2+AS113^2)/SQRT(AT112^2+AT113^2)))</f>
        <v/>
      </c>
      <c r="AY110" s="219">
        <f>IF(N(AY112)=10^30,10^30,IF(N(AY372)=10^30,(N(AY112)*(N(AY372)^2+N(AY373)^2)+N(AY372)*(N(AY112)^2+N(AY113)^2))/((N(AY112)+N(AY372))^2+(N(AY113)+N(AY373))^2),(N(AY112)*(N(AY370)^2+N(AY371)^2)+N(AY370)*(N(AY112)^2+N(AY113)^2))/((N(AY112)+N(AY370))^2+(N(AY113)+N(AY371))^2)))</f>
        <v>1E+30</v>
      </c>
      <c r="AZ110" s="23"/>
      <c r="BA110" s="220">
        <f>IF(AND(F110="",SUM(S110:S113)&lt;&gt;0),BA106,F110)</f>
        <v>0</v>
      </c>
      <c r="BB110" s="221">
        <f t="shared" si="2"/>
        <v>0</v>
      </c>
      <c r="BC110" s="232">
        <f>IF(OR(E110="",F113="",AND(OR(P110="",Q110="",R110="",T110=""),OR(P111="",Q111="",R111="",T111=""),OR(P112="",Q112="",R112="",T112=""),OR(P113="",Q113="",R113="",T113="")),AND(OR(X110="",X112="",Y112="",Z112=""),OR(AB110="",AB112="",AC112="",AD112=""))),0,1)</f>
        <v>0</v>
      </c>
      <c r="BD110" s="232">
        <f>BC110+BD106</f>
        <v>0</v>
      </c>
    </row>
    <row r="111" spans="1:56" ht="15" customHeight="1">
      <c r="B111" s="85"/>
      <c r="C111" s="271"/>
      <c r="D111" s="409"/>
      <c r="E111" s="362"/>
      <c r="F111" s="410"/>
      <c r="G111" s="266"/>
      <c r="H111" s="266"/>
      <c r="I111" s="266"/>
      <c r="J111" s="266"/>
      <c r="K111" s="273"/>
      <c r="L111" s="411"/>
      <c r="M111" s="197" t="str">
        <f>IF(L110="ACG",SQRT(AV110^2+AV111^2),IF(L112="","",IF(OR(L110="oil cooled type",L110="(F)molded type"),IF(BA110=1,SQRT(AN110^2+AN111^2),IF(BA110=3,SQRT(AN112^2+AN113^2))),SQRT(AO110^2+AO111^2))))</f>
        <v/>
      </c>
      <c r="N111" s="412"/>
      <c r="O111" s="198"/>
      <c r="P111" s="90"/>
      <c r="Q111" s="199"/>
      <c r="R111" s="91"/>
      <c r="S111" s="92" t="str">
        <f>IF(R112="","",IF(Q112="",P112/R112,P112/(Q112*R112)))</f>
        <v/>
      </c>
      <c r="T111" s="200"/>
      <c r="U111" s="201" t="str">
        <f>IF(OR(BA112="",S111=""),"",S111*1000*T111/(SQRT(BA110)*BA112))</f>
        <v/>
      </c>
      <c r="V111" s="255"/>
      <c r="W111" s="248"/>
      <c r="X111" s="258"/>
      <c r="Y111" s="245"/>
      <c r="Z111" s="246"/>
      <c r="AA111" s="240"/>
      <c r="AB111" s="244"/>
      <c r="AC111" s="245"/>
      <c r="AD111" s="246"/>
      <c r="AE111" s="248"/>
      <c r="AF111" s="235" t="str">
        <f>IF(OR(AF110="",AG106&lt;&gt;""),"",AF110*AQ111/SQRT(AT110^2+AT111^2))</f>
        <v/>
      </c>
      <c r="AG111" s="274" t="str">
        <f>IF(AG110="","",100*AG110*AQ111/BA112)</f>
        <v/>
      </c>
      <c r="AH111" s="275"/>
      <c r="AI111" s="260" t="str">
        <f>IF(BA112=0,"",IF(AI106="",AX112/SQRT(AT110^2+AT111^2),IF(AI114="","",IF(AT110&lt;0,-AX110*AQ107/SQRT(AT110^2+AT111^2),AX110*AQ107/SQRT(AT110^2+AT111^2)))))</f>
        <v/>
      </c>
      <c r="AJ111" s="258"/>
      <c r="AK111" s="259"/>
      <c r="AL111" s="187"/>
      <c r="AM111" s="28"/>
      <c r="AN111" s="213" t="b">
        <f>IF(BA110="","",IF(AND(BA110=1,F112=50,L110="oil cooled type"),VLOOKUP(L112,変１,3,FALSE),IF(AND(BA110=1,F112=50,L110="(F)molded type"),VLOOKUP(L112,変１,8,FALSE),IF(AND(BA110=1,F112=60,L110="oil cooled type"),VLOOKUP(L112,変１,13,FALSE),IF(AND(BA110=1,F112=60,L110="(F)molded type"),VLOOKUP(L112,変１,18,FALSE),FALSE)))))</f>
        <v>0</v>
      </c>
      <c r="AO111" s="213">
        <f>IF(ISNA(VLOOKUP(L112,変ＵＳＥＲ,3,FALSE)),0,VLOOKUP(L112,変ＵＳＥＲ,3,FALSE)*BA113/50)</f>
        <v>0</v>
      </c>
      <c r="AP111" s="214">
        <f>IF(W110="",0,W110*1000/BA112^2/SQRT(BA110))</f>
        <v>0</v>
      </c>
      <c r="AQ111" s="213">
        <f>IF(AND(BA110=1,BA111=2),1,IF(AND(BA110=3,BA111=3),1,IF(AND(BA110=1,BA111=3),2,IF(AND(BA110=3,BA111=4)*OR(BB110=1,BB111=1,BB112=1,BB113=1),1,SQRT(3)))))</f>
        <v>1.7320508075688772</v>
      </c>
      <c r="AR111" s="215" t="str">
        <f>IF(X110="","",IF(X110="600V IV",VLOOKUP(X112,ＩＶ,3,FALSE),IF(X110="600V CV-T",VLOOKUP(X112,ＣＶＴ,3,FALSE),IF(OR(X110="600V CV-1C",X110="600V CV-2C",X110="600V CV-3C",X110="600V CV-4C"),VLOOKUP(X112,ＣＶ２３Ｃ,3,FALSE),VLOOKUP(X112,ＣＵＳＥＲ,3,FALSE)))))</f>
        <v/>
      </c>
      <c r="AS111" s="213" t="str">
        <f>IF(AD113="",AP113,AP113+(AD113/1000))</f>
        <v/>
      </c>
      <c r="AT111" s="216" t="str">
        <f>IF(AU113="",AT113,AU113)</f>
        <v/>
      </c>
      <c r="AU111" s="216" t="str">
        <f>IF(D110="","",IF(AND(D370="",#REF!&lt;&gt;"",AV113=#REF!),#REF!,IF(AND(D370="",#REF!="",#REF!&lt;&gt;"",AV373=#REF!),#REF!,IF(AND(D370="",#REF!="",#REF!="",#REF!&lt;&gt;"",#REF!=#REF!),#REF!,IF(AND(D370="",#REF!="",#REF!="",#REF!="",D374&lt;&gt;"",#REF!=#REF!),AT375,IF(AND(D370="",#REF!="",#REF!="",#REF!="",D374="",#REF!&lt;&gt;"",#REF!=AV378),AT376,IF(AND(D370="",#REF!="",#REF!="",#REF!="",D374="",#REF!="",D379&lt;&gt;"",#REF!=AV382),AT380,"")))))))</f>
        <v/>
      </c>
      <c r="AV111" s="215" t="str">
        <f>IF(L110="ACG",IF(ISNA(VLOOKUP(L112,ＡＣＧ,3,FALSE)),0,VLOOKUP(L112,ＡＣＧ,3,FALSE)*BA113/50),"")</f>
        <v/>
      </c>
      <c r="AW111" s="217" t="str">
        <f>IF(AT111="","",(AT111-AP110*(AT110^2+AT111^2))/((AT110*AP110)^2+(AP110*AT111-1)^2))</f>
        <v/>
      </c>
      <c r="AX111" s="218"/>
      <c r="AY111" s="219">
        <f>IF(N(AY113)=10^30,10^30,IF(N(AY373)=10^30,(N(AY113)*(N(AY372)^2+N(AY373)^2)+N(AY373)*(N(AY112)^2+N(AY113)^2))/((N(AY112)+N(AY372))^2+(N(AY113)+N(AY373))^2),(N(AY113)*(N(AY370)^2+N(AY371)^2)+N(AY371)*(N(AY112)^2+N(AY113)^2))/((N(AY112)+N(AY370))^2+(N(AY113)+N(AY371))^2)))</f>
        <v>1E+30</v>
      </c>
      <c r="AZ111" s="23"/>
      <c r="BA111" s="220">
        <f>IF(AND(H110="",SUM(S110:S113)&lt;&gt;0),BA107,H110)</f>
        <v>0</v>
      </c>
      <c r="BB111" s="221">
        <f t="shared" si="2"/>
        <v>0</v>
      </c>
      <c r="BC111" s="232"/>
      <c r="BD111" s="232"/>
    </row>
    <row r="112" spans="1:56" ht="15" customHeight="1">
      <c r="B112" s="85"/>
      <c r="C112" s="271"/>
      <c r="D112" s="409"/>
      <c r="E112" s="362"/>
      <c r="F112" s="413"/>
      <c r="G112" s="414"/>
      <c r="H112" s="414"/>
      <c r="I112" s="414"/>
      <c r="J112" s="414"/>
      <c r="K112" s="415"/>
      <c r="L112" s="416"/>
      <c r="M112" s="275"/>
      <c r="N112" s="412"/>
      <c r="O112" s="198"/>
      <c r="P112" s="93"/>
      <c r="Q112" s="202"/>
      <c r="R112" s="91"/>
      <c r="S112" s="92" t="str">
        <f>IF(R113="","",IF(Q113="",P113/R113,P113/(Q113*R113)))</f>
        <v/>
      </c>
      <c r="T112" s="200"/>
      <c r="U112" s="203" t="str">
        <f>IF(OR(BA112="",S112=""),"",S112*1000*T112/(SQRT(BA110)*BA112))</f>
        <v/>
      </c>
      <c r="V112" s="94" t="str">
        <f>IF(AND(N(U110)=0,N(U111)=0,N(U112)=0,N(U113)=0),"",V110*(P110*R110*T110+P111*R111*T111+P112*R112*T112+P113*R113*T113)/(P110*T110+P111*T111+P112*T112+P113*T113))</f>
        <v/>
      </c>
      <c r="W112" s="276" t="str">
        <f>IF(AND(N(AP112)=0,N(AP113)=0,N(AP111)=0),"",IF(AP113&gt;=0,COS(ATAN(AP113/AP112)),-COS(ATAN(AP113/AP112))))</f>
        <v/>
      </c>
      <c r="X112" s="95"/>
      <c r="Y112" s="204"/>
      <c r="Z112" s="96"/>
      <c r="AA112" s="97"/>
      <c r="AB112" s="98"/>
      <c r="AC112" s="204"/>
      <c r="AD112" s="96"/>
      <c r="AE112" s="99"/>
      <c r="AF112" s="236" t="str">
        <f>IF(OR(AF110="",AG106&lt;&gt;""),"",BA112/SQRT(AW112^2+AW113^2))</f>
        <v/>
      </c>
      <c r="AG112" s="274" t="str">
        <f>IF(AG110="","",100*((BA112/AQ111)-AG110)/(BA112/AQ111))</f>
        <v/>
      </c>
      <c r="AH112" s="275"/>
      <c r="AI112" s="261"/>
      <c r="AJ112" s="262"/>
      <c r="AK112" s="264"/>
      <c r="AL112" s="188"/>
      <c r="AM112" s="28"/>
      <c r="AN112" s="222" t="b">
        <f>IF(BA110="","",IF(AND(BA110=3,F112=50,L110="oil cooled type"),VLOOKUP(L112,変３,2,FALSE),IF(AND(BA110=3,F112=50,L110="(F)molded type"),VLOOKUP(L112,変３,7,FALSE),IF(AND(BA110=3,F112=60,L110="oil cooled type"),VLOOKUP(L112,変３,12,FALSE),IF(AND(BA110=3,F112=60,L110="(F)molded type"),VLOOKUP(L112,変３,17,FALSE),FALSE)))))</f>
        <v>0</v>
      </c>
      <c r="AO112" s="215" t="str">
        <f>IF(AND(L106="",N(AY110)&lt;10^29),AY110,"")</f>
        <v/>
      </c>
      <c r="AP112" s="223" t="str">
        <f>IF(V110="","",IF(AND(N(V112)=0,N(AP111)=0),"",AQ112/((AQ112*AP111)^2+(AP111*AQ113-1)^2)))</f>
        <v/>
      </c>
      <c r="AQ112" s="213">
        <f>IF(N(V112)=0,10^30,V112)</f>
        <v>1E+30</v>
      </c>
      <c r="AR112" s="215" t="str">
        <f>IF(AB110="","",IF(AB110="600V IV",VLOOKUP(AB112,ＩＶ,2,FALSE),IF(AB110="600V CV-T",VLOOKUP(AB112,ＣＶＴ,2,FALSE),IF(OR(AB110="600V CV-1C",AB110="600V CV-2C",AB110="600V CV-3C",AB110="600V CV-4C"),VLOOKUP(AB112,ＣＶ２３Ｃ,2,FALSE),VLOOKUP(AB112,ＣＵＳＥＲ,2,FALSE)))))</f>
        <v/>
      </c>
      <c r="AS112" s="213" t="str">
        <f>IF(OR(AND(AS370="",AS371=""),AND(D110="",D370&lt;&gt;"")),AS110,(AS110*(AT370^2+AT371^2)+AT370*(AS110^2+AS111^2))/((AS110+AT370)^2+(AS111+AT371)^2))</f>
        <v/>
      </c>
      <c r="AT112" s="216" t="str">
        <f>IF(X113="",AS112,N(AS112)+(X113/1000))</f>
        <v/>
      </c>
      <c r="AU112" s="216" t="str">
        <f>IF(AU110="","",(AT112*(AU110^2+AU111^2)+AU110*(AT112^2+AT113^2))/((AT112+AU110)^2+(AT113+AU111)^2))</f>
        <v/>
      </c>
      <c r="AV112" s="216">
        <f>IF(BA112=0,1,0)</f>
        <v>1</v>
      </c>
      <c r="AW112" s="217" t="str">
        <f>IF(AO112="","",AW110+AO112)</f>
        <v/>
      </c>
      <c r="AX112" s="218" t="str">
        <f>IF(AND(AX108="",AW112&lt;&gt;""),BA112*SQRT(AW110^2+AW111^2)/SQRT(AW112^2+AW113^2),IF(BA112&lt;&gt;0,AX108,""))</f>
        <v/>
      </c>
      <c r="AY112" s="224">
        <f>IF(L112="",10^30,SQRT(BA110)*(BA112^2)*(N(AN110)+N(AN112)+N(AO110)+N(AV110))/(100000*L112*M110))</f>
        <v>1E+30</v>
      </c>
      <c r="AZ112" s="225"/>
      <c r="BA112" s="220">
        <f>IF(AND(J110="",SUM(S110:S113)&lt;&gt;0),BA108,J110)</f>
        <v>0</v>
      </c>
      <c r="BB112" s="221">
        <f t="shared" si="2"/>
        <v>0</v>
      </c>
      <c r="BC112" s="232"/>
      <c r="BD112" s="232"/>
    </row>
    <row r="113" spans="1:56" ht="15" customHeight="1">
      <c r="A113" s="85"/>
      <c r="B113" s="85"/>
      <c r="C113" s="271"/>
      <c r="D113" s="417"/>
      <c r="E113" s="418"/>
      <c r="F113" s="419"/>
      <c r="G113" s="270"/>
      <c r="H113" s="270"/>
      <c r="I113" s="270"/>
      <c r="J113" s="270"/>
      <c r="K113" s="268"/>
      <c r="L113" s="251" t="str">
        <f>IF(M110="","",L112*1000*M110/(SQRT(BA110)*BA112))</f>
        <v/>
      </c>
      <c r="M113" s="252"/>
      <c r="N113" s="277"/>
      <c r="O113" s="205"/>
      <c r="P113" s="106"/>
      <c r="Q113" s="206"/>
      <c r="R113" s="107"/>
      <c r="S113" s="108" t="str">
        <f>IF(R113="","",IF(Q113="",P113/R113,P113/(Q113*R113)))</f>
        <v/>
      </c>
      <c r="T113" s="207"/>
      <c r="U113" s="208" t="str">
        <f>IF(OR(BA112="",S113=""),"",S113*1000*T113/(SQRT(BA110)*BA112))</f>
        <v/>
      </c>
      <c r="V113" s="109" t="str">
        <f>IF(AND(N(U110)=0,N(U111)=0,N(U112)=0,N(U113)=0),"",IF(V110&gt;=0,SQRT(ABS(V110^2-V112^2)),-SQRT(V110^2-V112^2)))</f>
        <v/>
      </c>
      <c r="W113" s="277"/>
      <c r="X113" s="278" t="str">
        <f>IF(Y112="","",AQ110*Z112*AR110*((1+0.00393*(F113-20))/1.2751)/Y112)</f>
        <v/>
      </c>
      <c r="Y113" s="270"/>
      <c r="Z113" s="267" t="str">
        <f>IF(Y112="","",(BA113/50)*AQ110*Z112*AR111/Y112)</f>
        <v/>
      </c>
      <c r="AA113" s="252"/>
      <c r="AB113" s="279" t="str">
        <f>IF(AC112="","",AQ110*AD112*AR112*((1+0.00393*(F113-20))/1.2751)/AC112)</f>
        <v/>
      </c>
      <c r="AC113" s="270"/>
      <c r="AD113" s="267" t="str">
        <f>IF(AC112="","",(BA113/50)*AQ110*AD112*AR113/AC112)</f>
        <v/>
      </c>
      <c r="AE113" s="268"/>
      <c r="AF113" s="237" t="str">
        <f>IF(AND(AX110&lt;&gt;"",D110=""),AX110,"")</f>
        <v/>
      </c>
      <c r="AG113" s="269" t="str">
        <f>IF(AP112="","",AP112)</f>
        <v/>
      </c>
      <c r="AH113" s="270"/>
      <c r="AI113" s="238" t="str">
        <f>IF(AP113="","",AP113)</f>
        <v/>
      </c>
      <c r="AJ113" s="263"/>
      <c r="AK113" s="253"/>
      <c r="AL113" s="189"/>
      <c r="AM113" s="28"/>
      <c r="AN113" s="226" t="b">
        <f>IF(BA110="","",IF(AND(BA110=3,F112=50,L110="oil cooled type"),VLOOKUP(L112,変３,3,FALSE),IF(AND(BA110=3,F112=50,L110="(F)molded type"),VLOOKUP(L112,変３,8,FALSE),IF(AND(BA110=3,F112=60,L110="oil cooled type"),VLOOKUP(L112,変３,13,FALSE),IF(AND(BA110=3,F112=60,L110="(F)molded type"),VLOOKUP(L112,変３,18,FALSE),FALSE)))))</f>
        <v>0</v>
      </c>
      <c r="AO113" s="226" t="str">
        <f>IF(AND(L106="",N(AY111)&lt;10^29),AY111,"")</f>
        <v/>
      </c>
      <c r="AP113" s="227" t="str">
        <f>IF(V110="","",IF(AND(N(V113)=0,N(AP111)=0),0,(AQ113-AP111*(AQ112^2+AQ113^2))/((AQ112*AP111)^2+(AP111*AQ113-1)^2)))</f>
        <v/>
      </c>
      <c r="AQ113" s="228">
        <f>IF(N(V113)=0,10^30,V113)</f>
        <v>1E+30</v>
      </c>
      <c r="AR113" s="226" t="str">
        <f>IF(AB110="","",IF(AB110="600V IV",VLOOKUP(AB112,ＩＶ,3,FALSE),IF(AB110="600V CV-T",VLOOKUP(AB112,ＣＶＴ,3,FALSE),IF(OR(AB110="600V CV-1C",AB110="600V CV-2C",AB110="600V CV-3C",AB110="600V CV-4C"),VLOOKUP(AB112,ＣＶ２３Ｃ,3,FALSE),VLOOKUP(AB112,ＣＵＳＥＲ,3,FALSE)))))</f>
        <v/>
      </c>
      <c r="AS113" s="228" t="str">
        <f>IF(OR(AND(AS370="",AS371=""),AND(D110="",D370&lt;&gt;"")),AS111,(AS111*(AT370^2+AT371^2)+AT371*(AS110^2+AS111^2))/((AS110+AT370)^2+(AS111+AT371)^2))</f>
        <v/>
      </c>
      <c r="AT113" s="229" t="str">
        <f>IF(Z113="",AS113,N(AS113)+(Z113/1000))</f>
        <v/>
      </c>
      <c r="AU113" s="229" t="str">
        <f>IF(AU111="","",(AT113*(AU110^2+AU111^2)+AU111*(AT112^2+AT113^2))/((AT112+AU110)^2+(AT113+AU111)^2))</f>
        <v/>
      </c>
      <c r="AV113" s="229">
        <f>AV109+AV112</f>
        <v>24</v>
      </c>
      <c r="AW113" s="228" t="str">
        <f>IF(AO113="","",AW111+AO113)</f>
        <v/>
      </c>
      <c r="AX113" s="230"/>
      <c r="AY113" s="224">
        <f>IF(L112="",10^30,SQRT(BA110)*(BA112^2)*(N(AN111)+N(AN113)+N(AO111)+N(AV111))/(100000*L112*M110))</f>
        <v>1E+30</v>
      </c>
      <c r="AZ113" s="225"/>
      <c r="BA113" s="220">
        <f>IF(AND(F112="",SUM(S110:S113)&lt;&gt;0),BA109,F112)</f>
        <v>0</v>
      </c>
      <c r="BB113" s="221">
        <f t="shared" si="2"/>
        <v>0</v>
      </c>
      <c r="BC113" s="232"/>
      <c r="BD113" s="232"/>
    </row>
    <row r="114" spans="1:56" ht="15" customHeight="1">
      <c r="B114" s="85"/>
      <c r="C114" s="271" t="str">
        <f>IF(BC114=1,"●","・")</f>
        <v>・</v>
      </c>
      <c r="D114" s="402"/>
      <c r="E114" s="403"/>
      <c r="F114" s="404"/>
      <c r="G114" s="265" t="str">
        <f>IF(F114="","","φ")</f>
        <v/>
      </c>
      <c r="H114" s="405"/>
      <c r="I114" s="265" t="str">
        <f>IF(H114="","","W")</f>
        <v/>
      </c>
      <c r="J114" s="405"/>
      <c r="K114" s="272" t="str">
        <f>IF(J114="","","V")</f>
        <v/>
      </c>
      <c r="L114" s="406"/>
      <c r="M114" s="407"/>
      <c r="N114" s="408"/>
      <c r="O114" s="193"/>
      <c r="P114" s="86"/>
      <c r="Q114" s="194"/>
      <c r="R114" s="87"/>
      <c r="S114" s="88" t="str">
        <f>IF(R114="","",IF(Q114="",P114/R114,P114/(Q114*R114)))</f>
        <v/>
      </c>
      <c r="T114" s="195"/>
      <c r="U114" s="196" t="str">
        <f>IF(OR(BA116="",S114=""),"",S114*1000*T114/(SQRT(BA114)*BA116))</f>
        <v/>
      </c>
      <c r="V114" s="254" t="str">
        <f>IF(AND(N(U114)=0,N(U115)=0,N(U116)=0,N(U117)=0),"",BA116/(SUM(U114:U117)))</f>
        <v/>
      </c>
      <c r="W114" s="280"/>
      <c r="X114" s="281"/>
      <c r="Y114" s="242"/>
      <c r="Z114" s="243"/>
      <c r="AA114" s="239"/>
      <c r="AB114" s="241"/>
      <c r="AC114" s="242"/>
      <c r="AD114" s="243"/>
      <c r="AE114" s="247"/>
      <c r="AF114" s="233" t="str">
        <f>IF(OR(AND(AF110="",N(BA112)=0,BA116&lt;&gt;0),D114&lt;&gt;""),AX116/AQ115,"")</f>
        <v/>
      </c>
      <c r="AG114" s="249" t="str">
        <f>IF(BA116=0,"",IF(AD116="",AX114,IF(AND(D114&lt;&gt;"",AU114=""),AX116*SQRT(AP116^2+AP117^2)/SQRT(AS114^2+AS115^2)/AQ115,AX114*SQRT(AP116^2+AP117^2)/SQRT(AS114^2+AS115^2))))</f>
        <v/>
      </c>
      <c r="AH114" s="250"/>
      <c r="AI114" s="234" t="str">
        <f>IF(AG114="","",IF(N(U114)&lt;0,-AX114*AQ115/SQRT(AS114^2+AS115^2),AX114*AQ115/SQRT(AS114^2+AS115^2)))</f>
        <v/>
      </c>
      <c r="AJ114" s="256"/>
      <c r="AK114" s="257"/>
      <c r="AL114" s="186"/>
      <c r="AM114" s="28"/>
      <c r="AN114" s="213" t="b">
        <f>IF(BA114="","",IF(AND(BA114=1,F116=50,L114="oil cooled type"),VLOOKUP(L116,変１,2,FALSE),IF(AND(BA114=1,F116=50,L114="(F)molded type"),VLOOKUP(L116,変１,7,FALSE),IF(AND(BA114=1,F116=60,L114="oil cooled type"),VLOOKUP(L116,変１,12,FALSE),IF(AND(BA114=1,F116=60,L114="(F)molded type"),VLOOKUP(L116,変１,17,FALSE),FALSE)))))</f>
        <v>0</v>
      </c>
      <c r="AO114" s="213">
        <f>IF(ISNA(VLOOKUP(L116,変ＵＳＥＲ,2,FALSE)),0,VLOOKUP(L116,変ＵＳＥＲ,2,FALSE))</f>
        <v>0</v>
      </c>
      <c r="AP114" s="214">
        <f>IF(N114="",0,N114*1000/BA116^2/SQRT(BA114))</f>
        <v>0</v>
      </c>
      <c r="AQ114" s="213" t="b">
        <f>IF(BA114=1,2,IF(BA114=3,SQRT(3),FALSE))</f>
        <v>0</v>
      </c>
      <c r="AR114" s="215" t="str">
        <f>IF(X114="","",IF(X114="600V IV",VLOOKUP(X116,ＩＶ,2,FALSE),IF(X114="600V CV-T",VLOOKUP(X116,ＣＶＴ,2,FALSE),IF(OR(X114="600V CV-1C",X114="600V CV-2C",X114="600V CV-3C",X114="600V CV-4C"),VLOOKUP(X116,ＣＶ２３Ｃ,2,FALSE),VLOOKUP(X116,ＣＵＳＥＲ,2,FALSE)))))</f>
        <v/>
      </c>
      <c r="AS114" s="213" t="str">
        <f>IF(AB117="",AP116,AP116+(AB117/1000))</f>
        <v/>
      </c>
      <c r="AT114" s="216" t="str">
        <f>IF(AU116="",AT116,AU116)</f>
        <v/>
      </c>
      <c r="AU114" s="216" t="str">
        <f>IF(D114="","",IF(AND(D374="",#REF!&lt;&gt;"",AV117=#REF!),#REF!,IF(AND(D374="",#REF!="",#REF!&lt;&gt;"",AV377=#REF!),#REF!,IF(AND(D374="",#REF!="",#REF!="",#REF!&lt;&gt;"",#REF!=#REF!),#REF!,IF(AND(D374="",#REF!="",#REF!="",#REF!="",D378&lt;&gt;"",#REF!=#REF!),AT378,IF(AND(D374="",#REF!="",#REF!="",#REF!="",D378="",#REF!&lt;&gt;"",#REF!=AV382),#REF!,IF(AND(D374="",#REF!="",#REF!="",#REF!="",D378="",#REF!="",D383&lt;&gt;"",#REF!=AV386),AT383,"")))))))</f>
        <v/>
      </c>
      <c r="AV114" s="216" t="str">
        <f>IF(L114="ACG",IF(ISNA(VLOOKUP(L116,ＡＣＧ,2,FALSE)),0,VLOOKUP(L116,ＡＣＧ,2,FALSE)),"")</f>
        <v/>
      </c>
      <c r="AW114" s="217" t="str">
        <f>IF(AT114="","",AT114/((AT114*AP114)^2+(AT115*AP114-1)^2))</f>
        <v/>
      </c>
      <c r="AX114" s="218" t="str">
        <f>IF(BA116=0,"",IF(OR(AX110="",AF114&lt;&gt;""),AF114*SQRT(AS116^2+AS117^2)/SQRT(AT116^2+AT117^2),AX110*SQRT(AS116^2+AS117^2)/SQRT(AT116^2+AT117^2)))</f>
        <v/>
      </c>
      <c r="AY114" s="219">
        <f>IF(N(AY116)=10^30,10^30,IF(N(AY376)=10^30,(N(AY116)*(N(AY376)^2+N(AY377)^2)+N(AY376)*(N(AY116)^2+N(AY117)^2))/((N(AY116)+N(AY376))^2+(N(AY117)+N(AY377))^2),(N(AY116)*(N(AY374)^2+N(AY375)^2)+N(AY374)*(N(AY116)^2+N(AY117)^2))/((N(AY116)+N(AY374))^2+(N(AY117)+N(AY375))^2)))</f>
        <v>1E+30</v>
      </c>
      <c r="AZ114" s="23"/>
      <c r="BA114" s="220">
        <f>IF(AND(F114="",SUM(S114:S117)&lt;&gt;0),BA110,F114)</f>
        <v>0</v>
      </c>
      <c r="BB114" s="221">
        <f t="shared" ref="BB114:BB173" si="3">IF(OR(O114="熱源動力",O114="換気動力",O114="衛生動力",O114="生産動力",O114="動力差込",O114="防災動力"),1,0)</f>
        <v>0</v>
      </c>
      <c r="BC114" s="232">
        <f>IF(OR(E114="",F117="",AND(OR(P114="",Q114="",R114="",T114=""),OR(P115="",Q115="",R115="",T115=""),OR(P116="",Q116="",R116="",T116=""),OR(P117="",Q117="",R117="",T117="")),AND(OR(X114="",X116="",Y116="",Z116=""),OR(AB114="",AB116="",AC116="",AD116=""))),0,1)</f>
        <v>0</v>
      </c>
      <c r="BD114" s="232">
        <f>BC114+BD110</f>
        <v>0</v>
      </c>
    </row>
    <row r="115" spans="1:56" ht="15" customHeight="1">
      <c r="B115" s="85"/>
      <c r="C115" s="271"/>
      <c r="D115" s="409"/>
      <c r="E115" s="362"/>
      <c r="F115" s="410"/>
      <c r="G115" s="266"/>
      <c r="H115" s="266"/>
      <c r="I115" s="266"/>
      <c r="J115" s="266"/>
      <c r="K115" s="273"/>
      <c r="L115" s="411"/>
      <c r="M115" s="197" t="str">
        <f>IF(L114="ACG",SQRT(AV114^2+AV115^2),IF(L116="","",IF(OR(L114="oil cooled type",L114="(F)molded type"),IF(BA114=1,SQRT(AN114^2+AN115^2),IF(BA114=3,SQRT(AN116^2+AN117^2))),SQRT(AO114^2+AO115^2))))</f>
        <v/>
      </c>
      <c r="N115" s="412"/>
      <c r="O115" s="198"/>
      <c r="P115" s="90"/>
      <c r="Q115" s="199"/>
      <c r="R115" s="91"/>
      <c r="S115" s="92" t="str">
        <f>IF(R116="","",IF(Q116="",P116/R116,P116/(Q116*R116)))</f>
        <v/>
      </c>
      <c r="T115" s="200"/>
      <c r="U115" s="201" t="str">
        <f>IF(OR(BA116="",S115=""),"",S115*1000*T115/(SQRT(BA114)*BA116))</f>
        <v/>
      </c>
      <c r="V115" s="255"/>
      <c r="W115" s="248"/>
      <c r="X115" s="258"/>
      <c r="Y115" s="245"/>
      <c r="Z115" s="246"/>
      <c r="AA115" s="240"/>
      <c r="AB115" s="244"/>
      <c r="AC115" s="245"/>
      <c r="AD115" s="246"/>
      <c r="AE115" s="248"/>
      <c r="AF115" s="235" t="str">
        <f>IF(OR(AF114="",AG110&lt;&gt;""),"",AF114*AQ115/SQRT(AT114^2+AT115^2))</f>
        <v/>
      </c>
      <c r="AG115" s="274" t="str">
        <f>IF(AG114="","",100*AG114*AQ115/BA116)</f>
        <v/>
      </c>
      <c r="AH115" s="275"/>
      <c r="AI115" s="260" t="str">
        <f>IF(BA116=0,"",IF(AI110="",AX116/SQRT(AT114^2+AT115^2),IF(AI118="","",IF(AT114&lt;0,-AX114*AQ111/SQRT(AT114^2+AT115^2),AX114*AQ111/SQRT(AT114^2+AT115^2)))))</f>
        <v/>
      </c>
      <c r="AJ115" s="258"/>
      <c r="AK115" s="259"/>
      <c r="AL115" s="187"/>
      <c r="AM115" s="28"/>
      <c r="AN115" s="213" t="b">
        <f>IF(BA114="","",IF(AND(BA114=1,F116=50,L114="oil cooled type"),VLOOKUP(L116,変１,3,FALSE),IF(AND(BA114=1,F116=50,L114="(F)molded type"),VLOOKUP(L116,変１,8,FALSE),IF(AND(BA114=1,F116=60,L114="oil cooled type"),VLOOKUP(L116,変１,13,FALSE),IF(AND(BA114=1,F116=60,L114="(F)molded type"),VLOOKUP(L116,変１,18,FALSE),FALSE)))))</f>
        <v>0</v>
      </c>
      <c r="AO115" s="213">
        <f>IF(ISNA(VLOOKUP(L116,変ＵＳＥＲ,3,FALSE)),0,VLOOKUP(L116,変ＵＳＥＲ,3,FALSE)*BA117/50)</f>
        <v>0</v>
      </c>
      <c r="AP115" s="214">
        <f>IF(W114="",0,W114*1000/BA116^2/SQRT(BA114))</f>
        <v>0</v>
      </c>
      <c r="AQ115" s="213">
        <f>IF(AND(BA114=1,BA115=2),1,IF(AND(BA114=3,BA115=3),1,IF(AND(BA114=1,BA115=3),2,IF(AND(BA114=3,BA115=4)*OR(BB114=1,BB115=1,BB116=1,BB117=1),1,SQRT(3)))))</f>
        <v>1.7320508075688772</v>
      </c>
      <c r="AR115" s="215" t="str">
        <f>IF(X114="","",IF(X114="600V IV",VLOOKUP(X116,ＩＶ,3,FALSE),IF(X114="600V CV-T",VLOOKUP(X116,ＣＶＴ,3,FALSE),IF(OR(X114="600V CV-1C",X114="600V CV-2C",X114="600V CV-3C",X114="600V CV-4C"),VLOOKUP(X116,ＣＶ２３Ｃ,3,FALSE),VLOOKUP(X116,ＣＵＳＥＲ,3,FALSE)))))</f>
        <v/>
      </c>
      <c r="AS115" s="213" t="str">
        <f>IF(AD117="",AP117,AP117+(AD117/1000))</f>
        <v/>
      </c>
      <c r="AT115" s="216" t="str">
        <f>IF(AU117="",AT117,AU117)</f>
        <v/>
      </c>
      <c r="AU115" s="216" t="str">
        <f>IF(D114="","",IF(AND(D374="",#REF!&lt;&gt;"",AV117=#REF!),#REF!,IF(AND(D374="",#REF!="",#REF!&lt;&gt;"",AV377=#REF!),#REF!,IF(AND(D374="",#REF!="",#REF!="",#REF!&lt;&gt;"",#REF!=#REF!),#REF!,IF(AND(D374="",#REF!="",#REF!="",#REF!="",D378&lt;&gt;"",#REF!=#REF!),AT379,IF(AND(D374="",#REF!="",#REF!="",#REF!="",D378="",#REF!&lt;&gt;"",#REF!=AV382),AT380,IF(AND(D374="",#REF!="",#REF!="",#REF!="",D378="",#REF!="",D383&lt;&gt;"",#REF!=AV386),AT384,"")))))))</f>
        <v/>
      </c>
      <c r="AV115" s="215" t="str">
        <f>IF(L114="ACG",IF(ISNA(VLOOKUP(L116,ＡＣＧ,3,FALSE)),0,VLOOKUP(L116,ＡＣＧ,3,FALSE)*BA117/50),"")</f>
        <v/>
      </c>
      <c r="AW115" s="217" t="str">
        <f>IF(AT115="","",(AT115-AP114*(AT114^2+AT115^2))/((AT114*AP114)^2+(AP114*AT115-1)^2))</f>
        <v/>
      </c>
      <c r="AX115" s="218"/>
      <c r="AY115" s="219">
        <f>IF(N(AY117)=10^30,10^30,IF(N(AY377)=10^30,(N(AY117)*(N(AY376)^2+N(AY377)^2)+N(AY377)*(N(AY116)^2+N(AY117)^2))/((N(AY116)+N(AY376))^2+(N(AY117)+N(AY377))^2),(N(AY117)*(N(AY374)^2+N(AY375)^2)+N(AY375)*(N(AY116)^2+N(AY117)^2))/((N(AY116)+N(AY374))^2+(N(AY117)+N(AY375))^2)))</f>
        <v>1E+30</v>
      </c>
      <c r="AZ115" s="23"/>
      <c r="BA115" s="220">
        <f>IF(AND(H114="",SUM(S114:S117)&lt;&gt;0),BA111,H114)</f>
        <v>0</v>
      </c>
      <c r="BB115" s="221">
        <f t="shared" si="3"/>
        <v>0</v>
      </c>
      <c r="BC115" s="232"/>
      <c r="BD115" s="232"/>
    </row>
    <row r="116" spans="1:56" ht="15" customHeight="1">
      <c r="B116" s="85"/>
      <c r="C116" s="271"/>
      <c r="D116" s="409"/>
      <c r="E116" s="362"/>
      <c r="F116" s="413"/>
      <c r="G116" s="414"/>
      <c r="H116" s="414"/>
      <c r="I116" s="414"/>
      <c r="J116" s="414"/>
      <c r="K116" s="415"/>
      <c r="L116" s="416"/>
      <c r="M116" s="275"/>
      <c r="N116" s="412"/>
      <c r="O116" s="198"/>
      <c r="P116" s="93"/>
      <c r="Q116" s="202"/>
      <c r="R116" s="91"/>
      <c r="S116" s="92" t="str">
        <f>IF(R117="","",IF(Q117="",P117/R117,P117/(Q117*R117)))</f>
        <v/>
      </c>
      <c r="T116" s="200"/>
      <c r="U116" s="203" t="str">
        <f>IF(OR(BA116="",S116=""),"",S116*1000*T116/(SQRT(BA114)*BA116))</f>
        <v/>
      </c>
      <c r="V116" s="94" t="str">
        <f>IF(AND(N(U114)=0,N(U115)=0,N(U116)=0,N(U117)=0),"",V114*(P114*R114*T114+P115*R115*T115+P116*R116*T116+P117*R117*T117)/(P114*T114+P115*T115+P116*T116+P117*T117))</f>
        <v/>
      </c>
      <c r="W116" s="276" t="str">
        <f>IF(AND(N(AP116)=0,N(AP117)=0,N(AP115)=0),"",IF(AP117&gt;=0,COS(ATAN(AP117/AP116)),-COS(ATAN(AP117/AP116))))</f>
        <v/>
      </c>
      <c r="X116" s="95"/>
      <c r="Y116" s="204"/>
      <c r="Z116" s="96"/>
      <c r="AA116" s="97"/>
      <c r="AB116" s="98"/>
      <c r="AC116" s="204"/>
      <c r="AD116" s="96"/>
      <c r="AE116" s="99"/>
      <c r="AF116" s="236" t="str">
        <f>IF(OR(AF114="",AG110&lt;&gt;""),"",BA116/SQRT(AW116^2+AW117^2))</f>
        <v/>
      </c>
      <c r="AG116" s="274" t="str">
        <f>IF(AG114="","",100*((BA116/AQ115)-AG114)/(BA116/AQ115))</f>
        <v/>
      </c>
      <c r="AH116" s="275"/>
      <c r="AI116" s="261"/>
      <c r="AJ116" s="262"/>
      <c r="AK116" s="264"/>
      <c r="AL116" s="188"/>
      <c r="AM116" s="28"/>
      <c r="AN116" s="222" t="b">
        <f>IF(BA114="","",IF(AND(BA114=3,F116=50,L114="oil cooled type"),VLOOKUP(L116,変３,2,FALSE),IF(AND(BA114=3,F116=50,L114="(F)molded type"),VLOOKUP(L116,変３,7,FALSE),IF(AND(BA114=3,F116=60,L114="oil cooled type"),VLOOKUP(L116,変３,12,FALSE),IF(AND(BA114=3,F116=60,L114="(F)molded type"),VLOOKUP(L116,変３,17,FALSE),FALSE)))))</f>
        <v>0</v>
      </c>
      <c r="AO116" s="215" t="str">
        <f>IF(AND(L110="",N(AY114)&lt;10^29),AY114,"")</f>
        <v/>
      </c>
      <c r="AP116" s="223" t="str">
        <f>IF(V114="","",IF(AND(N(V116)=0,N(AP115)=0),"",AQ116/((AQ116*AP115)^2+(AP115*AQ117-1)^2)))</f>
        <v/>
      </c>
      <c r="AQ116" s="213">
        <f>IF(N(V116)=0,10^30,V116)</f>
        <v>1E+30</v>
      </c>
      <c r="AR116" s="215" t="str">
        <f>IF(AB114="","",IF(AB114="600V IV",VLOOKUP(AB116,ＩＶ,2,FALSE),IF(AB114="600V CV-T",VLOOKUP(AB116,ＣＶＴ,2,FALSE),IF(OR(AB114="600V CV-1C",AB114="600V CV-2C",AB114="600V CV-3C",AB114="600V CV-4C"),VLOOKUP(AB116,ＣＶ２３Ｃ,2,FALSE),VLOOKUP(AB116,ＣＵＳＥＲ,2,FALSE)))))</f>
        <v/>
      </c>
      <c r="AS116" s="213" t="str">
        <f>IF(OR(AND(AS374="",AS375=""),AND(D114="",D374&lt;&gt;"")),AS114,(AS114*(AT374^2+AT375^2)+AT374*(AS114^2+AS115^2))/((AS114+AT374)^2+(AS115+AT375)^2))</f>
        <v/>
      </c>
      <c r="AT116" s="216" t="str">
        <f>IF(X117="",AS116,N(AS116)+(X117/1000))</f>
        <v/>
      </c>
      <c r="AU116" s="216" t="str">
        <f>IF(AU114="","",(AT116*(AU114^2+AU115^2)+AU114*(AT116^2+AT117^2))/((AT116+AU114)^2+(AT117+AU115)^2))</f>
        <v/>
      </c>
      <c r="AV116" s="216">
        <f>IF(BA116=0,1,0)</f>
        <v>1</v>
      </c>
      <c r="AW116" s="217" t="str">
        <f>IF(AO116="","",AW114+AO116)</f>
        <v/>
      </c>
      <c r="AX116" s="218" t="str">
        <f>IF(AND(AX112="",AW116&lt;&gt;""),BA116*SQRT(AW114^2+AW115^2)/SQRT(AW116^2+AW117^2),IF(BA116&lt;&gt;0,AX112,""))</f>
        <v/>
      </c>
      <c r="AY116" s="224">
        <f>IF(L116="",10^30,SQRT(BA114)*(BA116^2)*(N(AN114)+N(AN116)+N(AO114)+N(AV114))/(100000*L116*M114))</f>
        <v>1E+30</v>
      </c>
      <c r="AZ116" s="225"/>
      <c r="BA116" s="220">
        <f>IF(AND(J114="",SUM(S114:S117)&lt;&gt;0),BA112,J114)</f>
        <v>0</v>
      </c>
      <c r="BB116" s="221">
        <f t="shared" si="3"/>
        <v>0</v>
      </c>
      <c r="BC116" s="232"/>
      <c r="BD116" s="232"/>
    </row>
    <row r="117" spans="1:56" ht="15" customHeight="1">
      <c r="A117" s="85"/>
      <c r="B117" s="85"/>
      <c r="C117" s="271"/>
      <c r="D117" s="417"/>
      <c r="E117" s="418"/>
      <c r="F117" s="419"/>
      <c r="G117" s="270"/>
      <c r="H117" s="270"/>
      <c r="I117" s="270"/>
      <c r="J117" s="270"/>
      <c r="K117" s="268"/>
      <c r="L117" s="251" t="str">
        <f>IF(M114="","",L116*1000*M114/(SQRT(BA114)*BA116))</f>
        <v/>
      </c>
      <c r="M117" s="252"/>
      <c r="N117" s="277"/>
      <c r="O117" s="205"/>
      <c r="P117" s="106"/>
      <c r="Q117" s="206"/>
      <c r="R117" s="107"/>
      <c r="S117" s="108" t="str">
        <f>IF(R117="","",IF(Q117="",P117/R117,P117/(Q117*R117)))</f>
        <v/>
      </c>
      <c r="T117" s="207"/>
      <c r="U117" s="208" t="str">
        <f>IF(OR(BA116="",S117=""),"",S117*1000*T117/(SQRT(BA114)*BA116))</f>
        <v/>
      </c>
      <c r="V117" s="109" t="str">
        <f>IF(AND(N(U114)=0,N(U115)=0,N(U116)=0,N(U117)=0),"",IF(V114&gt;=0,SQRT(ABS(V114^2-V116^2)),-SQRT(V114^2-V116^2)))</f>
        <v/>
      </c>
      <c r="W117" s="277"/>
      <c r="X117" s="278" t="str">
        <f>IF(Y116="","",AQ114*Z116*AR114*((1+0.00393*(F117-20))/1.2751)/Y116)</f>
        <v/>
      </c>
      <c r="Y117" s="270"/>
      <c r="Z117" s="267" t="str">
        <f>IF(Y116="","",(BA117/50)*AQ114*Z116*AR115/Y116)</f>
        <v/>
      </c>
      <c r="AA117" s="252"/>
      <c r="AB117" s="279" t="str">
        <f>IF(AC116="","",AQ114*AD116*AR116*((1+0.00393*(F117-20))/1.2751)/AC116)</f>
        <v/>
      </c>
      <c r="AC117" s="270"/>
      <c r="AD117" s="267" t="str">
        <f>IF(AC116="","",(BA117/50)*AQ114*AD116*AR117/AC116)</f>
        <v/>
      </c>
      <c r="AE117" s="268"/>
      <c r="AF117" s="237" t="str">
        <f>IF(AND(AX114&lt;&gt;"",D114=""),AX114,"")</f>
        <v/>
      </c>
      <c r="AG117" s="269" t="str">
        <f>IF(AP116="","",AP116)</f>
        <v/>
      </c>
      <c r="AH117" s="270"/>
      <c r="AI117" s="238" t="str">
        <f>IF(AP117="","",AP117)</f>
        <v/>
      </c>
      <c r="AJ117" s="263"/>
      <c r="AK117" s="253"/>
      <c r="AL117" s="189"/>
      <c r="AM117" s="28"/>
      <c r="AN117" s="226" t="b">
        <f>IF(BA114="","",IF(AND(BA114=3,F116=50,L114="oil cooled type"),VLOOKUP(L116,変３,3,FALSE),IF(AND(BA114=3,F116=50,L114="(F)molded type"),VLOOKUP(L116,変３,8,FALSE),IF(AND(BA114=3,F116=60,L114="oil cooled type"),VLOOKUP(L116,変３,13,FALSE),IF(AND(BA114=3,F116=60,L114="(F)molded type"),VLOOKUP(L116,変３,18,FALSE),FALSE)))))</f>
        <v>0</v>
      </c>
      <c r="AO117" s="226" t="str">
        <f>IF(AND(L110="",N(AY115)&lt;10^29),AY115,"")</f>
        <v/>
      </c>
      <c r="AP117" s="227" t="str">
        <f>IF(V114="","",IF(AND(N(V117)=0,N(AP115)=0),0,(AQ117-AP115*(AQ116^2+AQ117^2))/((AQ116*AP115)^2+(AP115*AQ117-1)^2)))</f>
        <v/>
      </c>
      <c r="AQ117" s="228">
        <f>IF(N(V117)=0,10^30,V117)</f>
        <v>1E+30</v>
      </c>
      <c r="AR117" s="226" t="str">
        <f>IF(AB114="","",IF(AB114="600V IV",VLOOKUP(AB116,ＩＶ,3,FALSE),IF(AB114="600V CV-T",VLOOKUP(AB116,ＣＶＴ,3,FALSE),IF(OR(AB114="600V CV-1C",AB114="600V CV-2C",AB114="600V CV-3C",AB114="600V CV-4C"),VLOOKUP(AB116,ＣＶ２３Ｃ,3,FALSE),VLOOKUP(AB116,ＣＵＳＥＲ,3,FALSE)))))</f>
        <v/>
      </c>
      <c r="AS117" s="228" t="str">
        <f>IF(OR(AND(AS374="",AS375=""),AND(D114="",D374&lt;&gt;"")),AS115,(AS115*(AT374^2+AT375^2)+AT375*(AS114^2+AS115^2))/((AS114+AT374)^2+(AS115+AT375)^2))</f>
        <v/>
      </c>
      <c r="AT117" s="229" t="str">
        <f>IF(Z117="",AS117,N(AS117)+(Z117/1000))</f>
        <v/>
      </c>
      <c r="AU117" s="229" t="str">
        <f>IF(AU115="","",(AT117*(AU114^2+AU115^2)+AU115*(AT116^2+AT117^2))/((AT116+AU114)^2+(AT117+AU115)^2))</f>
        <v/>
      </c>
      <c r="AV117" s="229">
        <f>AV113+AV116</f>
        <v>25</v>
      </c>
      <c r="AW117" s="228" t="str">
        <f>IF(AO117="","",AW115+AO117)</f>
        <v/>
      </c>
      <c r="AX117" s="230"/>
      <c r="AY117" s="224">
        <f>IF(L116="",10^30,SQRT(BA114)*(BA116^2)*(N(AN115)+N(AN117)+N(AO115)+N(AV115))/(100000*L116*M114))</f>
        <v>1E+30</v>
      </c>
      <c r="AZ117" s="225"/>
      <c r="BA117" s="220">
        <f>IF(AND(F116="",SUM(S114:S117)&lt;&gt;0),BA113,F116)</f>
        <v>0</v>
      </c>
      <c r="BB117" s="221">
        <f t="shared" si="3"/>
        <v>0</v>
      </c>
      <c r="BC117" s="232"/>
      <c r="BD117" s="232"/>
    </row>
    <row r="118" spans="1:56" ht="15" customHeight="1">
      <c r="B118" s="85"/>
      <c r="C118" s="271" t="str">
        <f>IF(BC118=1,"●","・")</f>
        <v>・</v>
      </c>
      <c r="D118" s="402"/>
      <c r="E118" s="403"/>
      <c r="F118" s="404"/>
      <c r="G118" s="265" t="str">
        <f>IF(F118="","","φ")</f>
        <v/>
      </c>
      <c r="H118" s="405"/>
      <c r="I118" s="265" t="str">
        <f>IF(H118="","","W")</f>
        <v/>
      </c>
      <c r="J118" s="405"/>
      <c r="K118" s="272" t="str">
        <f>IF(J118="","","V")</f>
        <v/>
      </c>
      <c r="L118" s="406"/>
      <c r="M118" s="407"/>
      <c r="N118" s="408"/>
      <c r="O118" s="193"/>
      <c r="P118" s="86"/>
      <c r="Q118" s="194"/>
      <c r="R118" s="87"/>
      <c r="S118" s="88" t="str">
        <f>IF(R118="","",IF(Q118="",P118/R118,P118/(Q118*R118)))</f>
        <v/>
      </c>
      <c r="T118" s="195"/>
      <c r="U118" s="196" t="str">
        <f>IF(OR(BA120="",S118=""),"",S118*1000*T118/(SQRT(BA118)*BA120))</f>
        <v/>
      </c>
      <c r="V118" s="254" t="str">
        <f>IF(AND(N(U118)=0,N(U119)=0,N(U120)=0,N(U121)=0),"",BA120/(SUM(U118:U121)))</f>
        <v/>
      </c>
      <c r="W118" s="280"/>
      <c r="X118" s="281"/>
      <c r="Y118" s="242"/>
      <c r="Z118" s="243"/>
      <c r="AA118" s="239"/>
      <c r="AB118" s="241"/>
      <c r="AC118" s="242"/>
      <c r="AD118" s="243"/>
      <c r="AE118" s="247"/>
      <c r="AF118" s="233" t="str">
        <f>IF(OR(AND(AF114="",N(BA116)=0,BA120&lt;&gt;0),D118&lt;&gt;""),AX120/AQ119,"")</f>
        <v/>
      </c>
      <c r="AG118" s="249" t="str">
        <f>IF(BA120=0,"",IF(AD120="",AX118,IF(AND(D118&lt;&gt;"",AU118=""),AX120*SQRT(AP120^2+AP121^2)/SQRT(AS118^2+AS119^2)/AQ119,AX118*SQRT(AP120^2+AP121^2)/SQRT(AS118^2+AS119^2))))</f>
        <v/>
      </c>
      <c r="AH118" s="250"/>
      <c r="AI118" s="234" t="str">
        <f>IF(AG118="","",IF(N(U118)&lt;0,-AX118*AQ119/SQRT(AS118^2+AS119^2),AX118*AQ119/SQRT(AS118^2+AS119^2)))</f>
        <v/>
      </c>
      <c r="AJ118" s="256"/>
      <c r="AK118" s="257"/>
      <c r="AL118" s="186"/>
      <c r="AM118" s="28"/>
      <c r="AN118" s="213" t="b">
        <f>IF(BA118="","",IF(AND(BA118=1,F120=50,L118="oil cooled type"),VLOOKUP(L120,変１,2,FALSE),IF(AND(BA118=1,F120=50,L118="(F)molded type"),VLOOKUP(L120,変１,7,FALSE),IF(AND(BA118=1,F120=60,L118="oil cooled type"),VLOOKUP(L120,変１,12,FALSE),IF(AND(BA118=1,F120=60,L118="(F)molded type"),VLOOKUP(L120,変１,17,FALSE),FALSE)))))</f>
        <v>0</v>
      </c>
      <c r="AO118" s="213">
        <f>IF(ISNA(VLOOKUP(L120,変ＵＳＥＲ,2,FALSE)),0,VLOOKUP(L120,変ＵＳＥＲ,2,FALSE))</f>
        <v>0</v>
      </c>
      <c r="AP118" s="214">
        <f>IF(N118="",0,N118*1000/BA120^2/SQRT(BA118))</f>
        <v>0</v>
      </c>
      <c r="AQ118" s="213" t="b">
        <f>IF(BA118=1,2,IF(BA118=3,SQRT(3),FALSE))</f>
        <v>0</v>
      </c>
      <c r="AR118" s="215" t="str">
        <f>IF(X118="","",IF(X118="600V IV",VLOOKUP(X120,ＩＶ,2,FALSE),IF(X118="600V CV-T",VLOOKUP(X120,ＣＶＴ,2,FALSE),IF(OR(X118="600V CV-1C",X118="600V CV-2C",X118="600V CV-3C",X118="600V CV-4C"),VLOOKUP(X120,ＣＶ２３Ｃ,2,FALSE),VLOOKUP(X120,ＣＵＳＥＲ,2,FALSE)))))</f>
        <v/>
      </c>
      <c r="AS118" s="213" t="str">
        <f>IF(AB121="",AP120,AP120+(AB121/1000))</f>
        <v/>
      </c>
      <c r="AT118" s="216" t="str">
        <f>IF(AU120="",AT120,AU120)</f>
        <v/>
      </c>
      <c r="AU118" s="216" t="str">
        <f>IF(D118="","",IF(AND(D378="",#REF!&lt;&gt;"",AV121=#REF!),#REF!,IF(AND(D378="",#REF!="",#REF!&lt;&gt;"",AV381=#REF!),#REF!,IF(AND(D378="",#REF!="",#REF!="",#REF!&lt;&gt;"",#REF!=#REF!),#REF!,IF(AND(D378="",#REF!="",#REF!="",#REF!="",D382&lt;&gt;"",#REF!=#REF!),AT382,IF(AND(D378="",#REF!="",#REF!="",#REF!="",D382="",#REF!&lt;&gt;"",#REF!=AV386),#REF!,IF(AND(D378="",#REF!="",#REF!="",#REF!="",D382="",#REF!="",D387&lt;&gt;"",#REF!=AV390),AT387,"")))))))</f>
        <v/>
      </c>
      <c r="AV118" s="216" t="str">
        <f>IF(L118="ACG",IF(ISNA(VLOOKUP(L120,ＡＣＧ,2,FALSE)),0,VLOOKUP(L120,ＡＣＧ,2,FALSE)),"")</f>
        <v/>
      </c>
      <c r="AW118" s="217" t="str">
        <f>IF(AT118="","",AT118/((AT118*AP118)^2+(AT119*AP118-1)^2))</f>
        <v/>
      </c>
      <c r="AX118" s="218" t="str">
        <f>IF(BA120=0,"",IF(OR(AX114="",AF118&lt;&gt;""),AF118*SQRT(AS120^2+AS121^2)/SQRT(AT120^2+AT121^2),AX114*SQRT(AS120^2+AS121^2)/SQRT(AT120^2+AT121^2)))</f>
        <v/>
      </c>
      <c r="AY118" s="219">
        <f>IF(N(AY120)=10^30,10^30,IF(N(AY380)=10^30,(N(AY120)*(N(AY380)^2+N(AY381)^2)+N(AY380)*(N(AY120)^2+N(AY121)^2))/((N(AY120)+N(AY380))^2+(N(AY121)+N(AY381))^2),(N(AY120)*(N(AY378)^2+N(AY379)^2)+N(AY378)*(N(AY120)^2+N(AY121)^2))/((N(AY120)+N(AY378))^2+(N(AY121)+N(AY379))^2)))</f>
        <v>1E+30</v>
      </c>
      <c r="AZ118" s="23"/>
      <c r="BA118" s="220">
        <f>IF(AND(F118="",SUM(S118:S121)&lt;&gt;0),BA114,F118)</f>
        <v>0</v>
      </c>
      <c r="BB118" s="221">
        <f t="shared" si="3"/>
        <v>0</v>
      </c>
      <c r="BC118" s="232">
        <f>IF(OR(E118="",F121="",AND(OR(P118="",Q118="",R118="",T118=""),OR(P119="",Q119="",R119="",T119=""),OR(P120="",Q120="",R120="",T120=""),OR(P121="",Q121="",R121="",T121="")),AND(OR(X118="",X120="",Y120="",Z120=""),OR(AB118="",AB120="",AC120="",AD120=""))),0,1)</f>
        <v>0</v>
      </c>
      <c r="BD118" s="232">
        <f>BC118+BD114</f>
        <v>0</v>
      </c>
    </row>
    <row r="119" spans="1:56" ht="15" customHeight="1">
      <c r="B119" s="85"/>
      <c r="C119" s="271"/>
      <c r="D119" s="409"/>
      <c r="E119" s="362"/>
      <c r="F119" s="410"/>
      <c r="G119" s="266"/>
      <c r="H119" s="266"/>
      <c r="I119" s="266"/>
      <c r="J119" s="266"/>
      <c r="K119" s="273"/>
      <c r="L119" s="411"/>
      <c r="M119" s="197" t="str">
        <f>IF(L118="ACG",SQRT(AV118^2+AV119^2),IF(L120="","",IF(OR(L118="oil cooled type",L118="(F)molded type"),IF(BA118=1,SQRT(AN118^2+AN119^2),IF(BA118=3,SQRT(AN120^2+AN121^2))),SQRT(AO118^2+AO119^2))))</f>
        <v/>
      </c>
      <c r="N119" s="412"/>
      <c r="O119" s="198"/>
      <c r="P119" s="90"/>
      <c r="Q119" s="199"/>
      <c r="R119" s="91"/>
      <c r="S119" s="92" t="str">
        <f>IF(R120="","",IF(Q120="",P120/R120,P120/(Q120*R120)))</f>
        <v/>
      </c>
      <c r="T119" s="200"/>
      <c r="U119" s="201" t="str">
        <f>IF(OR(BA120="",S119=""),"",S119*1000*T119/(SQRT(BA118)*BA120))</f>
        <v/>
      </c>
      <c r="V119" s="255"/>
      <c r="W119" s="248"/>
      <c r="X119" s="258"/>
      <c r="Y119" s="245"/>
      <c r="Z119" s="246"/>
      <c r="AA119" s="240"/>
      <c r="AB119" s="244"/>
      <c r="AC119" s="245"/>
      <c r="AD119" s="246"/>
      <c r="AE119" s="248"/>
      <c r="AF119" s="235" t="str">
        <f>IF(OR(AF118="",AG114&lt;&gt;""),"",AF118*AQ119/SQRT(AT118^2+AT119^2))</f>
        <v/>
      </c>
      <c r="AG119" s="274" t="str">
        <f>IF(AG118="","",100*AG118*AQ119/BA120)</f>
        <v/>
      </c>
      <c r="AH119" s="275"/>
      <c r="AI119" s="260" t="str">
        <f>IF(BA120=0,"",IF(AI114="",AX120/SQRT(AT118^2+AT119^2),IF(AI122="","",IF(AT118&lt;0,-AX118*AQ115/SQRT(AT118^2+AT119^2),AX118*AQ115/SQRT(AT118^2+AT119^2)))))</f>
        <v/>
      </c>
      <c r="AJ119" s="258"/>
      <c r="AK119" s="259"/>
      <c r="AL119" s="187"/>
      <c r="AM119" s="28"/>
      <c r="AN119" s="213" t="b">
        <f>IF(BA118="","",IF(AND(BA118=1,F120=50,L118="oil cooled type"),VLOOKUP(L120,変１,3,FALSE),IF(AND(BA118=1,F120=50,L118="(F)molded type"),VLOOKUP(L120,変１,8,FALSE),IF(AND(BA118=1,F120=60,L118="oil cooled type"),VLOOKUP(L120,変１,13,FALSE),IF(AND(BA118=1,F120=60,L118="(F)molded type"),VLOOKUP(L120,変１,18,FALSE),FALSE)))))</f>
        <v>0</v>
      </c>
      <c r="AO119" s="213">
        <f>IF(ISNA(VLOOKUP(L120,変ＵＳＥＲ,3,FALSE)),0,VLOOKUP(L120,変ＵＳＥＲ,3,FALSE)*BA121/50)</f>
        <v>0</v>
      </c>
      <c r="AP119" s="214">
        <f>IF(W118="",0,W118*1000/BA120^2/SQRT(BA118))</f>
        <v>0</v>
      </c>
      <c r="AQ119" s="213">
        <f>IF(AND(BA118=1,BA119=2),1,IF(AND(BA118=3,BA119=3),1,IF(AND(BA118=1,BA119=3),2,IF(AND(BA118=3,BA119=4)*OR(BB118=1,BB119=1,BB120=1,BB121=1),1,SQRT(3)))))</f>
        <v>1.7320508075688772</v>
      </c>
      <c r="AR119" s="215" t="str">
        <f>IF(X118="","",IF(X118="600V IV",VLOOKUP(X120,ＩＶ,3,FALSE),IF(X118="600V CV-T",VLOOKUP(X120,ＣＶＴ,3,FALSE),IF(OR(X118="600V CV-1C",X118="600V CV-2C",X118="600V CV-3C",X118="600V CV-4C"),VLOOKUP(X120,ＣＶ２３Ｃ,3,FALSE),VLOOKUP(X120,ＣＵＳＥＲ,3,FALSE)))))</f>
        <v/>
      </c>
      <c r="AS119" s="213" t="str">
        <f>IF(AD121="",AP121,AP121+(AD121/1000))</f>
        <v/>
      </c>
      <c r="AT119" s="216" t="str">
        <f>IF(AU121="",AT121,AU121)</f>
        <v/>
      </c>
      <c r="AU119" s="216" t="str">
        <f>IF(D118="","",IF(AND(D378="",#REF!&lt;&gt;"",AV121=#REF!),#REF!,IF(AND(D378="",#REF!="",#REF!&lt;&gt;"",AV381=#REF!),#REF!,IF(AND(D378="",#REF!="",#REF!="",#REF!&lt;&gt;"",#REF!=#REF!),#REF!,IF(AND(D378="",#REF!="",#REF!="",#REF!="",D382&lt;&gt;"",#REF!=#REF!),AT383,IF(AND(D378="",#REF!="",#REF!="",#REF!="",D382="",#REF!&lt;&gt;"",#REF!=AV386),AT384,IF(AND(D378="",#REF!="",#REF!="",#REF!="",D382="",#REF!="",D387&lt;&gt;"",#REF!=AV390),AT388,"")))))))</f>
        <v/>
      </c>
      <c r="AV119" s="215" t="str">
        <f>IF(L118="ACG",IF(ISNA(VLOOKUP(L120,ＡＣＧ,3,FALSE)),0,VLOOKUP(L120,ＡＣＧ,3,FALSE)*BA121/50),"")</f>
        <v/>
      </c>
      <c r="AW119" s="217" t="str">
        <f>IF(AT119="","",(AT119-AP118*(AT118^2+AT119^2))/((AT118*AP118)^2+(AP118*AT119-1)^2))</f>
        <v/>
      </c>
      <c r="AX119" s="218"/>
      <c r="AY119" s="219">
        <f>IF(N(AY121)=10^30,10^30,IF(N(AY381)=10^30,(N(AY121)*(N(AY380)^2+N(AY381)^2)+N(AY381)*(N(AY120)^2+N(AY121)^2))/((N(AY120)+N(AY380))^2+(N(AY121)+N(AY381))^2),(N(AY121)*(N(AY378)^2+N(AY379)^2)+N(AY379)*(N(AY120)^2+N(AY121)^2))/((N(AY120)+N(AY378))^2+(N(AY121)+N(AY379))^2)))</f>
        <v>1E+30</v>
      </c>
      <c r="AZ119" s="23"/>
      <c r="BA119" s="220">
        <f>IF(AND(H118="",SUM(S118:S121)&lt;&gt;0),BA115,H118)</f>
        <v>0</v>
      </c>
      <c r="BB119" s="221">
        <f t="shared" si="3"/>
        <v>0</v>
      </c>
      <c r="BC119" s="232"/>
      <c r="BD119" s="232"/>
    </row>
    <row r="120" spans="1:56" ht="15" customHeight="1">
      <c r="B120" s="85"/>
      <c r="C120" s="271"/>
      <c r="D120" s="409"/>
      <c r="E120" s="362"/>
      <c r="F120" s="413"/>
      <c r="G120" s="414"/>
      <c r="H120" s="414"/>
      <c r="I120" s="414"/>
      <c r="J120" s="414"/>
      <c r="K120" s="415"/>
      <c r="L120" s="416"/>
      <c r="M120" s="275"/>
      <c r="N120" s="412"/>
      <c r="O120" s="198"/>
      <c r="P120" s="93"/>
      <c r="Q120" s="202"/>
      <c r="R120" s="91"/>
      <c r="S120" s="92" t="str">
        <f>IF(R121="","",IF(Q121="",P121/R121,P121/(Q121*R121)))</f>
        <v/>
      </c>
      <c r="T120" s="200"/>
      <c r="U120" s="203" t="str">
        <f>IF(OR(BA120="",S120=""),"",S120*1000*T120/(SQRT(BA118)*BA120))</f>
        <v/>
      </c>
      <c r="V120" s="94" t="str">
        <f>IF(AND(N(U118)=0,N(U119)=0,N(U120)=0,N(U121)=0),"",V118*(P118*R118*T118+P119*R119*T119+P120*R120*T120+P121*R121*T121)/(P118*T118+P119*T119+P120*T120+P121*T121))</f>
        <v/>
      </c>
      <c r="W120" s="276" t="str">
        <f>IF(AND(N(AP120)=0,N(AP121)=0,N(AP119)=0),"",IF(AP121&gt;=0,COS(ATAN(AP121/AP120)),-COS(ATAN(AP121/AP120))))</f>
        <v/>
      </c>
      <c r="X120" s="95"/>
      <c r="Y120" s="204"/>
      <c r="Z120" s="96"/>
      <c r="AA120" s="97"/>
      <c r="AB120" s="98"/>
      <c r="AC120" s="204"/>
      <c r="AD120" s="96"/>
      <c r="AE120" s="99"/>
      <c r="AF120" s="236" t="str">
        <f>IF(OR(AF118="",AG114&lt;&gt;""),"",BA120/SQRT(AW120^2+AW121^2))</f>
        <v/>
      </c>
      <c r="AG120" s="274" t="str">
        <f>IF(AG118="","",100*((BA120/AQ119)-AG118)/(BA120/AQ119))</f>
        <v/>
      </c>
      <c r="AH120" s="275"/>
      <c r="AI120" s="261"/>
      <c r="AJ120" s="262"/>
      <c r="AK120" s="264"/>
      <c r="AL120" s="188"/>
      <c r="AM120" s="28"/>
      <c r="AN120" s="222" t="b">
        <f>IF(BA118="","",IF(AND(BA118=3,F120=50,L118="oil cooled type"),VLOOKUP(L120,変３,2,FALSE),IF(AND(BA118=3,F120=50,L118="(F)molded type"),VLOOKUP(L120,変３,7,FALSE),IF(AND(BA118=3,F120=60,L118="oil cooled type"),VLOOKUP(L120,変３,12,FALSE),IF(AND(BA118=3,F120=60,L118="(F)molded type"),VLOOKUP(L120,変３,17,FALSE),FALSE)))))</f>
        <v>0</v>
      </c>
      <c r="AO120" s="215" t="str">
        <f>IF(AND(L114="",N(AY118)&lt;10^29),AY118,"")</f>
        <v/>
      </c>
      <c r="AP120" s="223" t="str">
        <f>IF(V118="","",IF(AND(N(V120)=0,N(AP119)=0),"",AQ120/((AQ120*AP119)^2+(AP119*AQ121-1)^2)))</f>
        <v/>
      </c>
      <c r="AQ120" s="213">
        <f>IF(N(V120)=0,10^30,V120)</f>
        <v>1E+30</v>
      </c>
      <c r="AR120" s="215" t="str">
        <f>IF(AB118="","",IF(AB118="600V IV",VLOOKUP(AB120,ＩＶ,2,FALSE),IF(AB118="600V CV-T",VLOOKUP(AB120,ＣＶＴ,2,FALSE),IF(OR(AB118="600V CV-1C",AB118="600V CV-2C",AB118="600V CV-3C",AB118="600V CV-4C"),VLOOKUP(AB120,ＣＶ２３Ｃ,2,FALSE),VLOOKUP(AB120,ＣＵＳＥＲ,2,FALSE)))))</f>
        <v/>
      </c>
      <c r="AS120" s="213" t="str">
        <f>IF(OR(AND(AS378="",AS379=""),AND(D118="",D378&lt;&gt;"")),AS118,(AS118*(AT378^2+AT379^2)+AT378*(AS118^2+AS119^2))/((AS118+AT378)^2+(AS119+AT379)^2))</f>
        <v/>
      </c>
      <c r="AT120" s="216" t="str">
        <f>IF(X121="",AS120,N(AS120)+(X121/1000))</f>
        <v/>
      </c>
      <c r="AU120" s="216" t="str">
        <f>IF(AU118="","",(AT120*(AU118^2+AU119^2)+AU118*(AT120^2+AT121^2))/((AT120+AU118)^2+(AT121+AU119)^2))</f>
        <v/>
      </c>
      <c r="AV120" s="216">
        <f>IF(BA120=0,1,0)</f>
        <v>1</v>
      </c>
      <c r="AW120" s="217" t="str">
        <f>IF(AO120="","",AW118+AO120)</f>
        <v/>
      </c>
      <c r="AX120" s="218" t="str">
        <f>IF(AND(AX116="",AW120&lt;&gt;""),BA120*SQRT(AW118^2+AW119^2)/SQRT(AW120^2+AW121^2),IF(BA120&lt;&gt;0,AX116,""))</f>
        <v/>
      </c>
      <c r="AY120" s="224">
        <f>IF(L120="",10^30,SQRT(BA118)*(BA120^2)*(N(AN118)+N(AN120)+N(AO118)+N(AV118))/(100000*L120*M118))</f>
        <v>1E+30</v>
      </c>
      <c r="AZ120" s="225"/>
      <c r="BA120" s="220">
        <f>IF(AND(J118="",SUM(S118:S121)&lt;&gt;0),BA116,J118)</f>
        <v>0</v>
      </c>
      <c r="BB120" s="221">
        <f t="shared" si="3"/>
        <v>0</v>
      </c>
      <c r="BC120" s="232"/>
      <c r="BD120" s="232"/>
    </row>
    <row r="121" spans="1:56" ht="15" customHeight="1">
      <c r="A121" s="85"/>
      <c r="B121" s="85"/>
      <c r="C121" s="271"/>
      <c r="D121" s="417"/>
      <c r="E121" s="418"/>
      <c r="F121" s="419"/>
      <c r="G121" s="270"/>
      <c r="H121" s="270"/>
      <c r="I121" s="270"/>
      <c r="J121" s="270"/>
      <c r="K121" s="268"/>
      <c r="L121" s="251" t="str">
        <f>IF(M118="","",L120*1000*M118/(SQRT(BA118)*BA120))</f>
        <v/>
      </c>
      <c r="M121" s="252"/>
      <c r="N121" s="277"/>
      <c r="O121" s="205"/>
      <c r="P121" s="106"/>
      <c r="Q121" s="206"/>
      <c r="R121" s="107"/>
      <c r="S121" s="108" t="str">
        <f>IF(R121="","",IF(Q121="",P121/R121,P121/(Q121*R121)))</f>
        <v/>
      </c>
      <c r="T121" s="207"/>
      <c r="U121" s="208" t="str">
        <f>IF(OR(BA120="",S121=""),"",S121*1000*T121/(SQRT(BA118)*BA120))</f>
        <v/>
      </c>
      <c r="V121" s="109" t="str">
        <f>IF(AND(N(U118)=0,N(U119)=0,N(U120)=0,N(U121)=0),"",IF(V118&gt;=0,SQRT(ABS(V118^2-V120^2)),-SQRT(V118^2-V120^2)))</f>
        <v/>
      </c>
      <c r="W121" s="277"/>
      <c r="X121" s="278" t="str">
        <f>IF(Y120="","",AQ118*Z120*AR118*((1+0.00393*(F121-20))/1.2751)/Y120)</f>
        <v/>
      </c>
      <c r="Y121" s="270"/>
      <c r="Z121" s="267" t="str">
        <f>IF(Y120="","",(BA121/50)*AQ118*Z120*AR119/Y120)</f>
        <v/>
      </c>
      <c r="AA121" s="252"/>
      <c r="AB121" s="279" t="str">
        <f>IF(AC120="","",AQ118*AD120*AR120*((1+0.00393*(F121-20))/1.2751)/AC120)</f>
        <v/>
      </c>
      <c r="AC121" s="270"/>
      <c r="AD121" s="267" t="str">
        <f>IF(AC120="","",(BA121/50)*AQ118*AD120*AR121/AC120)</f>
        <v/>
      </c>
      <c r="AE121" s="268"/>
      <c r="AF121" s="237" t="str">
        <f>IF(AND(AX118&lt;&gt;"",D118=""),AX118,"")</f>
        <v/>
      </c>
      <c r="AG121" s="269" t="str">
        <f>IF(AP120="","",AP120)</f>
        <v/>
      </c>
      <c r="AH121" s="270"/>
      <c r="AI121" s="238" t="str">
        <f>IF(AP121="","",AP121)</f>
        <v/>
      </c>
      <c r="AJ121" s="263"/>
      <c r="AK121" s="253"/>
      <c r="AL121" s="189"/>
      <c r="AM121" s="28"/>
      <c r="AN121" s="226" t="b">
        <f>IF(BA118="","",IF(AND(BA118=3,F120=50,L118="oil cooled type"),VLOOKUP(L120,変３,3,FALSE),IF(AND(BA118=3,F120=50,L118="(F)molded type"),VLOOKUP(L120,変３,8,FALSE),IF(AND(BA118=3,F120=60,L118="oil cooled type"),VLOOKUP(L120,変３,13,FALSE),IF(AND(BA118=3,F120=60,L118="(F)molded type"),VLOOKUP(L120,変３,18,FALSE),FALSE)))))</f>
        <v>0</v>
      </c>
      <c r="AO121" s="226" t="str">
        <f>IF(AND(L114="",N(AY119)&lt;10^29),AY119,"")</f>
        <v/>
      </c>
      <c r="AP121" s="227" t="str">
        <f>IF(V118="","",IF(AND(N(V121)=0,N(AP119)=0),0,(AQ121-AP119*(AQ120^2+AQ121^2))/((AQ120*AP119)^2+(AP119*AQ121-1)^2)))</f>
        <v/>
      </c>
      <c r="AQ121" s="228">
        <f>IF(N(V121)=0,10^30,V121)</f>
        <v>1E+30</v>
      </c>
      <c r="AR121" s="226" t="str">
        <f>IF(AB118="","",IF(AB118="600V IV",VLOOKUP(AB120,ＩＶ,3,FALSE),IF(AB118="600V CV-T",VLOOKUP(AB120,ＣＶＴ,3,FALSE),IF(OR(AB118="600V CV-1C",AB118="600V CV-2C",AB118="600V CV-3C",AB118="600V CV-4C"),VLOOKUP(AB120,ＣＶ２３Ｃ,3,FALSE),VLOOKUP(AB120,ＣＵＳＥＲ,3,FALSE)))))</f>
        <v/>
      </c>
      <c r="AS121" s="228" t="str">
        <f>IF(OR(AND(AS378="",AS379=""),AND(D118="",D378&lt;&gt;"")),AS119,(AS119*(AT378^2+AT379^2)+AT379*(AS118^2+AS119^2))/((AS118+AT378)^2+(AS119+AT379)^2))</f>
        <v/>
      </c>
      <c r="AT121" s="229" t="str">
        <f>IF(Z121="",AS121,N(AS121)+(Z121/1000))</f>
        <v/>
      </c>
      <c r="AU121" s="229" t="str">
        <f>IF(AU119="","",(AT121*(AU118^2+AU119^2)+AU119*(AT120^2+AT121^2))/((AT120+AU118)^2+(AT121+AU119)^2))</f>
        <v/>
      </c>
      <c r="AV121" s="229">
        <f>AV117+AV120</f>
        <v>26</v>
      </c>
      <c r="AW121" s="228" t="str">
        <f>IF(AO121="","",AW119+AO121)</f>
        <v/>
      </c>
      <c r="AX121" s="230"/>
      <c r="AY121" s="224">
        <f>IF(L120="",10^30,SQRT(BA118)*(BA120^2)*(N(AN119)+N(AN121)+N(AO119)+N(AV119))/(100000*L120*M118))</f>
        <v>1E+30</v>
      </c>
      <c r="AZ121" s="225"/>
      <c r="BA121" s="220">
        <f>IF(AND(F120="",SUM(S118:S121)&lt;&gt;0),BA117,F120)</f>
        <v>0</v>
      </c>
      <c r="BB121" s="221">
        <f t="shared" si="3"/>
        <v>0</v>
      </c>
      <c r="BC121" s="232"/>
      <c r="BD121" s="232"/>
    </row>
    <row r="122" spans="1:56" ht="15" customHeight="1">
      <c r="B122" s="85"/>
      <c r="C122" s="271" t="str">
        <f>IF(BC122=1,"●","・")</f>
        <v>・</v>
      </c>
      <c r="D122" s="402"/>
      <c r="E122" s="403"/>
      <c r="F122" s="404"/>
      <c r="G122" s="265" t="str">
        <f>IF(F122="","","φ")</f>
        <v/>
      </c>
      <c r="H122" s="405"/>
      <c r="I122" s="265" t="str">
        <f>IF(H122="","","W")</f>
        <v/>
      </c>
      <c r="J122" s="405"/>
      <c r="K122" s="272" t="str">
        <f>IF(J122="","","V")</f>
        <v/>
      </c>
      <c r="L122" s="406"/>
      <c r="M122" s="407"/>
      <c r="N122" s="408"/>
      <c r="O122" s="193"/>
      <c r="P122" s="86"/>
      <c r="Q122" s="194"/>
      <c r="R122" s="87"/>
      <c r="S122" s="88" t="str">
        <f>IF(R122="","",IF(Q122="",P122/R122,P122/(Q122*R122)))</f>
        <v/>
      </c>
      <c r="T122" s="195"/>
      <c r="U122" s="196" t="str">
        <f>IF(OR(BA124="",S122=""),"",S122*1000*T122/(SQRT(BA122)*BA124))</f>
        <v/>
      </c>
      <c r="V122" s="254" t="str">
        <f>IF(AND(N(U122)=0,N(U123)=0,N(U124)=0,N(U125)=0),"",BA124/(SUM(U122:U125)))</f>
        <v/>
      </c>
      <c r="W122" s="280"/>
      <c r="X122" s="281"/>
      <c r="Y122" s="242"/>
      <c r="Z122" s="243"/>
      <c r="AA122" s="239"/>
      <c r="AB122" s="241"/>
      <c r="AC122" s="242"/>
      <c r="AD122" s="243"/>
      <c r="AE122" s="247"/>
      <c r="AF122" s="233" t="str">
        <f>IF(OR(AND(AF118="",N(BA120)=0,BA124&lt;&gt;0),D122&lt;&gt;""),AX124/AQ123,"")</f>
        <v/>
      </c>
      <c r="AG122" s="249" t="str">
        <f>IF(BA124=0,"",IF(AD124="",AX122,IF(AND(D122&lt;&gt;"",AU122=""),AX124*SQRT(AP124^2+AP125^2)/SQRT(AS122^2+AS123^2)/AQ123,AX122*SQRT(AP124^2+AP125^2)/SQRT(AS122^2+AS123^2))))</f>
        <v/>
      </c>
      <c r="AH122" s="250"/>
      <c r="AI122" s="234" t="str">
        <f>IF(AG122="","",IF(N(U122)&lt;0,-AX122*AQ123/SQRT(AS122^2+AS123^2),AX122*AQ123/SQRT(AS122^2+AS123^2)))</f>
        <v/>
      </c>
      <c r="AJ122" s="256"/>
      <c r="AK122" s="257"/>
      <c r="AL122" s="186"/>
      <c r="AM122" s="28"/>
      <c r="AN122" s="213" t="b">
        <f>IF(BA122="","",IF(AND(BA122=1,F124=50,L122="oil cooled type"),VLOOKUP(L124,変１,2,FALSE),IF(AND(BA122=1,F124=50,L122="(F)molded type"),VLOOKUP(L124,変１,7,FALSE),IF(AND(BA122=1,F124=60,L122="oil cooled type"),VLOOKUP(L124,変１,12,FALSE),IF(AND(BA122=1,F124=60,L122="(F)molded type"),VLOOKUP(L124,変１,17,FALSE),FALSE)))))</f>
        <v>0</v>
      </c>
      <c r="AO122" s="213">
        <f>IF(ISNA(VLOOKUP(L124,変ＵＳＥＲ,2,FALSE)),0,VLOOKUP(L124,変ＵＳＥＲ,2,FALSE))</f>
        <v>0</v>
      </c>
      <c r="AP122" s="214">
        <f>IF(N122="",0,N122*1000/BA124^2/SQRT(BA122))</f>
        <v>0</v>
      </c>
      <c r="AQ122" s="213" t="b">
        <f>IF(BA122=1,2,IF(BA122=3,SQRT(3),FALSE))</f>
        <v>0</v>
      </c>
      <c r="AR122" s="215" t="str">
        <f>IF(X122="","",IF(X122="600V IV",VLOOKUP(X124,ＩＶ,2,FALSE),IF(X122="600V CV-T",VLOOKUP(X124,ＣＶＴ,2,FALSE),IF(OR(X122="600V CV-1C",X122="600V CV-2C",X122="600V CV-3C",X122="600V CV-4C"),VLOOKUP(X124,ＣＶ２３Ｃ,2,FALSE),VLOOKUP(X124,ＣＵＳＥＲ,2,FALSE)))))</f>
        <v/>
      </c>
      <c r="AS122" s="213" t="str">
        <f>IF(AB125="",AP124,AP124+(AB125/1000))</f>
        <v/>
      </c>
      <c r="AT122" s="216" t="str">
        <f>IF(AU124="",AT124,AU124)</f>
        <v/>
      </c>
      <c r="AU122" s="216" t="str">
        <f>IF(D122="","",IF(AND(D382="",#REF!&lt;&gt;"",AV125=#REF!),#REF!,IF(AND(D382="",#REF!="",#REF!&lt;&gt;"",AV385=#REF!),#REF!,IF(AND(D382="",#REF!="",#REF!="",#REF!&lt;&gt;"",#REF!=#REF!),#REF!,IF(AND(D382="",#REF!="",#REF!="",#REF!="",D386&lt;&gt;"",#REF!=#REF!),AT386,IF(AND(D382="",#REF!="",#REF!="",#REF!="",D386="",#REF!&lt;&gt;"",#REF!=AV390),#REF!,IF(AND(D382="",#REF!="",#REF!="",#REF!="",D386="",#REF!="",D391&lt;&gt;"",#REF!=AV394),AT391,"")))))))</f>
        <v/>
      </c>
      <c r="AV122" s="216" t="str">
        <f>IF(L122="ACG",IF(ISNA(VLOOKUP(L124,ＡＣＧ,2,FALSE)),0,VLOOKUP(L124,ＡＣＧ,2,FALSE)),"")</f>
        <v/>
      </c>
      <c r="AW122" s="217" t="str">
        <f>IF(AT122="","",AT122/((AT122*AP122)^2+(AT123*AP122-1)^2))</f>
        <v/>
      </c>
      <c r="AX122" s="218" t="str">
        <f>IF(BA124=0,"",IF(OR(AX118="",AF122&lt;&gt;""),AF122*SQRT(AS124^2+AS125^2)/SQRT(AT124^2+AT125^2),AX118*SQRT(AS124^2+AS125^2)/SQRT(AT124^2+AT125^2)))</f>
        <v/>
      </c>
      <c r="AY122" s="219">
        <f>IF(N(AY124)=10^30,10^30,IF(N(AY384)=10^30,(N(AY124)*(N(AY384)^2+N(AY385)^2)+N(AY384)*(N(AY124)^2+N(AY125)^2))/((N(AY124)+N(AY384))^2+(N(AY125)+N(AY385))^2),(N(AY124)*(N(AY382)^2+N(AY383)^2)+N(AY382)*(N(AY124)^2+N(AY125)^2))/((N(AY124)+N(AY382))^2+(N(AY125)+N(AY383))^2)))</f>
        <v>1E+30</v>
      </c>
      <c r="AZ122" s="23"/>
      <c r="BA122" s="220">
        <f>IF(AND(F122="",SUM(S122:S125)&lt;&gt;0),BA118,F122)</f>
        <v>0</v>
      </c>
      <c r="BB122" s="221">
        <f t="shared" si="3"/>
        <v>0</v>
      </c>
      <c r="BC122" s="232">
        <f>IF(OR(E122="",F125="",AND(OR(P122="",Q122="",R122="",T122=""),OR(P123="",Q123="",R123="",T123=""),OR(P124="",Q124="",R124="",T124=""),OR(P125="",Q125="",R125="",T125="")),AND(OR(X122="",X124="",Y124="",Z124=""),OR(AB122="",AB124="",AC124="",AD124=""))),0,1)</f>
        <v>0</v>
      </c>
      <c r="BD122" s="232">
        <f>BC122+BD118</f>
        <v>0</v>
      </c>
    </row>
    <row r="123" spans="1:56" ht="15" customHeight="1">
      <c r="B123" s="85"/>
      <c r="C123" s="271"/>
      <c r="D123" s="409"/>
      <c r="E123" s="362"/>
      <c r="F123" s="410"/>
      <c r="G123" s="266"/>
      <c r="H123" s="266"/>
      <c r="I123" s="266"/>
      <c r="J123" s="266"/>
      <c r="K123" s="273"/>
      <c r="L123" s="411"/>
      <c r="M123" s="197" t="str">
        <f>IF(L122="ACG",SQRT(AV122^2+AV123^2),IF(L124="","",IF(OR(L122="oil cooled type",L122="(F)molded type"),IF(BA122=1,SQRT(AN122^2+AN123^2),IF(BA122=3,SQRT(AN124^2+AN125^2))),SQRT(AO122^2+AO123^2))))</f>
        <v/>
      </c>
      <c r="N123" s="412"/>
      <c r="O123" s="198"/>
      <c r="P123" s="90"/>
      <c r="Q123" s="199"/>
      <c r="R123" s="91"/>
      <c r="S123" s="92" t="str">
        <f>IF(R124="","",IF(Q124="",P124/R124,P124/(Q124*R124)))</f>
        <v/>
      </c>
      <c r="T123" s="200"/>
      <c r="U123" s="201" t="str">
        <f>IF(OR(BA124="",S123=""),"",S123*1000*T123/(SQRT(BA122)*BA124))</f>
        <v/>
      </c>
      <c r="V123" s="255"/>
      <c r="W123" s="248"/>
      <c r="X123" s="258"/>
      <c r="Y123" s="245"/>
      <c r="Z123" s="246"/>
      <c r="AA123" s="240"/>
      <c r="AB123" s="244"/>
      <c r="AC123" s="245"/>
      <c r="AD123" s="246"/>
      <c r="AE123" s="248"/>
      <c r="AF123" s="235" t="str">
        <f>IF(OR(AF122="",AG118&lt;&gt;""),"",AF122*AQ123/SQRT(AT122^2+AT123^2))</f>
        <v/>
      </c>
      <c r="AG123" s="274" t="str">
        <f>IF(AG122="","",100*AG122*AQ123/BA124)</f>
        <v/>
      </c>
      <c r="AH123" s="275"/>
      <c r="AI123" s="260" t="str">
        <f>IF(BA124=0,"",IF(AI118="",AX124/SQRT(AT122^2+AT123^2),IF(AI126="","",IF(AT122&lt;0,-AX122*AQ119/SQRT(AT122^2+AT123^2),AX122*AQ119/SQRT(AT122^2+AT123^2)))))</f>
        <v/>
      </c>
      <c r="AJ123" s="258"/>
      <c r="AK123" s="259"/>
      <c r="AL123" s="187"/>
      <c r="AM123" s="28"/>
      <c r="AN123" s="213" t="b">
        <f>IF(BA122="","",IF(AND(BA122=1,F124=50,L122="oil cooled type"),VLOOKUP(L124,変１,3,FALSE),IF(AND(BA122=1,F124=50,L122="(F)molded type"),VLOOKUP(L124,変１,8,FALSE),IF(AND(BA122=1,F124=60,L122="oil cooled type"),VLOOKUP(L124,変１,13,FALSE),IF(AND(BA122=1,F124=60,L122="(F)molded type"),VLOOKUP(L124,変１,18,FALSE),FALSE)))))</f>
        <v>0</v>
      </c>
      <c r="AO123" s="213">
        <f>IF(ISNA(VLOOKUP(L124,変ＵＳＥＲ,3,FALSE)),0,VLOOKUP(L124,変ＵＳＥＲ,3,FALSE)*BA125/50)</f>
        <v>0</v>
      </c>
      <c r="AP123" s="214">
        <f>IF(W122="",0,W122*1000/BA124^2/SQRT(BA122))</f>
        <v>0</v>
      </c>
      <c r="AQ123" s="213">
        <f>IF(AND(BA122=1,BA123=2),1,IF(AND(BA122=3,BA123=3),1,IF(AND(BA122=1,BA123=3),2,IF(AND(BA122=3,BA123=4)*OR(BB122=1,BB123=1,BB124=1,BB125=1),1,SQRT(3)))))</f>
        <v>1.7320508075688772</v>
      </c>
      <c r="AR123" s="215" t="str">
        <f>IF(X122="","",IF(X122="600V IV",VLOOKUP(X124,ＩＶ,3,FALSE),IF(X122="600V CV-T",VLOOKUP(X124,ＣＶＴ,3,FALSE),IF(OR(X122="600V CV-1C",X122="600V CV-2C",X122="600V CV-3C",X122="600V CV-4C"),VLOOKUP(X124,ＣＶ２３Ｃ,3,FALSE),VLOOKUP(X124,ＣＵＳＥＲ,3,FALSE)))))</f>
        <v/>
      </c>
      <c r="AS123" s="213" t="str">
        <f>IF(AD125="",AP125,AP125+(AD125/1000))</f>
        <v/>
      </c>
      <c r="AT123" s="216" t="str">
        <f>IF(AU125="",AT125,AU125)</f>
        <v/>
      </c>
      <c r="AU123" s="216" t="str">
        <f>IF(D122="","",IF(AND(D382="",#REF!&lt;&gt;"",AV125=#REF!),#REF!,IF(AND(D382="",#REF!="",#REF!&lt;&gt;"",AV385=#REF!),#REF!,IF(AND(D382="",#REF!="",#REF!="",#REF!&lt;&gt;"",#REF!=#REF!),#REF!,IF(AND(D382="",#REF!="",#REF!="",#REF!="",D386&lt;&gt;"",#REF!=#REF!),AT387,IF(AND(D382="",#REF!="",#REF!="",#REF!="",D386="",#REF!&lt;&gt;"",#REF!=AV390),AT388,IF(AND(D382="",#REF!="",#REF!="",#REF!="",D386="",#REF!="",D391&lt;&gt;"",#REF!=AV394),AT392,"")))))))</f>
        <v/>
      </c>
      <c r="AV123" s="215" t="str">
        <f>IF(L122="ACG",IF(ISNA(VLOOKUP(L124,ＡＣＧ,3,FALSE)),0,VLOOKUP(L124,ＡＣＧ,3,FALSE)*BA125/50),"")</f>
        <v/>
      </c>
      <c r="AW123" s="217" t="str">
        <f>IF(AT123="","",(AT123-AP122*(AT122^2+AT123^2))/((AT122*AP122)^2+(AP122*AT123-1)^2))</f>
        <v/>
      </c>
      <c r="AX123" s="218"/>
      <c r="AY123" s="219">
        <f>IF(N(AY125)=10^30,10^30,IF(N(AY385)=10^30,(N(AY125)*(N(AY384)^2+N(AY385)^2)+N(AY385)*(N(AY124)^2+N(AY125)^2))/((N(AY124)+N(AY384))^2+(N(AY125)+N(AY385))^2),(N(AY125)*(N(AY382)^2+N(AY383)^2)+N(AY383)*(N(AY124)^2+N(AY125)^2))/((N(AY124)+N(AY382))^2+(N(AY125)+N(AY383))^2)))</f>
        <v>1E+30</v>
      </c>
      <c r="AZ123" s="23"/>
      <c r="BA123" s="220">
        <f>IF(AND(H122="",SUM(S122:S125)&lt;&gt;0),BA119,H122)</f>
        <v>0</v>
      </c>
      <c r="BB123" s="221">
        <f t="shared" si="3"/>
        <v>0</v>
      </c>
      <c r="BC123" s="232"/>
      <c r="BD123" s="232"/>
    </row>
    <row r="124" spans="1:56" ht="15" customHeight="1">
      <c r="B124" s="85"/>
      <c r="C124" s="271"/>
      <c r="D124" s="409"/>
      <c r="E124" s="362"/>
      <c r="F124" s="413"/>
      <c r="G124" s="414"/>
      <c r="H124" s="414"/>
      <c r="I124" s="414"/>
      <c r="J124" s="414"/>
      <c r="K124" s="415"/>
      <c r="L124" s="416"/>
      <c r="M124" s="275"/>
      <c r="N124" s="412"/>
      <c r="O124" s="198"/>
      <c r="P124" s="93"/>
      <c r="Q124" s="202"/>
      <c r="R124" s="91"/>
      <c r="S124" s="92" t="str">
        <f>IF(R125="","",IF(Q125="",P125/R125,P125/(Q125*R125)))</f>
        <v/>
      </c>
      <c r="T124" s="200"/>
      <c r="U124" s="203" t="str">
        <f>IF(OR(BA124="",S124=""),"",S124*1000*T124/(SQRT(BA122)*BA124))</f>
        <v/>
      </c>
      <c r="V124" s="94" t="str">
        <f>IF(AND(N(U122)=0,N(U123)=0,N(U124)=0,N(U125)=0),"",V122*(P122*R122*T122+P123*R123*T123+P124*R124*T124+P125*R125*T125)/(P122*T122+P123*T123+P124*T124+P125*T125))</f>
        <v/>
      </c>
      <c r="W124" s="276" t="str">
        <f>IF(AND(N(AP124)=0,N(AP125)=0,N(AP123)=0),"",IF(AP125&gt;=0,COS(ATAN(AP125/AP124)),-COS(ATAN(AP125/AP124))))</f>
        <v/>
      </c>
      <c r="X124" s="95"/>
      <c r="Y124" s="204"/>
      <c r="Z124" s="96"/>
      <c r="AA124" s="97"/>
      <c r="AB124" s="98"/>
      <c r="AC124" s="204"/>
      <c r="AD124" s="96"/>
      <c r="AE124" s="99"/>
      <c r="AF124" s="236" t="str">
        <f>IF(OR(AF122="",AG118&lt;&gt;""),"",BA124/SQRT(AW124^2+AW125^2))</f>
        <v/>
      </c>
      <c r="AG124" s="274" t="str">
        <f>IF(AG122="","",100*((BA124/AQ123)-AG122)/(BA124/AQ123))</f>
        <v/>
      </c>
      <c r="AH124" s="275"/>
      <c r="AI124" s="261"/>
      <c r="AJ124" s="262"/>
      <c r="AK124" s="264"/>
      <c r="AL124" s="188"/>
      <c r="AM124" s="28"/>
      <c r="AN124" s="222" t="b">
        <f>IF(BA122="","",IF(AND(BA122=3,F124=50,L122="oil cooled type"),VLOOKUP(L124,変３,2,FALSE),IF(AND(BA122=3,F124=50,L122="(F)molded type"),VLOOKUP(L124,変３,7,FALSE),IF(AND(BA122=3,F124=60,L122="oil cooled type"),VLOOKUP(L124,変３,12,FALSE),IF(AND(BA122=3,F124=60,L122="(F)molded type"),VLOOKUP(L124,変３,17,FALSE),FALSE)))))</f>
        <v>0</v>
      </c>
      <c r="AO124" s="215" t="str">
        <f>IF(AND(L118="",N(AY122)&lt;10^29),AY122,"")</f>
        <v/>
      </c>
      <c r="AP124" s="223" t="str">
        <f>IF(V122="","",IF(AND(N(V124)=0,N(AP123)=0),"",AQ124/((AQ124*AP123)^2+(AP123*AQ125-1)^2)))</f>
        <v/>
      </c>
      <c r="AQ124" s="213">
        <f>IF(N(V124)=0,10^30,V124)</f>
        <v>1E+30</v>
      </c>
      <c r="AR124" s="215" t="str">
        <f>IF(AB122="","",IF(AB122="600V IV",VLOOKUP(AB124,ＩＶ,2,FALSE),IF(AB122="600V CV-T",VLOOKUP(AB124,ＣＶＴ,2,FALSE),IF(OR(AB122="600V CV-1C",AB122="600V CV-2C",AB122="600V CV-3C",AB122="600V CV-4C"),VLOOKUP(AB124,ＣＶ２３Ｃ,2,FALSE),VLOOKUP(AB124,ＣＵＳＥＲ,2,FALSE)))))</f>
        <v/>
      </c>
      <c r="AS124" s="213" t="str">
        <f>IF(OR(AND(AS382="",AS383=""),AND(D122="",D382&lt;&gt;"")),AS122,(AS122*(AT382^2+AT383^2)+AT382*(AS122^2+AS123^2))/((AS122+AT382)^2+(AS123+AT383)^2))</f>
        <v/>
      </c>
      <c r="AT124" s="216" t="str">
        <f>IF(X125="",AS124,N(AS124)+(X125/1000))</f>
        <v/>
      </c>
      <c r="AU124" s="216" t="str">
        <f>IF(AU122="","",(AT124*(AU122^2+AU123^2)+AU122*(AT124^2+AT125^2))/((AT124+AU122)^2+(AT125+AU123)^2))</f>
        <v/>
      </c>
      <c r="AV124" s="216">
        <f>IF(BA124=0,1,0)</f>
        <v>1</v>
      </c>
      <c r="AW124" s="217" t="str">
        <f>IF(AO124="","",AW122+AO124)</f>
        <v/>
      </c>
      <c r="AX124" s="218" t="str">
        <f>IF(AND(AX120="",AW124&lt;&gt;""),BA124*SQRT(AW122^2+AW123^2)/SQRT(AW124^2+AW125^2),IF(BA124&lt;&gt;0,AX120,""))</f>
        <v/>
      </c>
      <c r="AY124" s="224">
        <f>IF(L124="",10^30,SQRT(BA122)*(BA124^2)*(N(AN122)+N(AN124)+N(AO122)+N(AV122))/(100000*L124*M122))</f>
        <v>1E+30</v>
      </c>
      <c r="AZ124" s="225"/>
      <c r="BA124" s="220">
        <f>IF(AND(J122="",SUM(S122:S125)&lt;&gt;0),BA120,J122)</f>
        <v>0</v>
      </c>
      <c r="BB124" s="221">
        <f t="shared" si="3"/>
        <v>0</v>
      </c>
      <c r="BC124" s="232"/>
      <c r="BD124" s="232"/>
    </row>
    <row r="125" spans="1:56" ht="15" customHeight="1">
      <c r="A125" s="85"/>
      <c r="B125" s="85"/>
      <c r="C125" s="271"/>
      <c r="D125" s="417"/>
      <c r="E125" s="418"/>
      <c r="F125" s="419"/>
      <c r="G125" s="270"/>
      <c r="H125" s="270"/>
      <c r="I125" s="270"/>
      <c r="J125" s="270"/>
      <c r="K125" s="268"/>
      <c r="L125" s="251" t="str">
        <f>IF(M122="","",L124*1000*M122/(SQRT(BA122)*BA124))</f>
        <v/>
      </c>
      <c r="M125" s="252"/>
      <c r="N125" s="277"/>
      <c r="O125" s="205"/>
      <c r="P125" s="106"/>
      <c r="Q125" s="206"/>
      <c r="R125" s="107"/>
      <c r="S125" s="108" t="str">
        <f>IF(R125="","",IF(Q125="",P125/R125,P125/(Q125*R125)))</f>
        <v/>
      </c>
      <c r="T125" s="207"/>
      <c r="U125" s="208" t="str">
        <f>IF(OR(BA124="",S125=""),"",S125*1000*T125/(SQRT(BA122)*BA124))</f>
        <v/>
      </c>
      <c r="V125" s="109" t="str">
        <f>IF(AND(N(U122)=0,N(U123)=0,N(U124)=0,N(U125)=0),"",IF(V122&gt;=0,SQRT(ABS(V122^2-V124^2)),-SQRT(V122^2-V124^2)))</f>
        <v/>
      </c>
      <c r="W125" s="277"/>
      <c r="X125" s="278" t="str">
        <f>IF(Y124="","",AQ122*Z124*AR122*((1+0.00393*(F125-20))/1.2751)/Y124)</f>
        <v/>
      </c>
      <c r="Y125" s="270"/>
      <c r="Z125" s="267" t="str">
        <f>IF(Y124="","",(BA125/50)*AQ122*Z124*AR123/Y124)</f>
        <v/>
      </c>
      <c r="AA125" s="252"/>
      <c r="AB125" s="279" t="str">
        <f>IF(AC124="","",AQ122*AD124*AR124*((1+0.00393*(F125-20))/1.2751)/AC124)</f>
        <v/>
      </c>
      <c r="AC125" s="270"/>
      <c r="AD125" s="267" t="str">
        <f>IF(AC124="","",(BA125/50)*AQ122*AD124*AR125/AC124)</f>
        <v/>
      </c>
      <c r="AE125" s="268"/>
      <c r="AF125" s="237" t="str">
        <f>IF(AND(AX122&lt;&gt;"",D122=""),AX122,"")</f>
        <v/>
      </c>
      <c r="AG125" s="269" t="str">
        <f>IF(AP124="","",AP124)</f>
        <v/>
      </c>
      <c r="AH125" s="270"/>
      <c r="AI125" s="238" t="str">
        <f>IF(AP125="","",AP125)</f>
        <v/>
      </c>
      <c r="AJ125" s="263"/>
      <c r="AK125" s="253"/>
      <c r="AL125" s="189"/>
      <c r="AM125" s="28"/>
      <c r="AN125" s="226" t="b">
        <f>IF(BA122="","",IF(AND(BA122=3,F124=50,L122="oil cooled type"),VLOOKUP(L124,変３,3,FALSE),IF(AND(BA122=3,F124=50,L122="(F)molded type"),VLOOKUP(L124,変３,8,FALSE),IF(AND(BA122=3,F124=60,L122="oil cooled type"),VLOOKUP(L124,変３,13,FALSE),IF(AND(BA122=3,F124=60,L122="(F)molded type"),VLOOKUP(L124,変３,18,FALSE),FALSE)))))</f>
        <v>0</v>
      </c>
      <c r="AO125" s="226" t="str">
        <f>IF(AND(L118="",N(AY123)&lt;10^29),AY123,"")</f>
        <v/>
      </c>
      <c r="AP125" s="227" t="str">
        <f>IF(V122="","",IF(AND(N(V125)=0,N(AP123)=0),0,(AQ125-AP123*(AQ124^2+AQ125^2))/((AQ124*AP123)^2+(AP123*AQ125-1)^2)))</f>
        <v/>
      </c>
      <c r="AQ125" s="228">
        <f>IF(N(V125)=0,10^30,V125)</f>
        <v>1E+30</v>
      </c>
      <c r="AR125" s="226" t="str">
        <f>IF(AB122="","",IF(AB122="600V IV",VLOOKUP(AB124,ＩＶ,3,FALSE),IF(AB122="600V CV-T",VLOOKUP(AB124,ＣＶＴ,3,FALSE),IF(OR(AB122="600V CV-1C",AB122="600V CV-2C",AB122="600V CV-3C",AB122="600V CV-4C"),VLOOKUP(AB124,ＣＶ２３Ｃ,3,FALSE),VLOOKUP(AB124,ＣＵＳＥＲ,3,FALSE)))))</f>
        <v/>
      </c>
      <c r="AS125" s="228" t="str">
        <f>IF(OR(AND(AS382="",AS383=""),AND(D122="",D382&lt;&gt;"")),AS123,(AS123*(AT382^2+AT383^2)+AT383*(AS122^2+AS123^2))/((AS122+AT382)^2+(AS123+AT383)^2))</f>
        <v/>
      </c>
      <c r="AT125" s="229" t="str">
        <f>IF(Z125="",AS125,N(AS125)+(Z125/1000))</f>
        <v/>
      </c>
      <c r="AU125" s="229" t="str">
        <f>IF(AU123="","",(AT125*(AU122^2+AU123^2)+AU123*(AT124^2+AT125^2))/((AT124+AU122)^2+(AT125+AU123)^2))</f>
        <v/>
      </c>
      <c r="AV125" s="229">
        <f>AV121+AV124</f>
        <v>27</v>
      </c>
      <c r="AW125" s="228" t="str">
        <f>IF(AO125="","",AW123+AO125)</f>
        <v/>
      </c>
      <c r="AX125" s="230"/>
      <c r="AY125" s="224">
        <f>IF(L124="",10^30,SQRT(BA122)*(BA124^2)*(N(AN123)+N(AN125)+N(AO123)+N(AV123))/(100000*L124*M122))</f>
        <v>1E+30</v>
      </c>
      <c r="AZ125" s="225"/>
      <c r="BA125" s="220">
        <f>IF(AND(F124="",SUM(S122:S125)&lt;&gt;0),BA121,F124)</f>
        <v>0</v>
      </c>
      <c r="BB125" s="221">
        <f t="shared" si="3"/>
        <v>0</v>
      </c>
      <c r="BC125" s="232"/>
      <c r="BD125" s="232"/>
    </row>
    <row r="126" spans="1:56" ht="15" customHeight="1">
      <c r="B126" s="85"/>
      <c r="C126" s="271" t="str">
        <f>IF(BC126=1,"●","・")</f>
        <v>・</v>
      </c>
      <c r="D126" s="402"/>
      <c r="E126" s="403"/>
      <c r="F126" s="404"/>
      <c r="G126" s="265" t="str">
        <f>IF(F126="","","φ")</f>
        <v/>
      </c>
      <c r="H126" s="405"/>
      <c r="I126" s="265" t="str">
        <f>IF(H126="","","W")</f>
        <v/>
      </c>
      <c r="J126" s="405"/>
      <c r="K126" s="272" t="str">
        <f>IF(J126="","","V")</f>
        <v/>
      </c>
      <c r="L126" s="406"/>
      <c r="M126" s="407"/>
      <c r="N126" s="408"/>
      <c r="O126" s="193"/>
      <c r="P126" s="86"/>
      <c r="Q126" s="194"/>
      <c r="R126" s="87"/>
      <c r="S126" s="88" t="str">
        <f>IF(R126="","",IF(Q126="",P126/R126,P126/(Q126*R126)))</f>
        <v/>
      </c>
      <c r="T126" s="195"/>
      <c r="U126" s="196" t="str">
        <f>IF(OR(BA128="",S126=""),"",S126*1000*T126/(SQRT(BA126)*BA128))</f>
        <v/>
      </c>
      <c r="V126" s="254" t="str">
        <f>IF(AND(N(U126)=0,N(U127)=0,N(U128)=0,N(U129)=0),"",BA128/(SUM(U126:U129)))</f>
        <v/>
      </c>
      <c r="W126" s="280"/>
      <c r="X126" s="281"/>
      <c r="Y126" s="242"/>
      <c r="Z126" s="243"/>
      <c r="AA126" s="239"/>
      <c r="AB126" s="241"/>
      <c r="AC126" s="242"/>
      <c r="AD126" s="243"/>
      <c r="AE126" s="247"/>
      <c r="AF126" s="233" t="str">
        <f>IF(OR(AND(AF122="",N(BA124)=0,BA128&lt;&gt;0),D126&lt;&gt;""),AX128/AQ127,"")</f>
        <v/>
      </c>
      <c r="AG126" s="249" t="str">
        <f>IF(BA128=0,"",IF(AD128="",AX126,IF(AND(D126&lt;&gt;"",AU126=""),AX128*SQRT(AP128^2+AP129^2)/SQRT(AS126^2+AS127^2)/AQ127,AX126*SQRT(AP128^2+AP129^2)/SQRT(AS126^2+AS127^2))))</f>
        <v/>
      </c>
      <c r="AH126" s="250"/>
      <c r="AI126" s="234" t="str">
        <f>IF(AG126="","",IF(N(U126)&lt;0,-AX126*AQ127/SQRT(AS126^2+AS127^2),AX126*AQ127/SQRT(AS126^2+AS127^2)))</f>
        <v/>
      </c>
      <c r="AJ126" s="256"/>
      <c r="AK126" s="257"/>
      <c r="AL126" s="186"/>
      <c r="AM126" s="28"/>
      <c r="AN126" s="213" t="b">
        <f>IF(BA126="","",IF(AND(BA126=1,F128=50,L126="oil cooled type"),VLOOKUP(L128,変１,2,FALSE),IF(AND(BA126=1,F128=50,L126="(F)molded type"),VLOOKUP(L128,変１,7,FALSE),IF(AND(BA126=1,F128=60,L126="oil cooled type"),VLOOKUP(L128,変１,12,FALSE),IF(AND(BA126=1,F128=60,L126="(F)molded type"),VLOOKUP(L128,変１,17,FALSE),FALSE)))))</f>
        <v>0</v>
      </c>
      <c r="AO126" s="213">
        <f>IF(ISNA(VLOOKUP(L128,変ＵＳＥＲ,2,FALSE)),0,VLOOKUP(L128,変ＵＳＥＲ,2,FALSE))</f>
        <v>0</v>
      </c>
      <c r="AP126" s="214">
        <f>IF(N126="",0,N126*1000/BA128^2/SQRT(BA126))</f>
        <v>0</v>
      </c>
      <c r="AQ126" s="213" t="b">
        <f>IF(BA126=1,2,IF(BA126=3,SQRT(3),FALSE))</f>
        <v>0</v>
      </c>
      <c r="AR126" s="215" t="str">
        <f>IF(X126="","",IF(X126="600V IV",VLOOKUP(X128,ＩＶ,2,FALSE),IF(X126="600V CV-T",VLOOKUP(X128,ＣＶＴ,2,FALSE),IF(OR(X126="600V CV-1C",X126="600V CV-2C",X126="600V CV-3C",X126="600V CV-4C"),VLOOKUP(X128,ＣＶ２３Ｃ,2,FALSE),VLOOKUP(X128,ＣＵＳＥＲ,2,FALSE)))))</f>
        <v/>
      </c>
      <c r="AS126" s="213" t="str">
        <f>IF(AB129="",AP128,AP128+(AB129/1000))</f>
        <v/>
      </c>
      <c r="AT126" s="216" t="str">
        <f>IF(AU128="",AT128,AU128)</f>
        <v/>
      </c>
      <c r="AU126" s="216" t="str">
        <f>IF(D126="","",IF(AND(D386="",#REF!&lt;&gt;"",AV129=#REF!),#REF!,IF(AND(D386="",#REF!="",#REF!&lt;&gt;"",AV389=#REF!),#REF!,IF(AND(D386="",#REF!="",#REF!="",#REF!&lt;&gt;"",#REF!=#REF!),#REF!,IF(AND(D386="",#REF!="",#REF!="",#REF!="",D390&lt;&gt;"",#REF!=#REF!),AT390,IF(AND(D386="",#REF!="",#REF!="",#REF!="",D390="",#REF!&lt;&gt;"",#REF!=AV394),#REF!,IF(AND(D386="",#REF!="",#REF!="",#REF!="",D390="",#REF!="",D395&lt;&gt;"",#REF!=AV398),AT395,"")))))))</f>
        <v/>
      </c>
      <c r="AV126" s="216" t="str">
        <f>IF(L126="ACG",IF(ISNA(VLOOKUP(L128,ＡＣＧ,2,FALSE)),0,VLOOKUP(L128,ＡＣＧ,2,FALSE)),"")</f>
        <v/>
      </c>
      <c r="AW126" s="217" t="str">
        <f>IF(AT126="","",AT126/((AT126*AP126)^2+(AT127*AP126-1)^2))</f>
        <v/>
      </c>
      <c r="AX126" s="218" t="str">
        <f>IF(BA128=0,"",IF(OR(AX122="",AF126&lt;&gt;""),AF126*SQRT(AS128^2+AS129^2)/SQRT(AT128^2+AT129^2),AX122*SQRT(AS128^2+AS129^2)/SQRT(AT128^2+AT129^2)))</f>
        <v/>
      </c>
      <c r="AY126" s="219">
        <f>IF(N(AY128)=10^30,10^30,IF(N(AY388)=10^30,(N(AY128)*(N(AY388)^2+N(AY389)^2)+N(AY388)*(N(AY128)^2+N(AY129)^2))/((N(AY128)+N(AY388))^2+(N(AY129)+N(AY389))^2),(N(AY128)*(N(AY386)^2+N(AY387)^2)+N(AY386)*(N(AY128)^2+N(AY129)^2))/((N(AY128)+N(AY386))^2+(N(AY129)+N(AY387))^2)))</f>
        <v>1E+30</v>
      </c>
      <c r="AZ126" s="23"/>
      <c r="BA126" s="220">
        <f>IF(AND(F126="",SUM(S126:S129)&lt;&gt;0),BA122,F126)</f>
        <v>0</v>
      </c>
      <c r="BB126" s="221">
        <f t="shared" si="3"/>
        <v>0</v>
      </c>
      <c r="BC126" s="232">
        <f>IF(OR(E126="",F129="",AND(OR(P126="",Q126="",R126="",T126=""),OR(P127="",Q127="",R127="",T127=""),OR(P128="",Q128="",R128="",T128=""),OR(P129="",Q129="",R129="",T129="")),AND(OR(X126="",X128="",Y128="",Z128=""),OR(AB126="",AB128="",AC128="",AD128=""))),0,1)</f>
        <v>0</v>
      </c>
      <c r="BD126" s="232">
        <f>BC126+BD122</f>
        <v>0</v>
      </c>
    </row>
    <row r="127" spans="1:56" ht="15" customHeight="1">
      <c r="B127" s="85"/>
      <c r="C127" s="271"/>
      <c r="D127" s="409"/>
      <c r="E127" s="362"/>
      <c r="F127" s="410"/>
      <c r="G127" s="266"/>
      <c r="H127" s="266"/>
      <c r="I127" s="266"/>
      <c r="J127" s="266"/>
      <c r="K127" s="273"/>
      <c r="L127" s="411"/>
      <c r="M127" s="197" t="str">
        <f>IF(L126="ACG",SQRT(AV126^2+AV127^2),IF(L128="","",IF(OR(L126="oil cooled type",L126="(F)molded type"),IF(BA126=1,SQRT(AN126^2+AN127^2),IF(BA126=3,SQRT(AN128^2+AN129^2))),SQRT(AO126^2+AO127^2))))</f>
        <v/>
      </c>
      <c r="N127" s="412"/>
      <c r="O127" s="198"/>
      <c r="P127" s="90"/>
      <c r="Q127" s="199"/>
      <c r="R127" s="91"/>
      <c r="S127" s="92" t="str">
        <f>IF(R128="","",IF(Q128="",P128/R128,P128/(Q128*R128)))</f>
        <v/>
      </c>
      <c r="T127" s="200"/>
      <c r="U127" s="201" t="str">
        <f>IF(OR(BA128="",S127=""),"",S127*1000*T127/(SQRT(BA126)*BA128))</f>
        <v/>
      </c>
      <c r="V127" s="255"/>
      <c r="W127" s="248"/>
      <c r="X127" s="258"/>
      <c r="Y127" s="245"/>
      <c r="Z127" s="246"/>
      <c r="AA127" s="240"/>
      <c r="AB127" s="244"/>
      <c r="AC127" s="245"/>
      <c r="AD127" s="246"/>
      <c r="AE127" s="248"/>
      <c r="AF127" s="235" t="str">
        <f>IF(OR(AF126="",AG122&lt;&gt;""),"",AF126*AQ127/SQRT(AT126^2+AT127^2))</f>
        <v/>
      </c>
      <c r="AG127" s="274" t="str">
        <f>IF(AG126="","",100*AG126*AQ127/BA128)</f>
        <v/>
      </c>
      <c r="AH127" s="275"/>
      <c r="AI127" s="260" t="str">
        <f>IF(BA128=0,"",IF(AI122="",AX128/SQRT(AT126^2+AT127^2),IF(AI130="","",IF(AT126&lt;0,-AX126*AQ123/SQRT(AT126^2+AT127^2),AX126*AQ123/SQRT(AT126^2+AT127^2)))))</f>
        <v/>
      </c>
      <c r="AJ127" s="258"/>
      <c r="AK127" s="259"/>
      <c r="AL127" s="187"/>
      <c r="AM127" s="28"/>
      <c r="AN127" s="213" t="b">
        <f>IF(BA126="","",IF(AND(BA126=1,F128=50,L126="oil cooled type"),VLOOKUP(L128,変１,3,FALSE),IF(AND(BA126=1,F128=50,L126="(F)molded type"),VLOOKUP(L128,変１,8,FALSE),IF(AND(BA126=1,F128=60,L126="oil cooled type"),VLOOKUP(L128,変１,13,FALSE),IF(AND(BA126=1,F128=60,L126="(F)molded type"),VLOOKUP(L128,変１,18,FALSE),FALSE)))))</f>
        <v>0</v>
      </c>
      <c r="AO127" s="213">
        <f>IF(ISNA(VLOOKUP(L128,変ＵＳＥＲ,3,FALSE)),0,VLOOKUP(L128,変ＵＳＥＲ,3,FALSE)*BA129/50)</f>
        <v>0</v>
      </c>
      <c r="AP127" s="214">
        <f>IF(W126="",0,W126*1000/BA128^2/SQRT(BA126))</f>
        <v>0</v>
      </c>
      <c r="AQ127" s="213">
        <f>IF(AND(BA126=1,BA127=2),1,IF(AND(BA126=3,BA127=3),1,IF(AND(BA126=1,BA127=3),2,IF(AND(BA126=3,BA127=4)*OR(BB126=1,BB127=1,BB128=1,BB129=1),1,SQRT(3)))))</f>
        <v>1.7320508075688772</v>
      </c>
      <c r="AR127" s="215" t="str">
        <f>IF(X126="","",IF(X126="600V IV",VLOOKUP(X128,ＩＶ,3,FALSE),IF(X126="600V CV-T",VLOOKUP(X128,ＣＶＴ,3,FALSE),IF(OR(X126="600V CV-1C",X126="600V CV-2C",X126="600V CV-3C",X126="600V CV-4C"),VLOOKUP(X128,ＣＶ２３Ｃ,3,FALSE),VLOOKUP(X128,ＣＵＳＥＲ,3,FALSE)))))</f>
        <v/>
      </c>
      <c r="AS127" s="213" t="str">
        <f>IF(AD129="",AP129,AP129+(AD129/1000))</f>
        <v/>
      </c>
      <c r="AT127" s="216" t="str">
        <f>IF(AU129="",AT129,AU129)</f>
        <v/>
      </c>
      <c r="AU127" s="216" t="str">
        <f>IF(D126="","",IF(AND(D386="",#REF!&lt;&gt;"",AV129=#REF!),#REF!,IF(AND(D386="",#REF!="",#REF!&lt;&gt;"",AV389=#REF!),#REF!,IF(AND(D386="",#REF!="",#REF!="",#REF!&lt;&gt;"",#REF!=#REF!),#REF!,IF(AND(D386="",#REF!="",#REF!="",#REF!="",D390&lt;&gt;"",#REF!=#REF!),AT391,IF(AND(D386="",#REF!="",#REF!="",#REF!="",D390="",#REF!&lt;&gt;"",#REF!=AV394),AT392,IF(AND(D386="",#REF!="",#REF!="",#REF!="",D390="",#REF!="",D395&lt;&gt;"",#REF!=AV398),AT396,"")))))))</f>
        <v/>
      </c>
      <c r="AV127" s="215" t="str">
        <f>IF(L126="ACG",IF(ISNA(VLOOKUP(L128,ＡＣＧ,3,FALSE)),0,VLOOKUP(L128,ＡＣＧ,3,FALSE)*BA129/50),"")</f>
        <v/>
      </c>
      <c r="AW127" s="217" t="str">
        <f>IF(AT127="","",(AT127-AP126*(AT126^2+AT127^2))/((AT126*AP126)^2+(AP126*AT127-1)^2))</f>
        <v/>
      </c>
      <c r="AX127" s="218"/>
      <c r="AY127" s="219">
        <f>IF(N(AY129)=10^30,10^30,IF(N(AY389)=10^30,(N(AY129)*(N(AY388)^2+N(AY389)^2)+N(AY389)*(N(AY128)^2+N(AY129)^2))/((N(AY128)+N(AY388))^2+(N(AY129)+N(AY389))^2),(N(AY129)*(N(AY386)^2+N(AY387)^2)+N(AY387)*(N(AY128)^2+N(AY129)^2))/((N(AY128)+N(AY386))^2+(N(AY129)+N(AY387))^2)))</f>
        <v>1E+30</v>
      </c>
      <c r="AZ127" s="23"/>
      <c r="BA127" s="220">
        <f>IF(AND(H126="",SUM(S126:S129)&lt;&gt;0),BA123,H126)</f>
        <v>0</v>
      </c>
      <c r="BB127" s="221">
        <f t="shared" si="3"/>
        <v>0</v>
      </c>
      <c r="BC127" s="232"/>
      <c r="BD127" s="232"/>
    </row>
    <row r="128" spans="1:56" ht="15" customHeight="1">
      <c r="B128" s="85"/>
      <c r="C128" s="271"/>
      <c r="D128" s="409"/>
      <c r="E128" s="362"/>
      <c r="F128" s="413"/>
      <c r="G128" s="414"/>
      <c r="H128" s="414"/>
      <c r="I128" s="414"/>
      <c r="J128" s="414"/>
      <c r="K128" s="415"/>
      <c r="L128" s="416"/>
      <c r="M128" s="275"/>
      <c r="N128" s="412"/>
      <c r="O128" s="198"/>
      <c r="P128" s="93"/>
      <c r="Q128" s="202"/>
      <c r="R128" s="91"/>
      <c r="S128" s="92" t="str">
        <f>IF(R129="","",IF(Q129="",P129/R129,P129/(Q129*R129)))</f>
        <v/>
      </c>
      <c r="T128" s="200"/>
      <c r="U128" s="203" t="str">
        <f>IF(OR(BA128="",S128=""),"",S128*1000*T128/(SQRT(BA126)*BA128))</f>
        <v/>
      </c>
      <c r="V128" s="94" t="str">
        <f>IF(AND(N(U126)=0,N(U127)=0,N(U128)=0,N(U129)=0),"",V126*(P126*R126*T126+P127*R127*T127+P128*R128*T128+P129*R129*T129)/(P126*T126+P127*T127+P128*T128+P129*T129))</f>
        <v/>
      </c>
      <c r="W128" s="276" t="str">
        <f>IF(AND(N(AP128)=0,N(AP129)=0,N(AP127)=0),"",IF(AP129&gt;=0,COS(ATAN(AP129/AP128)),-COS(ATAN(AP129/AP128))))</f>
        <v/>
      </c>
      <c r="X128" s="95"/>
      <c r="Y128" s="204"/>
      <c r="Z128" s="96"/>
      <c r="AA128" s="97"/>
      <c r="AB128" s="98"/>
      <c r="AC128" s="204"/>
      <c r="AD128" s="96"/>
      <c r="AE128" s="99"/>
      <c r="AF128" s="236" t="str">
        <f>IF(OR(AF126="",AG122&lt;&gt;""),"",BA128/SQRT(AW128^2+AW129^2))</f>
        <v/>
      </c>
      <c r="AG128" s="274" t="str">
        <f>IF(AG126="","",100*((BA128/AQ127)-AG126)/(BA128/AQ127))</f>
        <v/>
      </c>
      <c r="AH128" s="275"/>
      <c r="AI128" s="261"/>
      <c r="AJ128" s="262"/>
      <c r="AK128" s="264"/>
      <c r="AL128" s="188"/>
      <c r="AM128" s="28"/>
      <c r="AN128" s="222" t="b">
        <f>IF(BA126="","",IF(AND(BA126=3,F128=50,L126="oil cooled type"),VLOOKUP(L128,変３,2,FALSE),IF(AND(BA126=3,F128=50,L126="(F)molded type"),VLOOKUP(L128,変３,7,FALSE),IF(AND(BA126=3,F128=60,L126="oil cooled type"),VLOOKUP(L128,変３,12,FALSE),IF(AND(BA126=3,F128=60,L126="(F)molded type"),VLOOKUP(L128,変３,17,FALSE),FALSE)))))</f>
        <v>0</v>
      </c>
      <c r="AO128" s="215" t="str">
        <f>IF(AND(L122="",N(AY126)&lt;10^29),AY126,"")</f>
        <v/>
      </c>
      <c r="AP128" s="223" t="str">
        <f>IF(V126="","",IF(AND(N(V128)=0,N(AP127)=0),"",AQ128/((AQ128*AP127)^2+(AP127*AQ129-1)^2)))</f>
        <v/>
      </c>
      <c r="AQ128" s="213">
        <f>IF(N(V128)=0,10^30,V128)</f>
        <v>1E+30</v>
      </c>
      <c r="AR128" s="215" t="str">
        <f>IF(AB126="","",IF(AB126="600V IV",VLOOKUP(AB128,ＩＶ,2,FALSE),IF(AB126="600V CV-T",VLOOKUP(AB128,ＣＶＴ,2,FALSE),IF(OR(AB126="600V CV-1C",AB126="600V CV-2C",AB126="600V CV-3C",AB126="600V CV-4C"),VLOOKUP(AB128,ＣＶ２３Ｃ,2,FALSE),VLOOKUP(AB128,ＣＵＳＥＲ,2,FALSE)))))</f>
        <v/>
      </c>
      <c r="AS128" s="213" t="str">
        <f>IF(OR(AND(AS386="",AS387=""),AND(D126="",D386&lt;&gt;"")),AS126,(AS126*(AT386^2+AT387^2)+AT386*(AS126^2+AS127^2))/((AS126+AT386)^2+(AS127+AT387)^2))</f>
        <v/>
      </c>
      <c r="AT128" s="216" t="str">
        <f>IF(X129="",AS128,N(AS128)+(X129/1000))</f>
        <v/>
      </c>
      <c r="AU128" s="216" t="str">
        <f>IF(AU126="","",(AT128*(AU126^2+AU127^2)+AU126*(AT128^2+AT129^2))/((AT128+AU126)^2+(AT129+AU127)^2))</f>
        <v/>
      </c>
      <c r="AV128" s="216">
        <f>IF(BA128=0,1,0)</f>
        <v>1</v>
      </c>
      <c r="AW128" s="217" t="str">
        <f>IF(AO128="","",AW126+AO128)</f>
        <v/>
      </c>
      <c r="AX128" s="218" t="str">
        <f>IF(AND(AX124="",AW128&lt;&gt;""),BA128*SQRT(AW126^2+AW127^2)/SQRT(AW128^2+AW129^2),IF(BA128&lt;&gt;0,AX124,""))</f>
        <v/>
      </c>
      <c r="AY128" s="224">
        <f>IF(L128="",10^30,SQRT(BA126)*(BA128^2)*(N(AN126)+N(AN128)+N(AO126)+N(AV126))/(100000*L128*M126))</f>
        <v>1E+30</v>
      </c>
      <c r="AZ128" s="225"/>
      <c r="BA128" s="220">
        <f>IF(AND(J126="",SUM(S126:S129)&lt;&gt;0),BA124,J126)</f>
        <v>0</v>
      </c>
      <c r="BB128" s="221">
        <f t="shared" si="3"/>
        <v>0</v>
      </c>
      <c r="BC128" s="232"/>
      <c r="BD128" s="232"/>
    </row>
    <row r="129" spans="1:56" ht="15" customHeight="1">
      <c r="A129" s="85"/>
      <c r="B129" s="85"/>
      <c r="C129" s="271"/>
      <c r="D129" s="417"/>
      <c r="E129" s="418"/>
      <c r="F129" s="419"/>
      <c r="G129" s="270"/>
      <c r="H129" s="270"/>
      <c r="I129" s="270"/>
      <c r="J129" s="270"/>
      <c r="K129" s="268"/>
      <c r="L129" s="251" t="str">
        <f>IF(M126="","",L128*1000*M126/(SQRT(BA126)*BA128))</f>
        <v/>
      </c>
      <c r="M129" s="252"/>
      <c r="N129" s="277"/>
      <c r="O129" s="205"/>
      <c r="P129" s="106"/>
      <c r="Q129" s="206"/>
      <c r="R129" s="107"/>
      <c r="S129" s="108" t="str">
        <f>IF(R129="","",IF(Q129="",P129/R129,P129/(Q129*R129)))</f>
        <v/>
      </c>
      <c r="T129" s="207"/>
      <c r="U129" s="208" t="str">
        <f>IF(OR(BA128="",S129=""),"",S129*1000*T129/(SQRT(BA126)*BA128))</f>
        <v/>
      </c>
      <c r="V129" s="109" t="str">
        <f>IF(AND(N(U126)=0,N(U127)=0,N(U128)=0,N(U129)=0),"",IF(V126&gt;=0,SQRT(ABS(V126^2-V128^2)),-SQRT(V126^2-V128^2)))</f>
        <v/>
      </c>
      <c r="W129" s="277"/>
      <c r="X129" s="278" t="str">
        <f>IF(Y128="","",AQ126*Z128*AR126*((1+0.00393*(F129-20))/1.2751)/Y128)</f>
        <v/>
      </c>
      <c r="Y129" s="270"/>
      <c r="Z129" s="267" t="str">
        <f>IF(Y128="","",(BA129/50)*AQ126*Z128*AR127/Y128)</f>
        <v/>
      </c>
      <c r="AA129" s="252"/>
      <c r="AB129" s="279" t="str">
        <f>IF(AC128="","",AQ126*AD128*AR128*((1+0.00393*(F129-20))/1.2751)/AC128)</f>
        <v/>
      </c>
      <c r="AC129" s="270"/>
      <c r="AD129" s="267" t="str">
        <f>IF(AC128="","",(BA129/50)*AQ126*AD128*AR129/AC128)</f>
        <v/>
      </c>
      <c r="AE129" s="268"/>
      <c r="AF129" s="237" t="str">
        <f>IF(AND(AX126&lt;&gt;"",D126=""),AX126,"")</f>
        <v/>
      </c>
      <c r="AG129" s="269" t="str">
        <f>IF(AP128="","",AP128)</f>
        <v/>
      </c>
      <c r="AH129" s="270"/>
      <c r="AI129" s="238" t="str">
        <f>IF(AP129="","",AP129)</f>
        <v/>
      </c>
      <c r="AJ129" s="263"/>
      <c r="AK129" s="253"/>
      <c r="AL129" s="189"/>
      <c r="AM129" s="28"/>
      <c r="AN129" s="226" t="b">
        <f>IF(BA126="","",IF(AND(BA126=3,F128=50,L126="oil cooled type"),VLOOKUP(L128,変３,3,FALSE),IF(AND(BA126=3,F128=50,L126="(F)molded type"),VLOOKUP(L128,変３,8,FALSE),IF(AND(BA126=3,F128=60,L126="oil cooled type"),VLOOKUP(L128,変３,13,FALSE),IF(AND(BA126=3,F128=60,L126="(F)molded type"),VLOOKUP(L128,変３,18,FALSE),FALSE)))))</f>
        <v>0</v>
      </c>
      <c r="AO129" s="226" t="str">
        <f>IF(AND(L122="",N(AY127)&lt;10^29),AY127,"")</f>
        <v/>
      </c>
      <c r="AP129" s="227" t="str">
        <f>IF(V126="","",IF(AND(N(V129)=0,N(AP127)=0),0,(AQ129-AP127*(AQ128^2+AQ129^2))/((AQ128*AP127)^2+(AP127*AQ129-1)^2)))</f>
        <v/>
      </c>
      <c r="AQ129" s="228">
        <f>IF(N(V129)=0,10^30,V129)</f>
        <v>1E+30</v>
      </c>
      <c r="AR129" s="226" t="str">
        <f>IF(AB126="","",IF(AB126="600V IV",VLOOKUP(AB128,ＩＶ,3,FALSE),IF(AB126="600V CV-T",VLOOKUP(AB128,ＣＶＴ,3,FALSE),IF(OR(AB126="600V CV-1C",AB126="600V CV-2C",AB126="600V CV-3C",AB126="600V CV-4C"),VLOOKUP(AB128,ＣＶ２３Ｃ,3,FALSE),VLOOKUP(AB128,ＣＵＳＥＲ,3,FALSE)))))</f>
        <v/>
      </c>
      <c r="AS129" s="228" t="str">
        <f>IF(OR(AND(AS386="",AS387=""),AND(D126="",D386&lt;&gt;"")),AS127,(AS127*(AT386^2+AT387^2)+AT387*(AS126^2+AS127^2))/((AS126+AT386)^2+(AS127+AT387)^2))</f>
        <v/>
      </c>
      <c r="AT129" s="229" t="str">
        <f>IF(Z129="",AS129,N(AS129)+(Z129/1000))</f>
        <v/>
      </c>
      <c r="AU129" s="229" t="str">
        <f>IF(AU127="","",(AT129*(AU126^2+AU127^2)+AU127*(AT128^2+AT129^2))/((AT128+AU126)^2+(AT129+AU127)^2))</f>
        <v/>
      </c>
      <c r="AV129" s="229">
        <f>AV125+AV128</f>
        <v>28</v>
      </c>
      <c r="AW129" s="228" t="str">
        <f>IF(AO129="","",AW127+AO129)</f>
        <v/>
      </c>
      <c r="AX129" s="230"/>
      <c r="AY129" s="224">
        <f>IF(L128="",10^30,SQRT(BA126)*(BA128^2)*(N(AN127)+N(AN129)+N(AO127)+N(AV127))/(100000*L128*M126))</f>
        <v>1E+30</v>
      </c>
      <c r="AZ129" s="225"/>
      <c r="BA129" s="220">
        <f>IF(AND(F128="",SUM(S126:S129)&lt;&gt;0),BA125,F128)</f>
        <v>0</v>
      </c>
      <c r="BB129" s="221">
        <f t="shared" si="3"/>
        <v>0</v>
      </c>
      <c r="BC129" s="232"/>
      <c r="BD129" s="232"/>
    </row>
    <row r="130" spans="1:56" ht="15" customHeight="1">
      <c r="B130" s="85"/>
      <c r="C130" s="271" t="str">
        <f>IF(BC130=1,"●","・")</f>
        <v>・</v>
      </c>
      <c r="D130" s="402"/>
      <c r="E130" s="403"/>
      <c r="F130" s="404"/>
      <c r="G130" s="265" t="str">
        <f>IF(F130="","","φ")</f>
        <v/>
      </c>
      <c r="H130" s="405"/>
      <c r="I130" s="265" t="str">
        <f>IF(H130="","","W")</f>
        <v/>
      </c>
      <c r="J130" s="405"/>
      <c r="K130" s="272" t="str">
        <f>IF(J130="","","V")</f>
        <v/>
      </c>
      <c r="L130" s="406"/>
      <c r="M130" s="407"/>
      <c r="N130" s="408"/>
      <c r="O130" s="193"/>
      <c r="P130" s="86"/>
      <c r="Q130" s="194"/>
      <c r="R130" s="87"/>
      <c r="S130" s="88" t="str">
        <f>IF(R130="","",IF(Q130="",P130/R130,P130/(Q130*R130)))</f>
        <v/>
      </c>
      <c r="T130" s="195"/>
      <c r="U130" s="196" t="str">
        <f>IF(OR(BA132="",S130=""),"",S130*1000*T130/(SQRT(BA130)*BA132))</f>
        <v/>
      </c>
      <c r="V130" s="254" t="str">
        <f>IF(AND(N(U130)=0,N(U131)=0,N(U132)=0,N(U133)=0),"",BA132/(SUM(U130:U133)))</f>
        <v/>
      </c>
      <c r="W130" s="280"/>
      <c r="X130" s="281"/>
      <c r="Y130" s="242"/>
      <c r="Z130" s="243"/>
      <c r="AA130" s="239"/>
      <c r="AB130" s="241"/>
      <c r="AC130" s="242"/>
      <c r="AD130" s="243"/>
      <c r="AE130" s="247"/>
      <c r="AF130" s="233" t="str">
        <f>IF(OR(AND(AF126="",N(BA128)=0,BA132&lt;&gt;0),D130&lt;&gt;""),AX132/AQ131,"")</f>
        <v/>
      </c>
      <c r="AG130" s="249" t="str">
        <f>IF(BA132=0,"",IF(AD132="",AX130,IF(AND(D130&lt;&gt;"",AU130=""),AX132*SQRT(AP132^2+AP133^2)/SQRT(AS130^2+AS131^2)/AQ131,AX130*SQRT(AP132^2+AP133^2)/SQRT(AS130^2+AS131^2))))</f>
        <v/>
      </c>
      <c r="AH130" s="250"/>
      <c r="AI130" s="234" t="str">
        <f>IF(AG130="","",IF(N(U130)&lt;0,-AX130*AQ131/SQRT(AS130^2+AS131^2),AX130*AQ131/SQRT(AS130^2+AS131^2)))</f>
        <v/>
      </c>
      <c r="AJ130" s="256"/>
      <c r="AK130" s="257"/>
      <c r="AL130" s="186"/>
      <c r="AM130" s="28"/>
      <c r="AN130" s="213" t="b">
        <f>IF(BA130="","",IF(AND(BA130=1,F132=50,L130="oil cooled type"),VLOOKUP(L132,変１,2,FALSE),IF(AND(BA130=1,F132=50,L130="(F)molded type"),VLOOKUP(L132,変１,7,FALSE),IF(AND(BA130=1,F132=60,L130="oil cooled type"),VLOOKUP(L132,変１,12,FALSE),IF(AND(BA130=1,F132=60,L130="(F)molded type"),VLOOKUP(L132,変１,17,FALSE),FALSE)))))</f>
        <v>0</v>
      </c>
      <c r="AO130" s="213">
        <f>IF(ISNA(VLOOKUP(L132,変ＵＳＥＲ,2,FALSE)),0,VLOOKUP(L132,変ＵＳＥＲ,2,FALSE))</f>
        <v>0</v>
      </c>
      <c r="AP130" s="214">
        <f>IF(N130="",0,N130*1000/BA132^2/SQRT(BA130))</f>
        <v>0</v>
      </c>
      <c r="AQ130" s="213" t="b">
        <f>IF(BA130=1,2,IF(BA130=3,SQRT(3),FALSE))</f>
        <v>0</v>
      </c>
      <c r="AR130" s="215" t="str">
        <f>IF(X130="","",IF(X130="600V IV",VLOOKUP(X132,ＩＶ,2,FALSE),IF(X130="600V CV-T",VLOOKUP(X132,ＣＶＴ,2,FALSE),IF(OR(X130="600V CV-1C",X130="600V CV-2C",X130="600V CV-3C",X130="600V CV-4C"),VLOOKUP(X132,ＣＶ２３Ｃ,2,FALSE),VLOOKUP(X132,ＣＵＳＥＲ,2,FALSE)))))</f>
        <v/>
      </c>
      <c r="AS130" s="213" t="str">
        <f>IF(AB133="",AP132,AP132+(AB133/1000))</f>
        <v/>
      </c>
      <c r="AT130" s="216" t="str">
        <f>IF(AU132="",AT132,AU132)</f>
        <v/>
      </c>
      <c r="AU130" s="216" t="str">
        <f>IF(D130="","",IF(AND(D390="",#REF!&lt;&gt;"",AV133=#REF!),#REF!,IF(AND(D390="",#REF!="",#REF!&lt;&gt;"",AV393=#REF!),#REF!,IF(AND(D390="",#REF!="",#REF!="",#REF!&lt;&gt;"",#REF!=#REF!),#REF!,IF(AND(D390="",#REF!="",#REF!="",#REF!="",D394&lt;&gt;"",#REF!=#REF!),AT394,IF(AND(D390="",#REF!="",#REF!="",#REF!="",D394="",#REF!&lt;&gt;"",#REF!=AV398),#REF!,IF(AND(D390="",#REF!="",#REF!="",#REF!="",D394="",#REF!="",D399&lt;&gt;"",#REF!=AV402),AT399,"")))))))</f>
        <v/>
      </c>
      <c r="AV130" s="216" t="str">
        <f>IF(L130="ACG",IF(ISNA(VLOOKUP(L132,ＡＣＧ,2,FALSE)),0,VLOOKUP(L132,ＡＣＧ,2,FALSE)),"")</f>
        <v/>
      </c>
      <c r="AW130" s="217" t="str">
        <f>IF(AT130="","",AT130/((AT130*AP130)^2+(AT131*AP130-1)^2))</f>
        <v/>
      </c>
      <c r="AX130" s="218" t="str">
        <f>IF(BA132=0,"",IF(OR(AX126="",AF130&lt;&gt;""),AF130*SQRT(AS132^2+AS133^2)/SQRT(AT132^2+AT133^2),AX126*SQRT(AS132^2+AS133^2)/SQRT(AT132^2+AT133^2)))</f>
        <v/>
      </c>
      <c r="AY130" s="219">
        <f>IF(N(AY132)=10^30,10^30,IF(N(AY392)=10^30,(N(AY132)*(N(AY392)^2+N(AY393)^2)+N(AY392)*(N(AY132)^2+N(AY133)^2))/((N(AY132)+N(AY392))^2+(N(AY133)+N(AY393))^2),(N(AY132)*(N(AY390)^2+N(AY391)^2)+N(AY390)*(N(AY132)^2+N(AY133)^2))/((N(AY132)+N(AY390))^2+(N(AY133)+N(AY391))^2)))</f>
        <v>1E+30</v>
      </c>
      <c r="AZ130" s="23"/>
      <c r="BA130" s="220">
        <f>IF(AND(F130="",SUM(S130:S133)&lt;&gt;0),BA126,F130)</f>
        <v>0</v>
      </c>
      <c r="BB130" s="221">
        <f t="shared" si="3"/>
        <v>0</v>
      </c>
      <c r="BC130" s="232">
        <f>IF(OR(E130="",F133="",AND(OR(P130="",Q130="",R130="",T130=""),OR(P131="",Q131="",R131="",T131=""),OR(P132="",Q132="",R132="",T132=""),OR(P133="",Q133="",R133="",T133="")),AND(OR(X130="",X132="",Y132="",Z132=""),OR(AB130="",AB132="",AC132="",AD132=""))),0,1)</f>
        <v>0</v>
      </c>
      <c r="BD130" s="232">
        <f>BC130+BD126</f>
        <v>0</v>
      </c>
    </row>
    <row r="131" spans="1:56" ht="15" customHeight="1">
      <c r="B131" s="85"/>
      <c r="C131" s="271"/>
      <c r="D131" s="409"/>
      <c r="E131" s="362"/>
      <c r="F131" s="410"/>
      <c r="G131" s="266"/>
      <c r="H131" s="266"/>
      <c r="I131" s="266"/>
      <c r="J131" s="266"/>
      <c r="K131" s="273"/>
      <c r="L131" s="411"/>
      <c r="M131" s="197" t="str">
        <f>IF(L130="ACG",SQRT(AV130^2+AV131^2),IF(L132="","",IF(OR(L130="oil cooled type",L130="(F)molded type"),IF(BA130=1,SQRT(AN130^2+AN131^2),IF(BA130=3,SQRT(AN132^2+AN133^2))),SQRT(AO130^2+AO131^2))))</f>
        <v/>
      </c>
      <c r="N131" s="412"/>
      <c r="O131" s="198"/>
      <c r="P131" s="90"/>
      <c r="Q131" s="199"/>
      <c r="R131" s="91"/>
      <c r="S131" s="92" t="str">
        <f>IF(R132="","",IF(Q132="",P132/R132,P132/(Q132*R132)))</f>
        <v/>
      </c>
      <c r="T131" s="200"/>
      <c r="U131" s="201" t="str">
        <f>IF(OR(BA132="",S131=""),"",S131*1000*T131/(SQRT(BA130)*BA132))</f>
        <v/>
      </c>
      <c r="V131" s="255"/>
      <c r="W131" s="248"/>
      <c r="X131" s="258"/>
      <c r="Y131" s="245"/>
      <c r="Z131" s="246"/>
      <c r="AA131" s="240"/>
      <c r="AB131" s="244"/>
      <c r="AC131" s="245"/>
      <c r="AD131" s="246"/>
      <c r="AE131" s="248"/>
      <c r="AF131" s="235" t="str">
        <f>IF(OR(AF130="",AG126&lt;&gt;""),"",AF130*AQ131/SQRT(AT130^2+AT131^2))</f>
        <v/>
      </c>
      <c r="AG131" s="274" t="str">
        <f>IF(AG130="","",100*AG130*AQ131/BA132)</f>
        <v/>
      </c>
      <c r="AH131" s="275"/>
      <c r="AI131" s="260" t="str">
        <f>IF(BA132=0,"",IF(AI126="",AX132/SQRT(AT130^2+AT131^2),IF(AI134="","",IF(AT130&lt;0,-AX130*AQ127/SQRT(AT130^2+AT131^2),AX130*AQ127/SQRT(AT130^2+AT131^2)))))</f>
        <v/>
      </c>
      <c r="AJ131" s="258"/>
      <c r="AK131" s="259"/>
      <c r="AL131" s="187"/>
      <c r="AM131" s="28"/>
      <c r="AN131" s="213" t="b">
        <f>IF(BA130="","",IF(AND(BA130=1,F132=50,L130="oil cooled type"),VLOOKUP(L132,変１,3,FALSE),IF(AND(BA130=1,F132=50,L130="(F)molded type"),VLOOKUP(L132,変１,8,FALSE),IF(AND(BA130=1,F132=60,L130="oil cooled type"),VLOOKUP(L132,変１,13,FALSE),IF(AND(BA130=1,F132=60,L130="(F)molded type"),VLOOKUP(L132,変１,18,FALSE),FALSE)))))</f>
        <v>0</v>
      </c>
      <c r="AO131" s="213">
        <f>IF(ISNA(VLOOKUP(L132,変ＵＳＥＲ,3,FALSE)),0,VLOOKUP(L132,変ＵＳＥＲ,3,FALSE)*BA133/50)</f>
        <v>0</v>
      </c>
      <c r="AP131" s="214">
        <f>IF(W130="",0,W130*1000/BA132^2/SQRT(BA130))</f>
        <v>0</v>
      </c>
      <c r="AQ131" s="213">
        <f>IF(AND(BA130=1,BA131=2),1,IF(AND(BA130=3,BA131=3),1,IF(AND(BA130=1,BA131=3),2,IF(AND(BA130=3,BA131=4)*OR(BB130=1,BB131=1,BB132=1,BB133=1),1,SQRT(3)))))</f>
        <v>1.7320508075688772</v>
      </c>
      <c r="AR131" s="215" t="str">
        <f>IF(X130="","",IF(X130="600V IV",VLOOKUP(X132,ＩＶ,3,FALSE),IF(X130="600V CV-T",VLOOKUP(X132,ＣＶＴ,3,FALSE),IF(OR(X130="600V CV-1C",X130="600V CV-2C",X130="600V CV-3C",X130="600V CV-4C"),VLOOKUP(X132,ＣＶ２３Ｃ,3,FALSE),VLOOKUP(X132,ＣＵＳＥＲ,3,FALSE)))))</f>
        <v/>
      </c>
      <c r="AS131" s="213" t="str">
        <f>IF(AD133="",AP133,AP133+(AD133/1000))</f>
        <v/>
      </c>
      <c r="AT131" s="216" t="str">
        <f>IF(AU133="",AT133,AU133)</f>
        <v/>
      </c>
      <c r="AU131" s="216" t="str">
        <f>IF(D130="","",IF(AND(D390="",#REF!&lt;&gt;"",AV133=#REF!),#REF!,IF(AND(D390="",#REF!="",#REF!&lt;&gt;"",AV393=#REF!),#REF!,IF(AND(D390="",#REF!="",#REF!="",#REF!&lt;&gt;"",#REF!=#REF!),#REF!,IF(AND(D390="",#REF!="",#REF!="",#REF!="",D394&lt;&gt;"",#REF!=#REF!),AT395,IF(AND(D390="",#REF!="",#REF!="",#REF!="",D394="",#REF!&lt;&gt;"",#REF!=AV398),AT396,IF(AND(D390="",#REF!="",#REF!="",#REF!="",D394="",#REF!="",D399&lt;&gt;"",#REF!=AV402),AT400,"")))))))</f>
        <v/>
      </c>
      <c r="AV131" s="215" t="str">
        <f>IF(L130="ACG",IF(ISNA(VLOOKUP(L132,ＡＣＧ,3,FALSE)),0,VLOOKUP(L132,ＡＣＧ,3,FALSE)*BA133/50),"")</f>
        <v/>
      </c>
      <c r="AW131" s="217" t="str">
        <f>IF(AT131="","",(AT131-AP130*(AT130^2+AT131^2))/((AT130*AP130)^2+(AP130*AT131-1)^2))</f>
        <v/>
      </c>
      <c r="AX131" s="218"/>
      <c r="AY131" s="219">
        <f>IF(N(AY133)=10^30,10^30,IF(N(AY393)=10^30,(N(AY133)*(N(AY392)^2+N(AY393)^2)+N(AY393)*(N(AY132)^2+N(AY133)^2))/((N(AY132)+N(AY392))^2+(N(AY133)+N(AY393))^2),(N(AY133)*(N(AY390)^2+N(AY391)^2)+N(AY391)*(N(AY132)^2+N(AY133)^2))/((N(AY132)+N(AY390))^2+(N(AY133)+N(AY391))^2)))</f>
        <v>1E+30</v>
      </c>
      <c r="AZ131" s="23"/>
      <c r="BA131" s="220">
        <f>IF(AND(H130="",SUM(S130:S133)&lt;&gt;0),BA127,H130)</f>
        <v>0</v>
      </c>
      <c r="BB131" s="221">
        <f t="shared" si="3"/>
        <v>0</v>
      </c>
      <c r="BC131" s="232"/>
      <c r="BD131" s="232"/>
    </row>
    <row r="132" spans="1:56" ht="15" customHeight="1">
      <c r="B132" s="85"/>
      <c r="C132" s="271"/>
      <c r="D132" s="409"/>
      <c r="E132" s="362"/>
      <c r="F132" s="413"/>
      <c r="G132" s="414"/>
      <c r="H132" s="414"/>
      <c r="I132" s="414"/>
      <c r="J132" s="414"/>
      <c r="K132" s="415"/>
      <c r="L132" s="416"/>
      <c r="M132" s="275"/>
      <c r="N132" s="412"/>
      <c r="O132" s="198"/>
      <c r="P132" s="93"/>
      <c r="Q132" s="202"/>
      <c r="R132" s="91"/>
      <c r="S132" s="92" t="str">
        <f>IF(R133="","",IF(Q133="",P133/R133,P133/(Q133*R133)))</f>
        <v/>
      </c>
      <c r="T132" s="200"/>
      <c r="U132" s="203" t="str">
        <f>IF(OR(BA132="",S132=""),"",S132*1000*T132/(SQRT(BA130)*BA132))</f>
        <v/>
      </c>
      <c r="V132" s="94" t="str">
        <f>IF(AND(N(U130)=0,N(U131)=0,N(U132)=0,N(U133)=0),"",V130*(P130*R130*T130+P131*R131*T131+P132*R132*T132+P133*R133*T133)/(P130*T130+P131*T131+P132*T132+P133*T133))</f>
        <v/>
      </c>
      <c r="W132" s="276" t="str">
        <f>IF(AND(N(AP132)=0,N(AP133)=0,N(AP131)=0),"",IF(AP133&gt;=0,COS(ATAN(AP133/AP132)),-COS(ATAN(AP133/AP132))))</f>
        <v/>
      </c>
      <c r="X132" s="95"/>
      <c r="Y132" s="204"/>
      <c r="Z132" s="96"/>
      <c r="AA132" s="97"/>
      <c r="AB132" s="98"/>
      <c r="AC132" s="204"/>
      <c r="AD132" s="96"/>
      <c r="AE132" s="99"/>
      <c r="AF132" s="236" t="str">
        <f>IF(OR(AF130="",AG126&lt;&gt;""),"",BA132/SQRT(AW132^2+AW133^2))</f>
        <v/>
      </c>
      <c r="AG132" s="274" t="str">
        <f>IF(AG130="","",100*((BA132/AQ131)-AG130)/(BA132/AQ131))</f>
        <v/>
      </c>
      <c r="AH132" s="275"/>
      <c r="AI132" s="261"/>
      <c r="AJ132" s="262"/>
      <c r="AK132" s="264"/>
      <c r="AL132" s="188"/>
      <c r="AM132" s="28"/>
      <c r="AN132" s="222" t="b">
        <f>IF(BA130="","",IF(AND(BA130=3,F132=50,L130="oil cooled type"),VLOOKUP(L132,変３,2,FALSE),IF(AND(BA130=3,F132=50,L130="(F)molded type"),VLOOKUP(L132,変３,7,FALSE),IF(AND(BA130=3,F132=60,L130="oil cooled type"),VLOOKUP(L132,変３,12,FALSE),IF(AND(BA130=3,F132=60,L130="(F)molded type"),VLOOKUP(L132,変３,17,FALSE),FALSE)))))</f>
        <v>0</v>
      </c>
      <c r="AO132" s="215" t="str">
        <f>IF(AND(L126="",N(AY130)&lt;10^29),AY130,"")</f>
        <v/>
      </c>
      <c r="AP132" s="223" t="str">
        <f>IF(V130="","",IF(AND(N(V132)=0,N(AP131)=0),"",AQ132/((AQ132*AP131)^2+(AP131*AQ133-1)^2)))</f>
        <v/>
      </c>
      <c r="AQ132" s="213">
        <f>IF(N(V132)=0,10^30,V132)</f>
        <v>1E+30</v>
      </c>
      <c r="AR132" s="215" t="str">
        <f>IF(AB130="","",IF(AB130="600V IV",VLOOKUP(AB132,ＩＶ,2,FALSE),IF(AB130="600V CV-T",VLOOKUP(AB132,ＣＶＴ,2,FALSE),IF(OR(AB130="600V CV-1C",AB130="600V CV-2C",AB130="600V CV-3C",AB130="600V CV-4C"),VLOOKUP(AB132,ＣＶ２３Ｃ,2,FALSE),VLOOKUP(AB132,ＣＵＳＥＲ,2,FALSE)))))</f>
        <v/>
      </c>
      <c r="AS132" s="213" t="str">
        <f>IF(OR(AND(AS390="",AS391=""),AND(D130="",D390&lt;&gt;"")),AS130,(AS130*(AT390^2+AT391^2)+AT390*(AS130^2+AS131^2))/((AS130+AT390)^2+(AS131+AT391)^2))</f>
        <v/>
      </c>
      <c r="AT132" s="216" t="str">
        <f>IF(X133="",AS132,N(AS132)+(X133/1000))</f>
        <v/>
      </c>
      <c r="AU132" s="216" t="str">
        <f>IF(AU130="","",(AT132*(AU130^2+AU131^2)+AU130*(AT132^2+AT133^2))/((AT132+AU130)^2+(AT133+AU131)^2))</f>
        <v/>
      </c>
      <c r="AV132" s="216">
        <f>IF(BA132=0,1,0)</f>
        <v>1</v>
      </c>
      <c r="AW132" s="217" t="str">
        <f>IF(AO132="","",AW130+AO132)</f>
        <v/>
      </c>
      <c r="AX132" s="218" t="str">
        <f>IF(AND(AX128="",AW132&lt;&gt;""),BA132*SQRT(AW130^2+AW131^2)/SQRT(AW132^2+AW133^2),IF(BA132&lt;&gt;0,AX128,""))</f>
        <v/>
      </c>
      <c r="AY132" s="224">
        <f>IF(L132="",10^30,SQRT(BA130)*(BA132^2)*(N(AN130)+N(AN132)+N(AO130)+N(AV130))/(100000*L132*M130))</f>
        <v>1E+30</v>
      </c>
      <c r="AZ132" s="225"/>
      <c r="BA132" s="220">
        <f>IF(AND(J130="",SUM(S130:S133)&lt;&gt;0),BA128,J130)</f>
        <v>0</v>
      </c>
      <c r="BB132" s="221">
        <f t="shared" si="3"/>
        <v>0</v>
      </c>
      <c r="BC132" s="232"/>
      <c r="BD132" s="232"/>
    </row>
    <row r="133" spans="1:56" ht="15" customHeight="1">
      <c r="A133" s="85"/>
      <c r="B133" s="85"/>
      <c r="C133" s="271"/>
      <c r="D133" s="417"/>
      <c r="E133" s="418"/>
      <c r="F133" s="419"/>
      <c r="G133" s="270"/>
      <c r="H133" s="270"/>
      <c r="I133" s="270"/>
      <c r="J133" s="270"/>
      <c r="K133" s="268"/>
      <c r="L133" s="251" t="str">
        <f>IF(M130="","",L132*1000*M130/(SQRT(BA130)*BA132))</f>
        <v/>
      </c>
      <c r="M133" s="252"/>
      <c r="N133" s="277"/>
      <c r="O133" s="205"/>
      <c r="P133" s="106"/>
      <c r="Q133" s="206"/>
      <c r="R133" s="107"/>
      <c r="S133" s="108" t="str">
        <f>IF(R133="","",IF(Q133="",P133/R133,P133/(Q133*R133)))</f>
        <v/>
      </c>
      <c r="T133" s="207"/>
      <c r="U133" s="208" t="str">
        <f>IF(OR(BA132="",S133=""),"",S133*1000*T133/(SQRT(BA130)*BA132))</f>
        <v/>
      </c>
      <c r="V133" s="109" t="str">
        <f>IF(AND(N(U130)=0,N(U131)=0,N(U132)=0,N(U133)=0),"",IF(V130&gt;=0,SQRT(ABS(V130^2-V132^2)),-SQRT(V130^2-V132^2)))</f>
        <v/>
      </c>
      <c r="W133" s="277"/>
      <c r="X133" s="278" t="str">
        <f>IF(Y132="","",AQ130*Z132*AR130*((1+0.00393*(F133-20))/1.2751)/Y132)</f>
        <v/>
      </c>
      <c r="Y133" s="270"/>
      <c r="Z133" s="267" t="str">
        <f>IF(Y132="","",(BA133/50)*AQ130*Z132*AR131/Y132)</f>
        <v/>
      </c>
      <c r="AA133" s="252"/>
      <c r="AB133" s="279" t="str">
        <f>IF(AC132="","",AQ130*AD132*AR132*((1+0.00393*(F133-20))/1.2751)/AC132)</f>
        <v/>
      </c>
      <c r="AC133" s="270"/>
      <c r="AD133" s="267" t="str">
        <f>IF(AC132="","",(BA133/50)*AQ130*AD132*AR133/AC132)</f>
        <v/>
      </c>
      <c r="AE133" s="268"/>
      <c r="AF133" s="237" t="str">
        <f>IF(AND(AX130&lt;&gt;"",D130=""),AX130,"")</f>
        <v/>
      </c>
      <c r="AG133" s="269" t="str">
        <f>IF(AP132="","",AP132)</f>
        <v/>
      </c>
      <c r="AH133" s="270"/>
      <c r="AI133" s="238" t="str">
        <f>IF(AP133="","",AP133)</f>
        <v/>
      </c>
      <c r="AJ133" s="263"/>
      <c r="AK133" s="253"/>
      <c r="AL133" s="189"/>
      <c r="AM133" s="28"/>
      <c r="AN133" s="226" t="b">
        <f>IF(BA130="","",IF(AND(BA130=3,F132=50,L130="oil cooled type"),VLOOKUP(L132,変３,3,FALSE),IF(AND(BA130=3,F132=50,L130="(F)molded type"),VLOOKUP(L132,変３,8,FALSE),IF(AND(BA130=3,F132=60,L130="oil cooled type"),VLOOKUP(L132,変３,13,FALSE),IF(AND(BA130=3,F132=60,L130="(F)molded type"),VLOOKUP(L132,変３,18,FALSE),FALSE)))))</f>
        <v>0</v>
      </c>
      <c r="AO133" s="226" t="str">
        <f>IF(AND(L126="",N(AY131)&lt;10^29),AY131,"")</f>
        <v/>
      </c>
      <c r="AP133" s="227" t="str">
        <f>IF(V130="","",IF(AND(N(V133)=0,N(AP131)=0),0,(AQ133-AP131*(AQ132^2+AQ133^2))/((AQ132*AP131)^2+(AP131*AQ133-1)^2)))</f>
        <v/>
      </c>
      <c r="AQ133" s="228">
        <f>IF(N(V133)=0,10^30,V133)</f>
        <v>1E+30</v>
      </c>
      <c r="AR133" s="226" t="str">
        <f>IF(AB130="","",IF(AB130="600V IV",VLOOKUP(AB132,ＩＶ,3,FALSE),IF(AB130="600V CV-T",VLOOKUP(AB132,ＣＶＴ,3,FALSE),IF(OR(AB130="600V CV-1C",AB130="600V CV-2C",AB130="600V CV-3C",AB130="600V CV-4C"),VLOOKUP(AB132,ＣＶ２３Ｃ,3,FALSE),VLOOKUP(AB132,ＣＵＳＥＲ,3,FALSE)))))</f>
        <v/>
      </c>
      <c r="AS133" s="228" t="str">
        <f>IF(OR(AND(AS390="",AS391=""),AND(D130="",D390&lt;&gt;"")),AS131,(AS131*(AT390^2+AT391^2)+AT391*(AS130^2+AS131^2))/((AS130+AT390)^2+(AS131+AT391)^2))</f>
        <v/>
      </c>
      <c r="AT133" s="229" t="str">
        <f>IF(Z133="",AS133,N(AS133)+(Z133/1000))</f>
        <v/>
      </c>
      <c r="AU133" s="229" t="str">
        <f>IF(AU131="","",(AT133*(AU130^2+AU131^2)+AU131*(AT132^2+AT133^2))/((AT132+AU130)^2+(AT133+AU131)^2))</f>
        <v/>
      </c>
      <c r="AV133" s="229">
        <f>AV129+AV132</f>
        <v>29</v>
      </c>
      <c r="AW133" s="228" t="str">
        <f>IF(AO133="","",AW131+AO133)</f>
        <v/>
      </c>
      <c r="AX133" s="230"/>
      <c r="AY133" s="224">
        <f>IF(L132="",10^30,SQRT(BA130)*(BA132^2)*(N(AN131)+N(AN133)+N(AO131)+N(AV131))/(100000*L132*M130))</f>
        <v>1E+30</v>
      </c>
      <c r="AZ133" s="225"/>
      <c r="BA133" s="220">
        <f>IF(AND(F132="",SUM(S130:S133)&lt;&gt;0),BA129,F132)</f>
        <v>0</v>
      </c>
      <c r="BB133" s="221">
        <f t="shared" si="3"/>
        <v>0</v>
      </c>
      <c r="BC133" s="232"/>
      <c r="BD133" s="232"/>
    </row>
    <row r="134" spans="1:56" ht="15" customHeight="1">
      <c r="B134" s="85"/>
      <c r="C134" s="271" t="str">
        <f>IF(BC134=1,"●","・")</f>
        <v>・</v>
      </c>
      <c r="D134" s="402"/>
      <c r="E134" s="403"/>
      <c r="F134" s="404"/>
      <c r="G134" s="265" t="str">
        <f>IF(F134="","","φ")</f>
        <v/>
      </c>
      <c r="H134" s="405"/>
      <c r="I134" s="265" t="str">
        <f>IF(H134="","","W")</f>
        <v/>
      </c>
      <c r="J134" s="405"/>
      <c r="K134" s="272" t="str">
        <f>IF(J134="","","V")</f>
        <v/>
      </c>
      <c r="L134" s="406"/>
      <c r="M134" s="407"/>
      <c r="N134" s="408"/>
      <c r="O134" s="193"/>
      <c r="P134" s="86"/>
      <c r="Q134" s="194"/>
      <c r="R134" s="87"/>
      <c r="S134" s="88" t="str">
        <f>IF(R134="","",IF(Q134="",P134/R134,P134/(Q134*R134)))</f>
        <v/>
      </c>
      <c r="T134" s="195"/>
      <c r="U134" s="196" t="str">
        <f>IF(OR(BA136="",S134=""),"",S134*1000*T134/(SQRT(BA134)*BA136))</f>
        <v/>
      </c>
      <c r="V134" s="254" t="str">
        <f>IF(AND(N(U134)=0,N(U135)=0,N(U136)=0,N(U137)=0),"",BA136/(SUM(U134:U137)))</f>
        <v/>
      </c>
      <c r="W134" s="280"/>
      <c r="X134" s="281"/>
      <c r="Y134" s="242"/>
      <c r="Z134" s="243"/>
      <c r="AA134" s="239"/>
      <c r="AB134" s="241"/>
      <c r="AC134" s="242"/>
      <c r="AD134" s="243"/>
      <c r="AE134" s="247"/>
      <c r="AF134" s="233" t="str">
        <f>IF(OR(AND(AF130="",N(BA132)=0,BA136&lt;&gt;0),D134&lt;&gt;""),AX136/AQ135,"")</f>
        <v/>
      </c>
      <c r="AG134" s="249" t="str">
        <f>IF(BA136=0,"",IF(AD136="",AX134,IF(AND(D134&lt;&gt;"",AU134=""),AX136*SQRT(AP136^2+AP137^2)/SQRT(AS134^2+AS135^2)/AQ135,AX134*SQRT(AP136^2+AP137^2)/SQRT(AS134^2+AS135^2))))</f>
        <v/>
      </c>
      <c r="AH134" s="250"/>
      <c r="AI134" s="234" t="str">
        <f>IF(AG134="","",IF(N(U134)&lt;0,-AX134*AQ135/SQRT(AS134^2+AS135^2),AX134*AQ135/SQRT(AS134^2+AS135^2)))</f>
        <v/>
      </c>
      <c r="AJ134" s="256"/>
      <c r="AK134" s="257"/>
      <c r="AL134" s="186"/>
      <c r="AM134" s="28"/>
      <c r="AN134" s="213" t="b">
        <f>IF(BA134="","",IF(AND(BA134=1,F136=50,L134="oil cooled type"),VLOOKUP(L136,変１,2,FALSE),IF(AND(BA134=1,F136=50,L134="(F)molded type"),VLOOKUP(L136,変１,7,FALSE),IF(AND(BA134=1,F136=60,L134="oil cooled type"),VLOOKUP(L136,変１,12,FALSE),IF(AND(BA134=1,F136=60,L134="(F)molded type"),VLOOKUP(L136,変１,17,FALSE),FALSE)))))</f>
        <v>0</v>
      </c>
      <c r="AO134" s="213">
        <f>IF(ISNA(VLOOKUP(L136,変ＵＳＥＲ,2,FALSE)),0,VLOOKUP(L136,変ＵＳＥＲ,2,FALSE))</f>
        <v>0</v>
      </c>
      <c r="AP134" s="214">
        <f>IF(N134="",0,N134*1000/BA136^2/SQRT(BA134))</f>
        <v>0</v>
      </c>
      <c r="AQ134" s="213" t="b">
        <f>IF(BA134=1,2,IF(BA134=3,SQRT(3),FALSE))</f>
        <v>0</v>
      </c>
      <c r="AR134" s="215" t="str">
        <f>IF(X134="","",IF(X134="600V IV",VLOOKUP(X136,ＩＶ,2,FALSE),IF(X134="600V CV-T",VLOOKUP(X136,ＣＶＴ,2,FALSE),IF(OR(X134="600V CV-1C",X134="600V CV-2C",X134="600V CV-3C",X134="600V CV-4C"),VLOOKUP(X136,ＣＶ２３Ｃ,2,FALSE),VLOOKUP(X136,ＣＵＳＥＲ,2,FALSE)))))</f>
        <v/>
      </c>
      <c r="AS134" s="213" t="str">
        <f>IF(AB137="",AP136,AP136+(AB137/1000))</f>
        <v/>
      </c>
      <c r="AT134" s="216" t="str">
        <f>IF(AU136="",AT136,AU136)</f>
        <v/>
      </c>
      <c r="AU134" s="216" t="str">
        <f>IF(D134="","",IF(AND(D394="",#REF!&lt;&gt;"",AV137=#REF!),#REF!,IF(AND(D394="",#REF!="",#REF!&lt;&gt;"",AV397=#REF!),#REF!,IF(AND(D394="",#REF!="",#REF!="",#REF!&lt;&gt;"",#REF!=#REF!),#REF!,IF(AND(D394="",#REF!="",#REF!="",#REF!="",D398&lt;&gt;"",#REF!=#REF!),AT398,IF(AND(D394="",#REF!="",#REF!="",#REF!="",D398="",#REF!&lt;&gt;"",#REF!=AV402),#REF!,IF(AND(D394="",#REF!="",#REF!="",#REF!="",D398="",#REF!="",D403&lt;&gt;"",#REF!=AV406),AT403,"")))))))</f>
        <v/>
      </c>
      <c r="AV134" s="216" t="str">
        <f>IF(L134="ACG",IF(ISNA(VLOOKUP(L136,ＡＣＧ,2,FALSE)),0,VLOOKUP(L136,ＡＣＧ,2,FALSE)),"")</f>
        <v/>
      </c>
      <c r="AW134" s="217" t="str">
        <f>IF(AT134="","",AT134/((AT134*AP134)^2+(AT135*AP134-1)^2))</f>
        <v/>
      </c>
      <c r="AX134" s="218" t="str">
        <f>IF(BA136=0,"",IF(OR(AX130="",AF134&lt;&gt;""),AF134*SQRT(AS136^2+AS137^2)/SQRT(AT136^2+AT137^2),AX130*SQRT(AS136^2+AS137^2)/SQRT(AT136^2+AT137^2)))</f>
        <v/>
      </c>
      <c r="AY134" s="219">
        <f>IF(N(AY136)=10^30,10^30,IF(N(AY396)=10^30,(N(AY136)*(N(AY396)^2+N(AY397)^2)+N(AY396)*(N(AY136)^2+N(AY137)^2))/((N(AY136)+N(AY396))^2+(N(AY137)+N(AY397))^2),(N(AY136)*(N(AY394)^2+N(AY395)^2)+N(AY394)*(N(AY136)^2+N(AY137)^2))/((N(AY136)+N(AY394))^2+(N(AY137)+N(AY395))^2)))</f>
        <v>1E+30</v>
      </c>
      <c r="AZ134" s="23"/>
      <c r="BA134" s="220">
        <f>IF(AND(F134="",SUM(S134:S137)&lt;&gt;0),BA130,F134)</f>
        <v>0</v>
      </c>
      <c r="BB134" s="221">
        <f t="shared" si="3"/>
        <v>0</v>
      </c>
      <c r="BC134" s="232">
        <f>IF(OR(E134="",F137="",AND(OR(P134="",Q134="",R134="",T134=""),OR(P135="",Q135="",R135="",T135=""),OR(P136="",Q136="",R136="",T136=""),OR(P137="",Q137="",R137="",T137="")),AND(OR(X134="",X136="",Y136="",Z136=""),OR(AB134="",AB136="",AC136="",AD136=""))),0,1)</f>
        <v>0</v>
      </c>
      <c r="BD134" s="232">
        <f>BC134+BD130</f>
        <v>0</v>
      </c>
    </row>
    <row r="135" spans="1:56" ht="15" customHeight="1">
      <c r="B135" s="85"/>
      <c r="C135" s="271"/>
      <c r="D135" s="409"/>
      <c r="E135" s="362"/>
      <c r="F135" s="410"/>
      <c r="G135" s="266"/>
      <c r="H135" s="266"/>
      <c r="I135" s="266"/>
      <c r="J135" s="266"/>
      <c r="K135" s="273"/>
      <c r="L135" s="411"/>
      <c r="M135" s="197" t="str">
        <f>IF(L134="ACG",SQRT(AV134^2+AV135^2),IF(L136="","",IF(OR(L134="oil cooled type",L134="(F)molded type"),IF(BA134=1,SQRT(AN134^2+AN135^2),IF(BA134=3,SQRT(AN136^2+AN137^2))),SQRT(AO134^2+AO135^2))))</f>
        <v/>
      </c>
      <c r="N135" s="412"/>
      <c r="O135" s="198"/>
      <c r="P135" s="90"/>
      <c r="Q135" s="199"/>
      <c r="R135" s="91"/>
      <c r="S135" s="92" t="str">
        <f>IF(R136="","",IF(Q136="",P136/R136,P136/(Q136*R136)))</f>
        <v/>
      </c>
      <c r="T135" s="200"/>
      <c r="U135" s="201" t="str">
        <f>IF(OR(BA136="",S135=""),"",S135*1000*T135/(SQRT(BA134)*BA136))</f>
        <v/>
      </c>
      <c r="V135" s="255"/>
      <c r="W135" s="248"/>
      <c r="X135" s="258"/>
      <c r="Y135" s="245"/>
      <c r="Z135" s="246"/>
      <c r="AA135" s="240"/>
      <c r="AB135" s="244"/>
      <c r="AC135" s="245"/>
      <c r="AD135" s="246"/>
      <c r="AE135" s="248"/>
      <c r="AF135" s="235" t="str">
        <f>IF(OR(AF134="",AG130&lt;&gt;""),"",AF134*AQ135/SQRT(AT134^2+AT135^2))</f>
        <v/>
      </c>
      <c r="AG135" s="274" t="str">
        <f>IF(AG134="","",100*AG134*AQ135/BA136)</f>
        <v/>
      </c>
      <c r="AH135" s="275"/>
      <c r="AI135" s="260" t="str">
        <f>IF(BA136=0,"",IF(AI130="",AX136/SQRT(AT134^2+AT135^2),IF(AI138="","",IF(AT134&lt;0,-AX134*AQ131/SQRT(AT134^2+AT135^2),AX134*AQ131/SQRT(AT134^2+AT135^2)))))</f>
        <v/>
      </c>
      <c r="AJ135" s="258"/>
      <c r="AK135" s="259"/>
      <c r="AL135" s="187"/>
      <c r="AM135" s="28"/>
      <c r="AN135" s="213" t="b">
        <f>IF(BA134="","",IF(AND(BA134=1,F136=50,L134="oil cooled type"),VLOOKUP(L136,変１,3,FALSE),IF(AND(BA134=1,F136=50,L134="(F)molded type"),VLOOKUP(L136,変１,8,FALSE),IF(AND(BA134=1,F136=60,L134="oil cooled type"),VLOOKUP(L136,変１,13,FALSE),IF(AND(BA134=1,F136=60,L134="(F)molded type"),VLOOKUP(L136,変１,18,FALSE),FALSE)))))</f>
        <v>0</v>
      </c>
      <c r="AO135" s="213">
        <f>IF(ISNA(VLOOKUP(L136,変ＵＳＥＲ,3,FALSE)),0,VLOOKUP(L136,変ＵＳＥＲ,3,FALSE)*BA137/50)</f>
        <v>0</v>
      </c>
      <c r="AP135" s="214">
        <f>IF(W134="",0,W134*1000/BA136^2/SQRT(BA134))</f>
        <v>0</v>
      </c>
      <c r="AQ135" s="213">
        <f>IF(AND(BA134=1,BA135=2),1,IF(AND(BA134=3,BA135=3),1,IF(AND(BA134=1,BA135=3),2,IF(AND(BA134=3,BA135=4)*OR(BB134=1,BB135=1,BB136=1,BB137=1),1,SQRT(3)))))</f>
        <v>1.7320508075688772</v>
      </c>
      <c r="AR135" s="215" t="str">
        <f>IF(X134="","",IF(X134="600V IV",VLOOKUP(X136,ＩＶ,3,FALSE),IF(X134="600V CV-T",VLOOKUP(X136,ＣＶＴ,3,FALSE),IF(OR(X134="600V CV-1C",X134="600V CV-2C",X134="600V CV-3C",X134="600V CV-4C"),VLOOKUP(X136,ＣＶ２３Ｃ,3,FALSE),VLOOKUP(X136,ＣＵＳＥＲ,3,FALSE)))))</f>
        <v/>
      </c>
      <c r="AS135" s="213" t="str">
        <f>IF(AD137="",AP137,AP137+(AD137/1000))</f>
        <v/>
      </c>
      <c r="AT135" s="216" t="str">
        <f>IF(AU137="",AT137,AU137)</f>
        <v/>
      </c>
      <c r="AU135" s="216" t="str">
        <f>IF(D134="","",IF(AND(D394="",#REF!&lt;&gt;"",AV137=#REF!),#REF!,IF(AND(D394="",#REF!="",#REF!&lt;&gt;"",AV397=#REF!),#REF!,IF(AND(D394="",#REF!="",#REF!="",#REF!&lt;&gt;"",#REF!=#REF!),#REF!,IF(AND(D394="",#REF!="",#REF!="",#REF!="",D398&lt;&gt;"",#REF!=#REF!),AT399,IF(AND(D394="",#REF!="",#REF!="",#REF!="",D398="",#REF!&lt;&gt;"",#REF!=AV402),AT400,IF(AND(D394="",#REF!="",#REF!="",#REF!="",D398="",#REF!="",D403&lt;&gt;"",#REF!=AV406),AT404,"")))))))</f>
        <v/>
      </c>
      <c r="AV135" s="215" t="str">
        <f>IF(L134="ACG",IF(ISNA(VLOOKUP(L136,ＡＣＧ,3,FALSE)),0,VLOOKUP(L136,ＡＣＧ,3,FALSE)*BA137/50),"")</f>
        <v/>
      </c>
      <c r="AW135" s="217" t="str">
        <f>IF(AT135="","",(AT135-AP134*(AT134^2+AT135^2))/((AT134*AP134)^2+(AP134*AT135-1)^2))</f>
        <v/>
      </c>
      <c r="AX135" s="218"/>
      <c r="AY135" s="219">
        <f>IF(N(AY137)=10^30,10^30,IF(N(AY397)=10^30,(N(AY137)*(N(AY396)^2+N(AY397)^2)+N(AY397)*(N(AY136)^2+N(AY137)^2))/((N(AY136)+N(AY396))^2+(N(AY137)+N(AY397))^2),(N(AY137)*(N(AY394)^2+N(AY395)^2)+N(AY395)*(N(AY136)^2+N(AY137)^2))/((N(AY136)+N(AY394))^2+(N(AY137)+N(AY395))^2)))</f>
        <v>1E+30</v>
      </c>
      <c r="AZ135" s="23"/>
      <c r="BA135" s="220">
        <f>IF(AND(H134="",SUM(S134:S137)&lt;&gt;0),BA131,H134)</f>
        <v>0</v>
      </c>
      <c r="BB135" s="221">
        <f t="shared" si="3"/>
        <v>0</v>
      </c>
      <c r="BC135" s="232"/>
      <c r="BD135" s="232"/>
    </row>
    <row r="136" spans="1:56" ht="15" customHeight="1">
      <c r="B136" s="85"/>
      <c r="C136" s="271"/>
      <c r="D136" s="409"/>
      <c r="E136" s="362"/>
      <c r="F136" s="413"/>
      <c r="G136" s="414"/>
      <c r="H136" s="414"/>
      <c r="I136" s="414"/>
      <c r="J136" s="414"/>
      <c r="K136" s="415"/>
      <c r="L136" s="416"/>
      <c r="M136" s="275"/>
      <c r="N136" s="412"/>
      <c r="O136" s="198"/>
      <c r="P136" s="93"/>
      <c r="Q136" s="202"/>
      <c r="R136" s="91"/>
      <c r="S136" s="92" t="str">
        <f>IF(R137="","",IF(Q137="",P137/R137,P137/(Q137*R137)))</f>
        <v/>
      </c>
      <c r="T136" s="200"/>
      <c r="U136" s="203" t="str">
        <f>IF(OR(BA136="",S136=""),"",S136*1000*T136/(SQRT(BA134)*BA136))</f>
        <v/>
      </c>
      <c r="V136" s="94" t="str">
        <f>IF(AND(N(U134)=0,N(U135)=0,N(U136)=0,N(U137)=0),"",V134*(P134*R134*T134+P135*R135*T135+P136*R136*T136+P137*R137*T137)/(P134*T134+P135*T135+P136*T136+P137*T137))</f>
        <v/>
      </c>
      <c r="W136" s="276" t="str">
        <f>IF(AND(N(AP136)=0,N(AP137)=0,N(AP135)=0),"",IF(AP137&gt;=0,COS(ATAN(AP137/AP136)),-COS(ATAN(AP137/AP136))))</f>
        <v/>
      </c>
      <c r="X136" s="95"/>
      <c r="Y136" s="204"/>
      <c r="Z136" s="96"/>
      <c r="AA136" s="97"/>
      <c r="AB136" s="98"/>
      <c r="AC136" s="204"/>
      <c r="AD136" s="96"/>
      <c r="AE136" s="99"/>
      <c r="AF136" s="236" t="str">
        <f>IF(OR(AF134="",AG130&lt;&gt;""),"",BA136/SQRT(AW136^2+AW137^2))</f>
        <v/>
      </c>
      <c r="AG136" s="274" t="str">
        <f>IF(AG134="","",100*((BA136/AQ135)-AG134)/(BA136/AQ135))</f>
        <v/>
      </c>
      <c r="AH136" s="275"/>
      <c r="AI136" s="261"/>
      <c r="AJ136" s="262"/>
      <c r="AK136" s="264"/>
      <c r="AL136" s="188"/>
      <c r="AM136" s="28"/>
      <c r="AN136" s="222" t="b">
        <f>IF(BA134="","",IF(AND(BA134=3,F136=50,L134="oil cooled type"),VLOOKUP(L136,変３,2,FALSE),IF(AND(BA134=3,F136=50,L134="(F)molded type"),VLOOKUP(L136,変３,7,FALSE),IF(AND(BA134=3,F136=60,L134="oil cooled type"),VLOOKUP(L136,変３,12,FALSE),IF(AND(BA134=3,F136=60,L134="(F)molded type"),VLOOKUP(L136,変３,17,FALSE),FALSE)))))</f>
        <v>0</v>
      </c>
      <c r="AO136" s="215" t="str">
        <f>IF(AND(L130="",N(AY134)&lt;10^29),AY134,"")</f>
        <v/>
      </c>
      <c r="AP136" s="223" t="str">
        <f>IF(V134="","",IF(AND(N(V136)=0,N(AP135)=0),"",AQ136/((AQ136*AP135)^2+(AP135*AQ137-1)^2)))</f>
        <v/>
      </c>
      <c r="AQ136" s="213">
        <f>IF(N(V136)=0,10^30,V136)</f>
        <v>1E+30</v>
      </c>
      <c r="AR136" s="215" t="str">
        <f>IF(AB134="","",IF(AB134="600V IV",VLOOKUP(AB136,ＩＶ,2,FALSE),IF(AB134="600V CV-T",VLOOKUP(AB136,ＣＶＴ,2,FALSE),IF(OR(AB134="600V CV-1C",AB134="600V CV-2C",AB134="600V CV-3C",AB134="600V CV-4C"),VLOOKUP(AB136,ＣＶ２３Ｃ,2,FALSE),VLOOKUP(AB136,ＣＵＳＥＲ,2,FALSE)))))</f>
        <v/>
      </c>
      <c r="AS136" s="213" t="str">
        <f>IF(OR(AND(AS394="",AS395=""),AND(D134="",D394&lt;&gt;"")),AS134,(AS134*(AT394^2+AT395^2)+AT394*(AS134^2+AS135^2))/((AS134+AT394)^2+(AS135+AT395)^2))</f>
        <v/>
      </c>
      <c r="AT136" s="216" t="str">
        <f>IF(X137="",AS136,N(AS136)+(X137/1000))</f>
        <v/>
      </c>
      <c r="AU136" s="216" t="str">
        <f>IF(AU134="","",(AT136*(AU134^2+AU135^2)+AU134*(AT136^2+AT137^2))/((AT136+AU134)^2+(AT137+AU135)^2))</f>
        <v/>
      </c>
      <c r="AV136" s="216">
        <f>IF(BA136=0,1,0)</f>
        <v>1</v>
      </c>
      <c r="AW136" s="217" t="str">
        <f>IF(AO136="","",AW134+AO136)</f>
        <v/>
      </c>
      <c r="AX136" s="218" t="str">
        <f>IF(AND(AX132="",AW136&lt;&gt;""),BA136*SQRT(AW134^2+AW135^2)/SQRT(AW136^2+AW137^2),IF(BA136&lt;&gt;0,AX132,""))</f>
        <v/>
      </c>
      <c r="AY136" s="224">
        <f>IF(L136="",10^30,SQRT(BA134)*(BA136^2)*(N(AN134)+N(AN136)+N(AO134)+N(AV134))/(100000*L136*M134))</f>
        <v>1E+30</v>
      </c>
      <c r="AZ136" s="225"/>
      <c r="BA136" s="220">
        <f>IF(AND(J134="",SUM(S134:S137)&lt;&gt;0),BA132,J134)</f>
        <v>0</v>
      </c>
      <c r="BB136" s="221">
        <f t="shared" si="3"/>
        <v>0</v>
      </c>
      <c r="BC136" s="232"/>
      <c r="BD136" s="232"/>
    </row>
    <row r="137" spans="1:56" ht="15" customHeight="1">
      <c r="A137" s="85"/>
      <c r="B137" s="85"/>
      <c r="C137" s="271"/>
      <c r="D137" s="417"/>
      <c r="E137" s="418"/>
      <c r="F137" s="419"/>
      <c r="G137" s="270"/>
      <c r="H137" s="270"/>
      <c r="I137" s="270"/>
      <c r="J137" s="270"/>
      <c r="K137" s="268"/>
      <c r="L137" s="251" t="str">
        <f>IF(M134="","",L136*1000*M134/(SQRT(BA134)*BA136))</f>
        <v/>
      </c>
      <c r="M137" s="252"/>
      <c r="N137" s="277"/>
      <c r="O137" s="205"/>
      <c r="P137" s="106"/>
      <c r="Q137" s="206"/>
      <c r="R137" s="107"/>
      <c r="S137" s="108" t="str">
        <f>IF(R137="","",IF(Q137="",P137/R137,P137/(Q137*R137)))</f>
        <v/>
      </c>
      <c r="T137" s="207"/>
      <c r="U137" s="208" t="str">
        <f>IF(OR(BA136="",S137=""),"",S137*1000*T137/(SQRT(BA134)*BA136))</f>
        <v/>
      </c>
      <c r="V137" s="109" t="str">
        <f>IF(AND(N(U134)=0,N(U135)=0,N(U136)=0,N(U137)=0),"",IF(V134&gt;=0,SQRT(ABS(V134^2-V136^2)),-SQRT(V134^2-V136^2)))</f>
        <v/>
      </c>
      <c r="W137" s="277"/>
      <c r="X137" s="278" t="str">
        <f>IF(Y136="","",AQ134*Z136*AR134*((1+0.00393*(F137-20))/1.2751)/Y136)</f>
        <v/>
      </c>
      <c r="Y137" s="270"/>
      <c r="Z137" s="267" t="str">
        <f>IF(Y136="","",(BA137/50)*AQ134*Z136*AR135/Y136)</f>
        <v/>
      </c>
      <c r="AA137" s="252"/>
      <c r="AB137" s="279" t="str">
        <f>IF(AC136="","",AQ134*AD136*AR136*((1+0.00393*(F137-20))/1.2751)/AC136)</f>
        <v/>
      </c>
      <c r="AC137" s="270"/>
      <c r="AD137" s="267" t="str">
        <f>IF(AC136="","",(BA137/50)*AQ134*AD136*AR137/AC136)</f>
        <v/>
      </c>
      <c r="AE137" s="268"/>
      <c r="AF137" s="237" t="str">
        <f>IF(AND(AX134&lt;&gt;"",D134=""),AX134,"")</f>
        <v/>
      </c>
      <c r="AG137" s="269" t="str">
        <f>IF(AP136="","",AP136)</f>
        <v/>
      </c>
      <c r="AH137" s="270"/>
      <c r="AI137" s="238" t="str">
        <f>IF(AP137="","",AP137)</f>
        <v/>
      </c>
      <c r="AJ137" s="263"/>
      <c r="AK137" s="253"/>
      <c r="AL137" s="189"/>
      <c r="AM137" s="28"/>
      <c r="AN137" s="226" t="b">
        <f>IF(BA134="","",IF(AND(BA134=3,F136=50,L134="oil cooled type"),VLOOKUP(L136,変３,3,FALSE),IF(AND(BA134=3,F136=50,L134="(F)molded type"),VLOOKUP(L136,変３,8,FALSE),IF(AND(BA134=3,F136=60,L134="oil cooled type"),VLOOKUP(L136,変３,13,FALSE),IF(AND(BA134=3,F136=60,L134="(F)molded type"),VLOOKUP(L136,変３,18,FALSE),FALSE)))))</f>
        <v>0</v>
      </c>
      <c r="AO137" s="226" t="str">
        <f>IF(AND(L130="",N(AY135)&lt;10^29),AY135,"")</f>
        <v/>
      </c>
      <c r="AP137" s="227" t="str">
        <f>IF(V134="","",IF(AND(N(V137)=0,N(AP135)=0),0,(AQ137-AP135*(AQ136^2+AQ137^2))/((AQ136*AP135)^2+(AP135*AQ137-1)^2)))</f>
        <v/>
      </c>
      <c r="AQ137" s="228">
        <f>IF(N(V137)=0,10^30,V137)</f>
        <v>1E+30</v>
      </c>
      <c r="AR137" s="226" t="str">
        <f>IF(AB134="","",IF(AB134="600V IV",VLOOKUP(AB136,ＩＶ,3,FALSE),IF(AB134="600V CV-T",VLOOKUP(AB136,ＣＶＴ,3,FALSE),IF(OR(AB134="600V CV-1C",AB134="600V CV-2C",AB134="600V CV-3C",AB134="600V CV-4C"),VLOOKUP(AB136,ＣＶ２３Ｃ,3,FALSE),VLOOKUP(AB136,ＣＵＳＥＲ,3,FALSE)))))</f>
        <v/>
      </c>
      <c r="AS137" s="228" t="str">
        <f>IF(OR(AND(AS394="",AS395=""),AND(D134="",D394&lt;&gt;"")),AS135,(AS135*(AT394^2+AT395^2)+AT395*(AS134^2+AS135^2))/((AS134+AT394)^2+(AS135+AT395)^2))</f>
        <v/>
      </c>
      <c r="AT137" s="229" t="str">
        <f>IF(Z137="",AS137,N(AS137)+(Z137/1000))</f>
        <v/>
      </c>
      <c r="AU137" s="229" t="str">
        <f>IF(AU135="","",(AT137*(AU134^2+AU135^2)+AU135*(AT136^2+AT137^2))/((AT136+AU134)^2+(AT137+AU135)^2))</f>
        <v/>
      </c>
      <c r="AV137" s="229">
        <f>AV133+AV136</f>
        <v>30</v>
      </c>
      <c r="AW137" s="228" t="str">
        <f>IF(AO137="","",AW135+AO137)</f>
        <v/>
      </c>
      <c r="AX137" s="230"/>
      <c r="AY137" s="224">
        <f>IF(L136="",10^30,SQRT(BA134)*(BA136^2)*(N(AN135)+N(AN137)+N(AO135)+N(AV135))/(100000*L136*M134))</f>
        <v>1E+30</v>
      </c>
      <c r="AZ137" s="225"/>
      <c r="BA137" s="220">
        <f>IF(AND(F136="",SUM(S134:S137)&lt;&gt;0),BA133,F136)</f>
        <v>0</v>
      </c>
      <c r="BB137" s="221">
        <f t="shared" si="3"/>
        <v>0</v>
      </c>
      <c r="BC137" s="232"/>
      <c r="BD137" s="232"/>
    </row>
    <row r="138" spans="1:56" ht="15" customHeight="1">
      <c r="B138" s="85"/>
      <c r="C138" s="271" t="str">
        <f>IF(BC138=1,"●","・")</f>
        <v>・</v>
      </c>
      <c r="D138" s="402"/>
      <c r="E138" s="403"/>
      <c r="F138" s="404"/>
      <c r="G138" s="265" t="str">
        <f>IF(F138="","","φ")</f>
        <v/>
      </c>
      <c r="H138" s="405"/>
      <c r="I138" s="265" t="str">
        <f>IF(H138="","","W")</f>
        <v/>
      </c>
      <c r="J138" s="405"/>
      <c r="K138" s="272" t="str">
        <f>IF(J138="","","V")</f>
        <v/>
      </c>
      <c r="L138" s="406"/>
      <c r="M138" s="407"/>
      <c r="N138" s="408"/>
      <c r="O138" s="193"/>
      <c r="P138" s="86"/>
      <c r="Q138" s="194"/>
      <c r="R138" s="87"/>
      <c r="S138" s="88" t="str">
        <f>IF(R138="","",IF(Q138="",P138/R138,P138/(Q138*R138)))</f>
        <v/>
      </c>
      <c r="T138" s="195"/>
      <c r="U138" s="196" t="str">
        <f>IF(OR(BA140="",S138=""),"",S138*1000*T138/(SQRT(BA138)*BA140))</f>
        <v/>
      </c>
      <c r="V138" s="254" t="str">
        <f>IF(AND(N(U138)=0,N(U139)=0,N(U140)=0,N(U141)=0),"",BA140/(SUM(U138:U141)))</f>
        <v/>
      </c>
      <c r="W138" s="280"/>
      <c r="X138" s="281"/>
      <c r="Y138" s="242"/>
      <c r="Z138" s="243"/>
      <c r="AA138" s="239"/>
      <c r="AB138" s="241"/>
      <c r="AC138" s="242"/>
      <c r="AD138" s="243"/>
      <c r="AE138" s="247"/>
      <c r="AF138" s="233" t="str">
        <f>IF(OR(AND(AF134="",N(BA136)=0,BA140&lt;&gt;0),D138&lt;&gt;""),AX140/AQ139,"")</f>
        <v/>
      </c>
      <c r="AG138" s="249" t="str">
        <f>IF(BA140=0,"",IF(AD140="",AX138,IF(AND(D138&lt;&gt;"",AU138=""),AX140*SQRT(AP140^2+AP141^2)/SQRT(AS138^2+AS139^2)/AQ139,AX138*SQRT(AP140^2+AP141^2)/SQRT(AS138^2+AS139^2))))</f>
        <v/>
      </c>
      <c r="AH138" s="250"/>
      <c r="AI138" s="234" t="str">
        <f>IF(AG138="","",IF(N(U138)&lt;0,-AX138*AQ139/SQRT(AS138^2+AS139^2),AX138*AQ139/SQRT(AS138^2+AS139^2)))</f>
        <v/>
      </c>
      <c r="AJ138" s="256"/>
      <c r="AK138" s="257"/>
      <c r="AL138" s="186"/>
      <c r="AM138" s="28"/>
      <c r="AN138" s="213" t="b">
        <f>IF(BA138="","",IF(AND(BA138=1,F140=50,L138="oil cooled type"),VLOOKUP(L140,変１,2,FALSE),IF(AND(BA138=1,F140=50,L138="(F)molded type"),VLOOKUP(L140,変１,7,FALSE),IF(AND(BA138=1,F140=60,L138="oil cooled type"),VLOOKUP(L140,変１,12,FALSE),IF(AND(BA138=1,F140=60,L138="(F)molded type"),VLOOKUP(L140,変１,17,FALSE),FALSE)))))</f>
        <v>0</v>
      </c>
      <c r="AO138" s="213">
        <f>IF(ISNA(VLOOKUP(L140,変ＵＳＥＲ,2,FALSE)),0,VLOOKUP(L140,変ＵＳＥＲ,2,FALSE))</f>
        <v>0</v>
      </c>
      <c r="AP138" s="214">
        <f>IF(N138="",0,N138*1000/BA140^2/SQRT(BA138))</f>
        <v>0</v>
      </c>
      <c r="AQ138" s="213" t="b">
        <f>IF(BA138=1,2,IF(BA138=3,SQRT(3),FALSE))</f>
        <v>0</v>
      </c>
      <c r="AR138" s="215" t="str">
        <f>IF(X138="","",IF(X138="600V IV",VLOOKUP(X140,ＩＶ,2,FALSE),IF(X138="600V CV-T",VLOOKUP(X140,ＣＶＴ,2,FALSE),IF(OR(X138="600V CV-1C",X138="600V CV-2C",X138="600V CV-3C",X138="600V CV-4C"),VLOOKUP(X140,ＣＶ２３Ｃ,2,FALSE),VLOOKUP(X140,ＣＵＳＥＲ,2,FALSE)))))</f>
        <v/>
      </c>
      <c r="AS138" s="213" t="str">
        <f>IF(AB141="",AP140,AP140+(AB141/1000))</f>
        <v/>
      </c>
      <c r="AT138" s="216" t="str">
        <f>IF(AU140="",AT140,AU140)</f>
        <v/>
      </c>
      <c r="AU138" s="216" t="str">
        <f>IF(D138="","",IF(AND(D398="",#REF!&lt;&gt;"",AV141=#REF!),#REF!,IF(AND(D398="",#REF!="",#REF!&lt;&gt;"",AV401=#REF!),#REF!,IF(AND(D398="",#REF!="",#REF!="",#REF!&lt;&gt;"",#REF!=#REF!),#REF!,IF(AND(D398="",#REF!="",#REF!="",#REF!="",D402&lt;&gt;"",#REF!=#REF!),AT402,IF(AND(D398="",#REF!="",#REF!="",#REF!="",D402="",#REF!&lt;&gt;"",#REF!=AV406),#REF!,IF(AND(D398="",#REF!="",#REF!="",#REF!="",D402="",#REF!="",D407&lt;&gt;"",#REF!=AV410),AT407,"")))))))</f>
        <v/>
      </c>
      <c r="AV138" s="216" t="str">
        <f>IF(L138="ACG",IF(ISNA(VLOOKUP(L140,ＡＣＧ,2,FALSE)),0,VLOOKUP(L140,ＡＣＧ,2,FALSE)),"")</f>
        <v/>
      </c>
      <c r="AW138" s="217" t="str">
        <f>IF(AT138="","",AT138/((AT138*AP138)^2+(AT139*AP138-1)^2))</f>
        <v/>
      </c>
      <c r="AX138" s="218" t="str">
        <f>IF(BA140=0,"",IF(OR(AX134="",AF138&lt;&gt;""),AF138*SQRT(AS140^2+AS141^2)/SQRT(AT140^2+AT141^2),AX134*SQRT(AS140^2+AS141^2)/SQRT(AT140^2+AT141^2)))</f>
        <v/>
      </c>
      <c r="AY138" s="219">
        <f>IF(N(AY140)=10^30,10^30,IF(N(AY400)=10^30,(N(AY140)*(N(AY400)^2+N(AY401)^2)+N(AY400)*(N(AY140)^2+N(AY141)^2))/((N(AY140)+N(AY400))^2+(N(AY141)+N(AY401))^2),(N(AY140)*(N(AY398)^2+N(AY399)^2)+N(AY398)*(N(AY140)^2+N(AY141)^2))/((N(AY140)+N(AY398))^2+(N(AY141)+N(AY399))^2)))</f>
        <v>1E+30</v>
      </c>
      <c r="AZ138" s="23"/>
      <c r="BA138" s="220">
        <f>IF(AND(F138="",SUM(S138:S141)&lt;&gt;0),BA134,F138)</f>
        <v>0</v>
      </c>
      <c r="BB138" s="221">
        <f t="shared" si="3"/>
        <v>0</v>
      </c>
      <c r="BC138" s="232">
        <f>IF(OR(E138="",F141="",AND(OR(P138="",Q138="",R138="",T138=""),OR(P139="",Q139="",R139="",T139=""),OR(P140="",Q140="",R140="",T140=""),OR(P141="",Q141="",R141="",T141="")),AND(OR(X138="",X140="",Y140="",Z140=""),OR(AB138="",AB140="",AC140="",AD140=""))),0,1)</f>
        <v>0</v>
      </c>
      <c r="BD138" s="232">
        <f>BC138+BD134</f>
        <v>0</v>
      </c>
    </row>
    <row r="139" spans="1:56" ht="15" customHeight="1">
      <c r="B139" s="85"/>
      <c r="C139" s="271"/>
      <c r="D139" s="409"/>
      <c r="E139" s="362"/>
      <c r="F139" s="410"/>
      <c r="G139" s="266"/>
      <c r="H139" s="266"/>
      <c r="I139" s="266"/>
      <c r="J139" s="266"/>
      <c r="K139" s="273"/>
      <c r="L139" s="411"/>
      <c r="M139" s="197" t="str">
        <f>IF(L138="ACG",SQRT(AV138^2+AV139^2),IF(L140="","",IF(OR(L138="oil cooled type",L138="(F)molded type"),IF(BA138=1,SQRT(AN138^2+AN139^2),IF(BA138=3,SQRT(AN140^2+AN141^2))),SQRT(AO138^2+AO139^2))))</f>
        <v/>
      </c>
      <c r="N139" s="412"/>
      <c r="O139" s="198"/>
      <c r="P139" s="90"/>
      <c r="Q139" s="199"/>
      <c r="R139" s="91"/>
      <c r="S139" s="92" t="str">
        <f>IF(R140="","",IF(Q140="",P140/R140,P140/(Q140*R140)))</f>
        <v/>
      </c>
      <c r="T139" s="200"/>
      <c r="U139" s="201" t="str">
        <f>IF(OR(BA140="",S139=""),"",S139*1000*T139/(SQRT(BA138)*BA140))</f>
        <v/>
      </c>
      <c r="V139" s="255"/>
      <c r="W139" s="248"/>
      <c r="X139" s="258"/>
      <c r="Y139" s="245"/>
      <c r="Z139" s="246"/>
      <c r="AA139" s="240"/>
      <c r="AB139" s="244"/>
      <c r="AC139" s="245"/>
      <c r="AD139" s="246"/>
      <c r="AE139" s="248"/>
      <c r="AF139" s="235" t="str">
        <f>IF(OR(AF138="",AG134&lt;&gt;""),"",AF138*AQ139/SQRT(AT138^2+AT139^2))</f>
        <v/>
      </c>
      <c r="AG139" s="274" t="str">
        <f>IF(AG138="","",100*AG138*AQ139/BA140)</f>
        <v/>
      </c>
      <c r="AH139" s="275"/>
      <c r="AI139" s="260" t="str">
        <f>IF(BA140=0,"",IF(AI134="",AX140/SQRT(AT138^2+AT139^2),IF(AI142="","",IF(AT138&lt;0,-AX138*AQ135/SQRT(AT138^2+AT139^2),AX138*AQ135/SQRT(AT138^2+AT139^2)))))</f>
        <v/>
      </c>
      <c r="AJ139" s="258"/>
      <c r="AK139" s="259"/>
      <c r="AL139" s="187"/>
      <c r="AM139" s="28"/>
      <c r="AN139" s="213" t="b">
        <f>IF(BA138="","",IF(AND(BA138=1,F140=50,L138="oil cooled type"),VLOOKUP(L140,変１,3,FALSE),IF(AND(BA138=1,F140=50,L138="(F)molded type"),VLOOKUP(L140,変１,8,FALSE),IF(AND(BA138=1,F140=60,L138="oil cooled type"),VLOOKUP(L140,変１,13,FALSE),IF(AND(BA138=1,F140=60,L138="(F)molded type"),VLOOKUP(L140,変１,18,FALSE),FALSE)))))</f>
        <v>0</v>
      </c>
      <c r="AO139" s="213">
        <f>IF(ISNA(VLOOKUP(L140,変ＵＳＥＲ,3,FALSE)),0,VLOOKUP(L140,変ＵＳＥＲ,3,FALSE)*BA141/50)</f>
        <v>0</v>
      </c>
      <c r="AP139" s="214">
        <f>IF(W138="",0,W138*1000/BA140^2/SQRT(BA138))</f>
        <v>0</v>
      </c>
      <c r="AQ139" s="213">
        <f>IF(AND(BA138=1,BA139=2),1,IF(AND(BA138=3,BA139=3),1,IF(AND(BA138=1,BA139=3),2,IF(AND(BA138=3,BA139=4)*OR(BB138=1,BB139=1,BB140=1,BB141=1),1,SQRT(3)))))</f>
        <v>1.7320508075688772</v>
      </c>
      <c r="AR139" s="215" t="str">
        <f>IF(X138="","",IF(X138="600V IV",VLOOKUP(X140,ＩＶ,3,FALSE),IF(X138="600V CV-T",VLOOKUP(X140,ＣＶＴ,3,FALSE),IF(OR(X138="600V CV-1C",X138="600V CV-2C",X138="600V CV-3C",X138="600V CV-4C"),VLOOKUP(X140,ＣＶ２３Ｃ,3,FALSE),VLOOKUP(X140,ＣＵＳＥＲ,3,FALSE)))))</f>
        <v/>
      </c>
      <c r="AS139" s="213" t="str">
        <f>IF(AD141="",AP141,AP141+(AD141/1000))</f>
        <v/>
      </c>
      <c r="AT139" s="216" t="str">
        <f>IF(AU141="",AT141,AU141)</f>
        <v/>
      </c>
      <c r="AU139" s="216" t="str">
        <f>IF(D138="","",IF(AND(D398="",#REF!&lt;&gt;"",AV141=#REF!),#REF!,IF(AND(D398="",#REF!="",#REF!&lt;&gt;"",AV401=#REF!),#REF!,IF(AND(D398="",#REF!="",#REF!="",#REF!&lt;&gt;"",#REF!=#REF!),#REF!,IF(AND(D398="",#REF!="",#REF!="",#REF!="",D402&lt;&gt;"",#REF!=#REF!),AT403,IF(AND(D398="",#REF!="",#REF!="",#REF!="",D402="",#REF!&lt;&gt;"",#REF!=AV406),AT404,IF(AND(D398="",#REF!="",#REF!="",#REF!="",D402="",#REF!="",D407&lt;&gt;"",#REF!=AV410),AT408,"")))))))</f>
        <v/>
      </c>
      <c r="AV139" s="215" t="str">
        <f>IF(L138="ACG",IF(ISNA(VLOOKUP(L140,ＡＣＧ,3,FALSE)),0,VLOOKUP(L140,ＡＣＧ,3,FALSE)*BA141/50),"")</f>
        <v/>
      </c>
      <c r="AW139" s="217" t="str">
        <f>IF(AT139="","",(AT139-AP138*(AT138^2+AT139^2))/((AT138*AP138)^2+(AP138*AT139-1)^2))</f>
        <v/>
      </c>
      <c r="AX139" s="218"/>
      <c r="AY139" s="219">
        <f>IF(N(AY141)=10^30,10^30,IF(N(AY401)=10^30,(N(AY141)*(N(AY400)^2+N(AY401)^2)+N(AY401)*(N(AY140)^2+N(AY141)^2))/((N(AY140)+N(AY400))^2+(N(AY141)+N(AY401))^2),(N(AY141)*(N(AY398)^2+N(AY399)^2)+N(AY399)*(N(AY140)^2+N(AY141)^2))/((N(AY140)+N(AY398))^2+(N(AY141)+N(AY399))^2)))</f>
        <v>1E+30</v>
      </c>
      <c r="AZ139" s="23"/>
      <c r="BA139" s="220">
        <f>IF(AND(H138="",SUM(S138:S141)&lt;&gt;0),BA135,H138)</f>
        <v>0</v>
      </c>
      <c r="BB139" s="221">
        <f t="shared" si="3"/>
        <v>0</v>
      </c>
      <c r="BC139" s="232"/>
      <c r="BD139" s="232"/>
    </row>
    <row r="140" spans="1:56" ht="15" customHeight="1">
      <c r="B140" s="85"/>
      <c r="C140" s="271"/>
      <c r="D140" s="409"/>
      <c r="E140" s="362"/>
      <c r="F140" s="413"/>
      <c r="G140" s="414"/>
      <c r="H140" s="414"/>
      <c r="I140" s="414"/>
      <c r="J140" s="414"/>
      <c r="K140" s="415"/>
      <c r="L140" s="416"/>
      <c r="M140" s="275"/>
      <c r="N140" s="412"/>
      <c r="O140" s="198"/>
      <c r="P140" s="93"/>
      <c r="Q140" s="202"/>
      <c r="R140" s="91"/>
      <c r="S140" s="92" t="str">
        <f>IF(R141="","",IF(Q141="",P141/R141,P141/(Q141*R141)))</f>
        <v/>
      </c>
      <c r="T140" s="200"/>
      <c r="U140" s="203" t="str">
        <f>IF(OR(BA140="",S140=""),"",S140*1000*T140/(SQRT(BA138)*BA140))</f>
        <v/>
      </c>
      <c r="V140" s="94" t="str">
        <f>IF(AND(N(U138)=0,N(U139)=0,N(U140)=0,N(U141)=0),"",V138*(P138*R138*T138+P139*R139*T139+P140*R140*T140+P141*R141*T141)/(P138*T138+P139*T139+P140*T140+P141*T141))</f>
        <v/>
      </c>
      <c r="W140" s="276" t="str">
        <f>IF(AND(N(AP140)=0,N(AP141)=0,N(AP139)=0),"",IF(AP141&gt;=0,COS(ATAN(AP141/AP140)),-COS(ATAN(AP141/AP140))))</f>
        <v/>
      </c>
      <c r="X140" s="95"/>
      <c r="Y140" s="204"/>
      <c r="Z140" s="96"/>
      <c r="AA140" s="97"/>
      <c r="AB140" s="98"/>
      <c r="AC140" s="204"/>
      <c r="AD140" s="96"/>
      <c r="AE140" s="99"/>
      <c r="AF140" s="236" t="str">
        <f>IF(OR(AF138="",AG134&lt;&gt;""),"",BA140/SQRT(AW140^2+AW141^2))</f>
        <v/>
      </c>
      <c r="AG140" s="274" t="str">
        <f>IF(AG138="","",100*((BA140/AQ139)-AG138)/(BA140/AQ139))</f>
        <v/>
      </c>
      <c r="AH140" s="275"/>
      <c r="AI140" s="261"/>
      <c r="AJ140" s="262"/>
      <c r="AK140" s="264"/>
      <c r="AL140" s="188"/>
      <c r="AM140" s="28"/>
      <c r="AN140" s="222" t="b">
        <f>IF(BA138="","",IF(AND(BA138=3,F140=50,L138="oil cooled type"),VLOOKUP(L140,変３,2,FALSE),IF(AND(BA138=3,F140=50,L138="(F)molded type"),VLOOKUP(L140,変３,7,FALSE),IF(AND(BA138=3,F140=60,L138="oil cooled type"),VLOOKUP(L140,変３,12,FALSE),IF(AND(BA138=3,F140=60,L138="(F)molded type"),VLOOKUP(L140,変３,17,FALSE),FALSE)))))</f>
        <v>0</v>
      </c>
      <c r="AO140" s="215" t="str">
        <f>IF(AND(L134="",N(AY138)&lt;10^29),AY138,"")</f>
        <v/>
      </c>
      <c r="AP140" s="223" t="str">
        <f>IF(V138="","",IF(AND(N(V140)=0,N(AP139)=0),"",AQ140/((AQ140*AP139)^2+(AP139*AQ141-1)^2)))</f>
        <v/>
      </c>
      <c r="AQ140" s="213">
        <f>IF(N(V140)=0,10^30,V140)</f>
        <v>1E+30</v>
      </c>
      <c r="AR140" s="215" t="str">
        <f>IF(AB138="","",IF(AB138="600V IV",VLOOKUP(AB140,ＩＶ,2,FALSE),IF(AB138="600V CV-T",VLOOKUP(AB140,ＣＶＴ,2,FALSE),IF(OR(AB138="600V CV-1C",AB138="600V CV-2C",AB138="600V CV-3C",AB138="600V CV-4C"),VLOOKUP(AB140,ＣＶ２３Ｃ,2,FALSE),VLOOKUP(AB140,ＣＵＳＥＲ,2,FALSE)))))</f>
        <v/>
      </c>
      <c r="AS140" s="213" t="str">
        <f>IF(OR(AND(AS398="",AS399=""),AND(D138="",D398&lt;&gt;"")),AS138,(AS138*(AT398^2+AT399^2)+AT398*(AS138^2+AS139^2))/((AS138+AT398)^2+(AS139+AT399)^2))</f>
        <v/>
      </c>
      <c r="AT140" s="216" t="str">
        <f>IF(X141="",AS140,N(AS140)+(X141/1000))</f>
        <v/>
      </c>
      <c r="AU140" s="216" t="str">
        <f>IF(AU138="","",(AT140*(AU138^2+AU139^2)+AU138*(AT140^2+AT141^2))/((AT140+AU138)^2+(AT141+AU139)^2))</f>
        <v/>
      </c>
      <c r="AV140" s="216">
        <f>IF(BA140=0,1,0)</f>
        <v>1</v>
      </c>
      <c r="AW140" s="217" t="str">
        <f>IF(AO140="","",AW138+AO140)</f>
        <v/>
      </c>
      <c r="AX140" s="218" t="str">
        <f>IF(AND(AX136="",AW140&lt;&gt;""),BA140*SQRT(AW138^2+AW139^2)/SQRT(AW140^2+AW141^2),IF(BA140&lt;&gt;0,AX136,""))</f>
        <v/>
      </c>
      <c r="AY140" s="224">
        <f>IF(L140="",10^30,SQRT(BA138)*(BA140^2)*(N(AN138)+N(AN140)+N(AO138)+N(AV138))/(100000*L140*M138))</f>
        <v>1E+30</v>
      </c>
      <c r="AZ140" s="225"/>
      <c r="BA140" s="220">
        <f>IF(AND(J138="",SUM(S138:S141)&lt;&gt;0),BA136,J138)</f>
        <v>0</v>
      </c>
      <c r="BB140" s="221">
        <f t="shared" si="3"/>
        <v>0</v>
      </c>
      <c r="BC140" s="232"/>
      <c r="BD140" s="232"/>
    </row>
    <row r="141" spans="1:56" ht="15" customHeight="1">
      <c r="A141" s="85"/>
      <c r="B141" s="85"/>
      <c r="C141" s="271"/>
      <c r="D141" s="417"/>
      <c r="E141" s="418"/>
      <c r="F141" s="419"/>
      <c r="G141" s="270"/>
      <c r="H141" s="270"/>
      <c r="I141" s="270"/>
      <c r="J141" s="270"/>
      <c r="K141" s="268"/>
      <c r="L141" s="251" t="str">
        <f>IF(M138="","",L140*1000*M138/(SQRT(BA138)*BA140))</f>
        <v/>
      </c>
      <c r="M141" s="252"/>
      <c r="N141" s="277"/>
      <c r="O141" s="205"/>
      <c r="P141" s="106"/>
      <c r="Q141" s="206"/>
      <c r="R141" s="107"/>
      <c r="S141" s="108" t="str">
        <f>IF(R141="","",IF(Q141="",P141/R141,P141/(Q141*R141)))</f>
        <v/>
      </c>
      <c r="T141" s="207"/>
      <c r="U141" s="208" t="str">
        <f>IF(OR(BA140="",S141=""),"",S141*1000*T141/(SQRT(BA138)*BA140))</f>
        <v/>
      </c>
      <c r="V141" s="109" t="str">
        <f>IF(AND(N(U138)=0,N(U139)=0,N(U140)=0,N(U141)=0),"",IF(V138&gt;=0,SQRT(ABS(V138^2-V140^2)),-SQRT(V138^2-V140^2)))</f>
        <v/>
      </c>
      <c r="W141" s="277"/>
      <c r="X141" s="278" t="str">
        <f>IF(Y140="","",AQ138*Z140*AR138*((1+0.00393*(F141-20))/1.2751)/Y140)</f>
        <v/>
      </c>
      <c r="Y141" s="270"/>
      <c r="Z141" s="267" t="str">
        <f>IF(Y140="","",(BA141/50)*AQ138*Z140*AR139/Y140)</f>
        <v/>
      </c>
      <c r="AA141" s="252"/>
      <c r="AB141" s="279" t="str">
        <f>IF(AC140="","",AQ138*AD140*AR140*((1+0.00393*(F141-20))/1.2751)/AC140)</f>
        <v/>
      </c>
      <c r="AC141" s="270"/>
      <c r="AD141" s="267" t="str">
        <f>IF(AC140="","",(BA141/50)*AQ138*AD140*AR141/AC140)</f>
        <v/>
      </c>
      <c r="AE141" s="268"/>
      <c r="AF141" s="237" t="str">
        <f>IF(AND(AX138&lt;&gt;"",D138=""),AX138,"")</f>
        <v/>
      </c>
      <c r="AG141" s="269" t="str">
        <f>IF(AP140="","",AP140)</f>
        <v/>
      </c>
      <c r="AH141" s="270"/>
      <c r="AI141" s="238" t="str">
        <f>IF(AP141="","",AP141)</f>
        <v/>
      </c>
      <c r="AJ141" s="263"/>
      <c r="AK141" s="253"/>
      <c r="AL141" s="189"/>
      <c r="AM141" s="28"/>
      <c r="AN141" s="226" t="b">
        <f>IF(BA138="","",IF(AND(BA138=3,F140=50,L138="oil cooled type"),VLOOKUP(L140,変３,3,FALSE),IF(AND(BA138=3,F140=50,L138="(F)molded type"),VLOOKUP(L140,変３,8,FALSE),IF(AND(BA138=3,F140=60,L138="oil cooled type"),VLOOKUP(L140,変３,13,FALSE),IF(AND(BA138=3,F140=60,L138="(F)molded type"),VLOOKUP(L140,変３,18,FALSE),FALSE)))))</f>
        <v>0</v>
      </c>
      <c r="AO141" s="226" t="str">
        <f>IF(AND(L134="",N(AY139)&lt;10^29),AY139,"")</f>
        <v/>
      </c>
      <c r="AP141" s="227" t="str">
        <f>IF(V138="","",IF(AND(N(V141)=0,N(AP139)=0),0,(AQ141-AP139*(AQ140^2+AQ141^2))/((AQ140*AP139)^2+(AP139*AQ141-1)^2)))</f>
        <v/>
      </c>
      <c r="AQ141" s="228">
        <f>IF(N(V141)=0,10^30,V141)</f>
        <v>1E+30</v>
      </c>
      <c r="AR141" s="226" t="str">
        <f>IF(AB138="","",IF(AB138="600V IV",VLOOKUP(AB140,ＩＶ,3,FALSE),IF(AB138="600V CV-T",VLOOKUP(AB140,ＣＶＴ,3,FALSE),IF(OR(AB138="600V CV-1C",AB138="600V CV-2C",AB138="600V CV-3C",AB138="600V CV-4C"),VLOOKUP(AB140,ＣＶ２３Ｃ,3,FALSE),VLOOKUP(AB140,ＣＵＳＥＲ,3,FALSE)))))</f>
        <v/>
      </c>
      <c r="AS141" s="228" t="str">
        <f>IF(OR(AND(AS398="",AS399=""),AND(D138="",D398&lt;&gt;"")),AS139,(AS139*(AT398^2+AT399^2)+AT399*(AS138^2+AS139^2))/((AS138+AT398)^2+(AS139+AT399)^2))</f>
        <v/>
      </c>
      <c r="AT141" s="229" t="str">
        <f>IF(Z141="",AS141,N(AS141)+(Z141/1000))</f>
        <v/>
      </c>
      <c r="AU141" s="229" t="str">
        <f>IF(AU139="","",(AT141*(AU138^2+AU139^2)+AU139*(AT140^2+AT141^2))/((AT140+AU138)^2+(AT141+AU139)^2))</f>
        <v/>
      </c>
      <c r="AV141" s="229">
        <f>AV137+AV140</f>
        <v>31</v>
      </c>
      <c r="AW141" s="228" t="str">
        <f>IF(AO141="","",AW139+AO141)</f>
        <v/>
      </c>
      <c r="AX141" s="230"/>
      <c r="AY141" s="224">
        <f>IF(L140="",10^30,SQRT(BA138)*(BA140^2)*(N(AN139)+N(AN141)+N(AO139)+N(AV139))/(100000*L140*M138))</f>
        <v>1E+30</v>
      </c>
      <c r="AZ141" s="225"/>
      <c r="BA141" s="220">
        <f>IF(AND(F140="",SUM(S138:S141)&lt;&gt;0),BA137,F140)</f>
        <v>0</v>
      </c>
      <c r="BB141" s="221">
        <f t="shared" si="3"/>
        <v>0</v>
      </c>
      <c r="BC141" s="232"/>
      <c r="BD141" s="232"/>
    </row>
    <row r="142" spans="1:56" ht="15" customHeight="1">
      <c r="B142" s="85"/>
      <c r="C142" s="271" t="str">
        <f>IF(BC142=1,"●","・")</f>
        <v>・</v>
      </c>
      <c r="D142" s="402"/>
      <c r="E142" s="403"/>
      <c r="F142" s="404"/>
      <c r="G142" s="265" t="str">
        <f>IF(F142="","","φ")</f>
        <v/>
      </c>
      <c r="H142" s="405"/>
      <c r="I142" s="265" t="str">
        <f>IF(H142="","","W")</f>
        <v/>
      </c>
      <c r="J142" s="405"/>
      <c r="K142" s="272" t="str">
        <f>IF(J142="","","V")</f>
        <v/>
      </c>
      <c r="L142" s="406"/>
      <c r="M142" s="407"/>
      <c r="N142" s="408"/>
      <c r="O142" s="193"/>
      <c r="P142" s="86"/>
      <c r="Q142" s="194"/>
      <c r="R142" s="87"/>
      <c r="S142" s="88" t="str">
        <f>IF(R142="","",IF(Q142="",P142/R142,P142/(Q142*R142)))</f>
        <v/>
      </c>
      <c r="T142" s="195"/>
      <c r="U142" s="196" t="str">
        <f>IF(OR(BA144="",S142=""),"",S142*1000*T142/(SQRT(BA142)*BA144))</f>
        <v/>
      </c>
      <c r="V142" s="254" t="str">
        <f>IF(AND(N(U142)=0,N(U143)=0,N(U144)=0,N(U145)=0),"",BA144/(SUM(U142:U145)))</f>
        <v/>
      </c>
      <c r="W142" s="280"/>
      <c r="X142" s="281"/>
      <c r="Y142" s="242"/>
      <c r="Z142" s="243"/>
      <c r="AA142" s="239"/>
      <c r="AB142" s="241"/>
      <c r="AC142" s="242"/>
      <c r="AD142" s="243"/>
      <c r="AE142" s="247"/>
      <c r="AF142" s="233" t="str">
        <f>IF(OR(AND(AF138="",N(BA140)=0,BA144&lt;&gt;0),D142&lt;&gt;""),AX144/AQ143,"")</f>
        <v/>
      </c>
      <c r="AG142" s="249" t="str">
        <f>IF(BA144=0,"",IF(AD144="",AX142,IF(AND(D142&lt;&gt;"",AU142=""),AX144*SQRT(AP144^2+AP145^2)/SQRT(AS142^2+AS143^2)/AQ143,AX142*SQRT(AP144^2+AP145^2)/SQRT(AS142^2+AS143^2))))</f>
        <v/>
      </c>
      <c r="AH142" s="250"/>
      <c r="AI142" s="234" t="str">
        <f>IF(AG142="","",IF(N(U142)&lt;0,-AX142*AQ143/SQRT(AS142^2+AS143^2),AX142*AQ143/SQRT(AS142^2+AS143^2)))</f>
        <v/>
      </c>
      <c r="AJ142" s="256"/>
      <c r="AK142" s="257"/>
      <c r="AL142" s="186"/>
      <c r="AM142" s="28"/>
      <c r="AN142" s="213" t="b">
        <f>IF(BA142="","",IF(AND(BA142=1,F144=50,L142="oil cooled type"),VLOOKUP(L144,変１,2,FALSE),IF(AND(BA142=1,F144=50,L142="(F)molded type"),VLOOKUP(L144,変１,7,FALSE),IF(AND(BA142=1,F144=60,L142="oil cooled type"),VLOOKUP(L144,変１,12,FALSE),IF(AND(BA142=1,F144=60,L142="(F)molded type"),VLOOKUP(L144,変１,17,FALSE),FALSE)))))</f>
        <v>0</v>
      </c>
      <c r="AO142" s="213">
        <f>IF(ISNA(VLOOKUP(L144,変ＵＳＥＲ,2,FALSE)),0,VLOOKUP(L144,変ＵＳＥＲ,2,FALSE))</f>
        <v>0</v>
      </c>
      <c r="AP142" s="214">
        <f>IF(N142="",0,N142*1000/BA144^2/SQRT(BA142))</f>
        <v>0</v>
      </c>
      <c r="AQ142" s="213" t="b">
        <f>IF(BA142=1,2,IF(BA142=3,SQRT(3),FALSE))</f>
        <v>0</v>
      </c>
      <c r="AR142" s="215" t="str">
        <f>IF(X142="","",IF(X142="600V IV",VLOOKUP(X144,ＩＶ,2,FALSE),IF(X142="600V CV-T",VLOOKUP(X144,ＣＶＴ,2,FALSE),IF(OR(X142="600V CV-1C",X142="600V CV-2C",X142="600V CV-3C",X142="600V CV-4C"),VLOOKUP(X144,ＣＶ２３Ｃ,2,FALSE),VLOOKUP(X144,ＣＵＳＥＲ,2,FALSE)))))</f>
        <v/>
      </c>
      <c r="AS142" s="213" t="str">
        <f>IF(AB145="",AP144,AP144+(AB145/1000))</f>
        <v/>
      </c>
      <c r="AT142" s="216" t="str">
        <f>IF(AU144="",AT144,AU144)</f>
        <v/>
      </c>
      <c r="AU142" s="216" t="str">
        <f>IF(D142="","",IF(AND(D402="",#REF!&lt;&gt;"",AV145=#REF!),#REF!,IF(AND(D402="",#REF!="",#REF!&lt;&gt;"",AV405=#REF!),#REF!,IF(AND(D402="",#REF!="",#REF!="",#REF!&lt;&gt;"",#REF!=#REF!),#REF!,IF(AND(D402="",#REF!="",#REF!="",#REF!="",D406&lt;&gt;"",#REF!=#REF!),AT406,IF(AND(D402="",#REF!="",#REF!="",#REF!="",D406="",#REF!&lt;&gt;"",#REF!=AV410),#REF!,IF(AND(D402="",#REF!="",#REF!="",#REF!="",D406="",#REF!="",D411&lt;&gt;"",#REF!=AV414),AT411,"")))))))</f>
        <v/>
      </c>
      <c r="AV142" s="216" t="str">
        <f>IF(L142="ACG",IF(ISNA(VLOOKUP(L144,ＡＣＧ,2,FALSE)),0,VLOOKUP(L144,ＡＣＧ,2,FALSE)),"")</f>
        <v/>
      </c>
      <c r="AW142" s="217" t="str">
        <f>IF(AT142="","",AT142/((AT142*AP142)^2+(AT143*AP142-1)^2))</f>
        <v/>
      </c>
      <c r="AX142" s="218" t="str">
        <f>IF(BA144=0,"",IF(OR(AX138="",AF142&lt;&gt;""),AF142*SQRT(AS144^2+AS145^2)/SQRT(AT144^2+AT145^2),AX138*SQRT(AS144^2+AS145^2)/SQRT(AT144^2+AT145^2)))</f>
        <v/>
      </c>
      <c r="AY142" s="219">
        <f>IF(N(AY144)=10^30,10^30,IF(N(AY404)=10^30,(N(AY144)*(N(AY404)^2+N(AY405)^2)+N(AY404)*(N(AY144)^2+N(AY145)^2))/((N(AY144)+N(AY404))^2+(N(AY145)+N(AY405))^2),(N(AY144)*(N(AY402)^2+N(AY403)^2)+N(AY402)*(N(AY144)^2+N(AY145)^2))/((N(AY144)+N(AY402))^2+(N(AY145)+N(AY403))^2)))</f>
        <v>1E+30</v>
      </c>
      <c r="AZ142" s="23"/>
      <c r="BA142" s="220">
        <f>IF(AND(F142="",SUM(S142:S145)&lt;&gt;0),BA138,F142)</f>
        <v>0</v>
      </c>
      <c r="BB142" s="221">
        <f t="shared" si="3"/>
        <v>0</v>
      </c>
      <c r="BC142" s="232">
        <f>IF(OR(E142="",F145="",AND(OR(P142="",Q142="",R142="",T142=""),OR(P143="",Q143="",R143="",T143=""),OR(P144="",Q144="",R144="",T144=""),OR(P145="",Q145="",R145="",T145="")),AND(OR(X142="",X144="",Y144="",Z144=""),OR(AB142="",AB144="",AC144="",AD144=""))),0,1)</f>
        <v>0</v>
      </c>
      <c r="BD142" s="232">
        <f>BC142+BD138</f>
        <v>0</v>
      </c>
    </row>
    <row r="143" spans="1:56" ht="15" customHeight="1">
      <c r="B143" s="85"/>
      <c r="C143" s="271"/>
      <c r="D143" s="409"/>
      <c r="E143" s="362"/>
      <c r="F143" s="410"/>
      <c r="G143" s="266"/>
      <c r="H143" s="266"/>
      <c r="I143" s="266"/>
      <c r="J143" s="266"/>
      <c r="K143" s="273"/>
      <c r="L143" s="411"/>
      <c r="M143" s="197" t="str">
        <f>IF(L142="ACG",SQRT(AV142^2+AV143^2),IF(L144="","",IF(OR(L142="oil cooled type",L142="(F)molded type"),IF(BA142=1,SQRT(AN142^2+AN143^2),IF(BA142=3,SQRT(AN144^2+AN145^2))),SQRT(AO142^2+AO143^2))))</f>
        <v/>
      </c>
      <c r="N143" s="412"/>
      <c r="O143" s="198"/>
      <c r="P143" s="90"/>
      <c r="Q143" s="199"/>
      <c r="R143" s="91"/>
      <c r="S143" s="92" t="str">
        <f>IF(R144="","",IF(Q144="",P144/R144,P144/(Q144*R144)))</f>
        <v/>
      </c>
      <c r="T143" s="200"/>
      <c r="U143" s="201" t="str">
        <f>IF(OR(BA144="",S143=""),"",S143*1000*T143/(SQRT(BA142)*BA144))</f>
        <v/>
      </c>
      <c r="V143" s="255"/>
      <c r="W143" s="248"/>
      <c r="X143" s="258"/>
      <c r="Y143" s="245"/>
      <c r="Z143" s="246"/>
      <c r="AA143" s="240"/>
      <c r="AB143" s="244"/>
      <c r="AC143" s="245"/>
      <c r="AD143" s="246"/>
      <c r="AE143" s="248"/>
      <c r="AF143" s="235" t="str">
        <f>IF(OR(AF142="",AG138&lt;&gt;""),"",AF142*AQ143/SQRT(AT142^2+AT143^2))</f>
        <v/>
      </c>
      <c r="AG143" s="274" t="str">
        <f>IF(AG142="","",100*AG142*AQ143/BA144)</f>
        <v/>
      </c>
      <c r="AH143" s="275"/>
      <c r="AI143" s="260" t="str">
        <f>IF(BA144=0,"",IF(AI138="",AX144/SQRT(AT142^2+AT143^2),IF(AI146="","",IF(AT142&lt;0,-AX142*AQ139/SQRT(AT142^2+AT143^2),AX142*AQ139/SQRT(AT142^2+AT143^2)))))</f>
        <v/>
      </c>
      <c r="AJ143" s="258"/>
      <c r="AK143" s="259"/>
      <c r="AL143" s="187"/>
      <c r="AM143" s="28"/>
      <c r="AN143" s="213" t="b">
        <f>IF(BA142="","",IF(AND(BA142=1,F144=50,L142="oil cooled type"),VLOOKUP(L144,変１,3,FALSE),IF(AND(BA142=1,F144=50,L142="(F)molded type"),VLOOKUP(L144,変１,8,FALSE),IF(AND(BA142=1,F144=60,L142="oil cooled type"),VLOOKUP(L144,変１,13,FALSE),IF(AND(BA142=1,F144=60,L142="(F)molded type"),VLOOKUP(L144,変１,18,FALSE),FALSE)))))</f>
        <v>0</v>
      </c>
      <c r="AO143" s="213">
        <f>IF(ISNA(VLOOKUP(L144,変ＵＳＥＲ,3,FALSE)),0,VLOOKUP(L144,変ＵＳＥＲ,3,FALSE)*BA145/50)</f>
        <v>0</v>
      </c>
      <c r="AP143" s="214">
        <f>IF(W142="",0,W142*1000/BA144^2/SQRT(BA142))</f>
        <v>0</v>
      </c>
      <c r="AQ143" s="213">
        <f>IF(AND(BA142=1,BA143=2),1,IF(AND(BA142=3,BA143=3),1,IF(AND(BA142=1,BA143=3),2,IF(AND(BA142=3,BA143=4)*OR(BB142=1,BB143=1,BB144=1,BB145=1),1,SQRT(3)))))</f>
        <v>1.7320508075688772</v>
      </c>
      <c r="AR143" s="215" t="str">
        <f>IF(X142="","",IF(X142="600V IV",VLOOKUP(X144,ＩＶ,3,FALSE),IF(X142="600V CV-T",VLOOKUP(X144,ＣＶＴ,3,FALSE),IF(OR(X142="600V CV-1C",X142="600V CV-2C",X142="600V CV-3C",X142="600V CV-4C"),VLOOKUP(X144,ＣＶ２３Ｃ,3,FALSE),VLOOKUP(X144,ＣＵＳＥＲ,3,FALSE)))))</f>
        <v/>
      </c>
      <c r="AS143" s="213" t="str">
        <f>IF(AD145="",AP145,AP145+(AD145/1000))</f>
        <v/>
      </c>
      <c r="AT143" s="216" t="str">
        <f>IF(AU145="",AT145,AU145)</f>
        <v/>
      </c>
      <c r="AU143" s="216" t="str">
        <f>IF(D142="","",IF(AND(D402="",#REF!&lt;&gt;"",AV145=#REF!),#REF!,IF(AND(D402="",#REF!="",#REF!&lt;&gt;"",AV405=#REF!),#REF!,IF(AND(D402="",#REF!="",#REF!="",#REF!&lt;&gt;"",#REF!=#REF!),#REF!,IF(AND(D402="",#REF!="",#REF!="",#REF!="",D406&lt;&gt;"",#REF!=#REF!),AT407,IF(AND(D402="",#REF!="",#REF!="",#REF!="",D406="",#REF!&lt;&gt;"",#REF!=AV410),AT408,IF(AND(D402="",#REF!="",#REF!="",#REF!="",D406="",#REF!="",D411&lt;&gt;"",#REF!=AV414),AT412,"")))))))</f>
        <v/>
      </c>
      <c r="AV143" s="215" t="str">
        <f>IF(L142="ACG",IF(ISNA(VLOOKUP(L144,ＡＣＧ,3,FALSE)),0,VLOOKUP(L144,ＡＣＧ,3,FALSE)*BA145/50),"")</f>
        <v/>
      </c>
      <c r="AW143" s="217" t="str">
        <f>IF(AT143="","",(AT143-AP142*(AT142^2+AT143^2))/((AT142*AP142)^2+(AP142*AT143-1)^2))</f>
        <v/>
      </c>
      <c r="AX143" s="218"/>
      <c r="AY143" s="219">
        <f>IF(N(AY145)=10^30,10^30,IF(N(AY405)=10^30,(N(AY145)*(N(AY404)^2+N(AY405)^2)+N(AY405)*(N(AY144)^2+N(AY145)^2))/((N(AY144)+N(AY404))^2+(N(AY145)+N(AY405))^2),(N(AY145)*(N(AY402)^2+N(AY403)^2)+N(AY403)*(N(AY144)^2+N(AY145)^2))/((N(AY144)+N(AY402))^2+(N(AY145)+N(AY403))^2)))</f>
        <v>1E+30</v>
      </c>
      <c r="AZ143" s="23"/>
      <c r="BA143" s="220">
        <f>IF(AND(H142="",SUM(S142:S145)&lt;&gt;0),BA139,H142)</f>
        <v>0</v>
      </c>
      <c r="BB143" s="221">
        <f t="shared" si="3"/>
        <v>0</v>
      </c>
      <c r="BC143" s="232"/>
      <c r="BD143" s="232"/>
    </row>
    <row r="144" spans="1:56" ht="15" customHeight="1">
      <c r="B144" s="85"/>
      <c r="C144" s="271"/>
      <c r="D144" s="409"/>
      <c r="E144" s="362"/>
      <c r="F144" s="413"/>
      <c r="G144" s="414"/>
      <c r="H144" s="414"/>
      <c r="I144" s="414"/>
      <c r="J144" s="414"/>
      <c r="K144" s="415"/>
      <c r="L144" s="416"/>
      <c r="M144" s="275"/>
      <c r="N144" s="412"/>
      <c r="O144" s="198"/>
      <c r="P144" s="93"/>
      <c r="Q144" s="202"/>
      <c r="R144" s="91"/>
      <c r="S144" s="92" t="str">
        <f>IF(R145="","",IF(Q145="",P145/R145,P145/(Q145*R145)))</f>
        <v/>
      </c>
      <c r="T144" s="200"/>
      <c r="U144" s="203" t="str">
        <f>IF(OR(BA144="",S144=""),"",S144*1000*T144/(SQRT(BA142)*BA144))</f>
        <v/>
      </c>
      <c r="V144" s="94" t="str">
        <f>IF(AND(N(U142)=0,N(U143)=0,N(U144)=0,N(U145)=0),"",V142*(P142*R142*T142+P143*R143*T143+P144*R144*T144+P145*R145*T145)/(P142*T142+P143*T143+P144*T144+P145*T145))</f>
        <v/>
      </c>
      <c r="W144" s="276" t="str">
        <f>IF(AND(N(AP144)=0,N(AP145)=0,N(AP143)=0),"",IF(AP145&gt;=0,COS(ATAN(AP145/AP144)),-COS(ATAN(AP145/AP144))))</f>
        <v/>
      </c>
      <c r="X144" s="95"/>
      <c r="Y144" s="204"/>
      <c r="Z144" s="96"/>
      <c r="AA144" s="97"/>
      <c r="AB144" s="98"/>
      <c r="AC144" s="204"/>
      <c r="AD144" s="96"/>
      <c r="AE144" s="99"/>
      <c r="AF144" s="236" t="str">
        <f>IF(OR(AF142="",AG138&lt;&gt;""),"",BA144/SQRT(AW144^2+AW145^2))</f>
        <v/>
      </c>
      <c r="AG144" s="274" t="str">
        <f>IF(AG142="","",100*((BA144/AQ143)-AG142)/(BA144/AQ143))</f>
        <v/>
      </c>
      <c r="AH144" s="275"/>
      <c r="AI144" s="261"/>
      <c r="AJ144" s="262"/>
      <c r="AK144" s="264"/>
      <c r="AL144" s="188"/>
      <c r="AM144" s="28"/>
      <c r="AN144" s="222" t="b">
        <f>IF(BA142="","",IF(AND(BA142=3,F144=50,L142="oil cooled type"),VLOOKUP(L144,変３,2,FALSE),IF(AND(BA142=3,F144=50,L142="(F)molded type"),VLOOKUP(L144,変３,7,FALSE),IF(AND(BA142=3,F144=60,L142="oil cooled type"),VLOOKUP(L144,変３,12,FALSE),IF(AND(BA142=3,F144=60,L142="(F)molded type"),VLOOKUP(L144,変３,17,FALSE),FALSE)))))</f>
        <v>0</v>
      </c>
      <c r="AO144" s="215" t="str">
        <f>IF(AND(L138="",N(AY142)&lt;10^29),AY142,"")</f>
        <v/>
      </c>
      <c r="AP144" s="223" t="str">
        <f>IF(V142="","",IF(AND(N(V144)=0,N(AP143)=0),"",AQ144/((AQ144*AP143)^2+(AP143*AQ145-1)^2)))</f>
        <v/>
      </c>
      <c r="AQ144" s="213">
        <f>IF(N(V144)=0,10^30,V144)</f>
        <v>1E+30</v>
      </c>
      <c r="AR144" s="215" t="str">
        <f>IF(AB142="","",IF(AB142="600V IV",VLOOKUP(AB144,ＩＶ,2,FALSE),IF(AB142="600V CV-T",VLOOKUP(AB144,ＣＶＴ,2,FALSE),IF(OR(AB142="600V CV-1C",AB142="600V CV-2C",AB142="600V CV-3C",AB142="600V CV-4C"),VLOOKUP(AB144,ＣＶ２３Ｃ,2,FALSE),VLOOKUP(AB144,ＣＵＳＥＲ,2,FALSE)))))</f>
        <v/>
      </c>
      <c r="AS144" s="213" t="str">
        <f>IF(OR(AND(AS402="",AS403=""),AND(D142="",D402&lt;&gt;"")),AS142,(AS142*(AT402^2+AT403^2)+AT402*(AS142^2+AS143^2))/((AS142+AT402)^2+(AS143+AT403)^2))</f>
        <v/>
      </c>
      <c r="AT144" s="216" t="str">
        <f>IF(X145="",AS144,N(AS144)+(X145/1000))</f>
        <v/>
      </c>
      <c r="AU144" s="216" t="str">
        <f>IF(AU142="","",(AT144*(AU142^2+AU143^2)+AU142*(AT144^2+AT145^2))/((AT144+AU142)^2+(AT145+AU143)^2))</f>
        <v/>
      </c>
      <c r="AV144" s="216">
        <f>IF(BA144=0,1,0)</f>
        <v>1</v>
      </c>
      <c r="AW144" s="217" t="str">
        <f>IF(AO144="","",AW142+AO144)</f>
        <v/>
      </c>
      <c r="AX144" s="218" t="str">
        <f>IF(AND(AX140="",AW144&lt;&gt;""),BA144*SQRT(AW142^2+AW143^2)/SQRT(AW144^2+AW145^2),IF(BA144&lt;&gt;0,AX140,""))</f>
        <v/>
      </c>
      <c r="AY144" s="224">
        <f>IF(L144="",10^30,SQRT(BA142)*(BA144^2)*(N(AN142)+N(AN144)+N(AO142)+N(AV142))/(100000*L144*M142))</f>
        <v>1E+30</v>
      </c>
      <c r="AZ144" s="225"/>
      <c r="BA144" s="220">
        <f>IF(AND(J142="",SUM(S142:S145)&lt;&gt;0),BA140,J142)</f>
        <v>0</v>
      </c>
      <c r="BB144" s="221">
        <f t="shared" si="3"/>
        <v>0</v>
      </c>
      <c r="BC144" s="232"/>
      <c r="BD144" s="232"/>
    </row>
    <row r="145" spans="1:56" ht="15" customHeight="1">
      <c r="A145" s="85"/>
      <c r="B145" s="85"/>
      <c r="C145" s="271"/>
      <c r="D145" s="417"/>
      <c r="E145" s="418"/>
      <c r="F145" s="419"/>
      <c r="G145" s="270"/>
      <c r="H145" s="270"/>
      <c r="I145" s="270"/>
      <c r="J145" s="270"/>
      <c r="K145" s="268"/>
      <c r="L145" s="251" t="str">
        <f>IF(M142="","",L144*1000*M142/(SQRT(BA142)*BA144))</f>
        <v/>
      </c>
      <c r="M145" s="252"/>
      <c r="N145" s="277"/>
      <c r="O145" s="205"/>
      <c r="P145" s="106"/>
      <c r="Q145" s="206"/>
      <c r="R145" s="107"/>
      <c r="S145" s="108" t="str">
        <f>IF(R145="","",IF(Q145="",P145/R145,P145/(Q145*R145)))</f>
        <v/>
      </c>
      <c r="T145" s="207"/>
      <c r="U145" s="208" t="str">
        <f>IF(OR(BA144="",S145=""),"",S145*1000*T145/(SQRT(BA142)*BA144))</f>
        <v/>
      </c>
      <c r="V145" s="109" t="str">
        <f>IF(AND(N(U142)=0,N(U143)=0,N(U144)=0,N(U145)=0),"",IF(V142&gt;=0,SQRT(ABS(V142^2-V144^2)),-SQRT(V142^2-V144^2)))</f>
        <v/>
      </c>
      <c r="W145" s="277"/>
      <c r="X145" s="278" t="str">
        <f>IF(Y144="","",AQ142*Z144*AR142*((1+0.00393*(F145-20))/1.2751)/Y144)</f>
        <v/>
      </c>
      <c r="Y145" s="270"/>
      <c r="Z145" s="267" t="str">
        <f>IF(Y144="","",(BA145/50)*AQ142*Z144*AR143/Y144)</f>
        <v/>
      </c>
      <c r="AA145" s="252"/>
      <c r="AB145" s="279" t="str">
        <f>IF(AC144="","",AQ142*AD144*AR144*((1+0.00393*(F145-20))/1.2751)/AC144)</f>
        <v/>
      </c>
      <c r="AC145" s="270"/>
      <c r="AD145" s="267" t="str">
        <f>IF(AC144="","",(BA145/50)*AQ142*AD144*AR145/AC144)</f>
        <v/>
      </c>
      <c r="AE145" s="268"/>
      <c r="AF145" s="237" t="str">
        <f>IF(AND(AX142&lt;&gt;"",D142=""),AX142,"")</f>
        <v/>
      </c>
      <c r="AG145" s="269" t="str">
        <f>IF(AP144="","",AP144)</f>
        <v/>
      </c>
      <c r="AH145" s="270"/>
      <c r="AI145" s="238" t="str">
        <f>IF(AP145="","",AP145)</f>
        <v/>
      </c>
      <c r="AJ145" s="263"/>
      <c r="AK145" s="253"/>
      <c r="AL145" s="189"/>
      <c r="AM145" s="28"/>
      <c r="AN145" s="226" t="b">
        <f>IF(BA142="","",IF(AND(BA142=3,F144=50,L142="oil cooled type"),VLOOKUP(L144,変３,3,FALSE),IF(AND(BA142=3,F144=50,L142="(F)molded type"),VLOOKUP(L144,変３,8,FALSE),IF(AND(BA142=3,F144=60,L142="oil cooled type"),VLOOKUP(L144,変３,13,FALSE),IF(AND(BA142=3,F144=60,L142="(F)molded type"),VLOOKUP(L144,変３,18,FALSE),FALSE)))))</f>
        <v>0</v>
      </c>
      <c r="AO145" s="226" t="str">
        <f>IF(AND(L138="",N(AY143)&lt;10^29),AY143,"")</f>
        <v/>
      </c>
      <c r="AP145" s="227" t="str">
        <f>IF(V142="","",IF(AND(N(V145)=0,N(AP143)=0),0,(AQ145-AP143*(AQ144^2+AQ145^2))/((AQ144*AP143)^2+(AP143*AQ145-1)^2)))</f>
        <v/>
      </c>
      <c r="AQ145" s="228">
        <f>IF(N(V145)=0,10^30,V145)</f>
        <v>1E+30</v>
      </c>
      <c r="AR145" s="226" t="str">
        <f>IF(AB142="","",IF(AB142="600V IV",VLOOKUP(AB144,ＩＶ,3,FALSE),IF(AB142="600V CV-T",VLOOKUP(AB144,ＣＶＴ,3,FALSE),IF(OR(AB142="600V CV-1C",AB142="600V CV-2C",AB142="600V CV-3C",AB142="600V CV-4C"),VLOOKUP(AB144,ＣＶ２３Ｃ,3,FALSE),VLOOKUP(AB144,ＣＵＳＥＲ,3,FALSE)))))</f>
        <v/>
      </c>
      <c r="AS145" s="228" t="str">
        <f>IF(OR(AND(AS402="",AS403=""),AND(D142="",D402&lt;&gt;"")),AS143,(AS143*(AT402^2+AT403^2)+AT403*(AS142^2+AS143^2))/((AS142+AT402)^2+(AS143+AT403)^2))</f>
        <v/>
      </c>
      <c r="AT145" s="229" t="str">
        <f>IF(Z145="",AS145,N(AS145)+(Z145/1000))</f>
        <v/>
      </c>
      <c r="AU145" s="229" t="str">
        <f>IF(AU143="","",(AT145*(AU142^2+AU143^2)+AU143*(AT144^2+AT145^2))/((AT144+AU142)^2+(AT145+AU143)^2))</f>
        <v/>
      </c>
      <c r="AV145" s="229">
        <f>AV141+AV144</f>
        <v>32</v>
      </c>
      <c r="AW145" s="228" t="str">
        <f>IF(AO145="","",AW143+AO145)</f>
        <v/>
      </c>
      <c r="AX145" s="230"/>
      <c r="AY145" s="224">
        <f>IF(L144="",10^30,SQRT(BA142)*(BA144^2)*(N(AN143)+N(AN145)+N(AO143)+N(AV143))/(100000*L144*M142))</f>
        <v>1E+30</v>
      </c>
      <c r="AZ145" s="225"/>
      <c r="BA145" s="220">
        <f>IF(AND(F144="",SUM(S142:S145)&lt;&gt;0),BA141,F144)</f>
        <v>0</v>
      </c>
      <c r="BB145" s="221">
        <f t="shared" si="3"/>
        <v>0</v>
      </c>
      <c r="BC145" s="232"/>
      <c r="BD145" s="232"/>
    </row>
    <row r="146" spans="1:56" ht="15" customHeight="1">
      <c r="B146" s="85"/>
      <c r="C146" s="271" t="str">
        <f>IF(BC146=1,"●","・")</f>
        <v>・</v>
      </c>
      <c r="D146" s="402"/>
      <c r="E146" s="403"/>
      <c r="F146" s="404"/>
      <c r="G146" s="265" t="str">
        <f>IF(F146="","","φ")</f>
        <v/>
      </c>
      <c r="H146" s="405"/>
      <c r="I146" s="265" t="str">
        <f>IF(H146="","","W")</f>
        <v/>
      </c>
      <c r="J146" s="405"/>
      <c r="K146" s="272" t="str">
        <f>IF(J146="","","V")</f>
        <v/>
      </c>
      <c r="L146" s="406"/>
      <c r="M146" s="407"/>
      <c r="N146" s="408"/>
      <c r="O146" s="193"/>
      <c r="P146" s="86"/>
      <c r="Q146" s="194"/>
      <c r="R146" s="87"/>
      <c r="S146" s="88" t="str">
        <f>IF(R146="","",IF(Q146="",P146/R146,P146/(Q146*R146)))</f>
        <v/>
      </c>
      <c r="T146" s="195"/>
      <c r="U146" s="196" t="str">
        <f>IF(OR(BA148="",S146=""),"",S146*1000*T146/(SQRT(BA146)*BA148))</f>
        <v/>
      </c>
      <c r="V146" s="254" t="str">
        <f>IF(AND(N(U146)=0,N(U147)=0,N(U148)=0,N(U149)=0),"",BA148/(SUM(U146:U149)))</f>
        <v/>
      </c>
      <c r="W146" s="280"/>
      <c r="X146" s="281"/>
      <c r="Y146" s="242"/>
      <c r="Z146" s="243"/>
      <c r="AA146" s="239"/>
      <c r="AB146" s="241"/>
      <c r="AC146" s="242"/>
      <c r="AD146" s="243"/>
      <c r="AE146" s="247"/>
      <c r="AF146" s="233" t="str">
        <f>IF(OR(AND(AF142="",N(BA144)=0,BA148&lt;&gt;0),D146&lt;&gt;""),AX148/AQ147,"")</f>
        <v/>
      </c>
      <c r="AG146" s="249" t="str">
        <f>IF(BA148=0,"",IF(AD148="",AX146,IF(AND(D146&lt;&gt;"",AU146=""),AX148*SQRT(AP148^2+AP149^2)/SQRT(AS146^2+AS147^2)/AQ147,AX146*SQRT(AP148^2+AP149^2)/SQRT(AS146^2+AS147^2))))</f>
        <v/>
      </c>
      <c r="AH146" s="250"/>
      <c r="AI146" s="234" t="str">
        <f>IF(AG146="","",IF(N(U146)&lt;0,-AX146*AQ147/SQRT(AS146^2+AS147^2),AX146*AQ147/SQRT(AS146^2+AS147^2)))</f>
        <v/>
      </c>
      <c r="AJ146" s="256"/>
      <c r="AK146" s="257"/>
      <c r="AL146" s="186"/>
      <c r="AM146" s="28"/>
      <c r="AN146" s="213" t="b">
        <f>IF(BA146="","",IF(AND(BA146=1,F148=50,L146="oil cooled type"),VLOOKUP(L148,変１,2,FALSE),IF(AND(BA146=1,F148=50,L146="(F)molded type"),VLOOKUP(L148,変１,7,FALSE),IF(AND(BA146=1,F148=60,L146="oil cooled type"),VLOOKUP(L148,変１,12,FALSE),IF(AND(BA146=1,F148=60,L146="(F)molded type"),VLOOKUP(L148,変１,17,FALSE),FALSE)))))</f>
        <v>0</v>
      </c>
      <c r="AO146" s="213">
        <f>IF(ISNA(VLOOKUP(L148,変ＵＳＥＲ,2,FALSE)),0,VLOOKUP(L148,変ＵＳＥＲ,2,FALSE))</f>
        <v>0</v>
      </c>
      <c r="AP146" s="214">
        <f>IF(N146="",0,N146*1000/BA148^2/SQRT(BA146))</f>
        <v>0</v>
      </c>
      <c r="AQ146" s="213" t="b">
        <f>IF(BA146=1,2,IF(BA146=3,SQRT(3),FALSE))</f>
        <v>0</v>
      </c>
      <c r="AR146" s="215" t="str">
        <f>IF(X146="","",IF(X146="600V IV",VLOOKUP(X148,ＩＶ,2,FALSE),IF(X146="600V CV-T",VLOOKUP(X148,ＣＶＴ,2,FALSE),IF(OR(X146="600V CV-1C",X146="600V CV-2C",X146="600V CV-3C",X146="600V CV-4C"),VLOOKUP(X148,ＣＶ２３Ｃ,2,FALSE),VLOOKUP(X148,ＣＵＳＥＲ,2,FALSE)))))</f>
        <v/>
      </c>
      <c r="AS146" s="213" t="str">
        <f>IF(AB149="",AP148,AP148+(AB149/1000))</f>
        <v/>
      </c>
      <c r="AT146" s="216" t="str">
        <f>IF(AU148="",AT148,AU148)</f>
        <v/>
      </c>
      <c r="AU146" s="216" t="str">
        <f>IF(D146="","",IF(AND(D406="",#REF!&lt;&gt;"",AV149=#REF!),#REF!,IF(AND(D406="",#REF!="",#REF!&lt;&gt;"",AV409=#REF!),#REF!,IF(AND(D406="",#REF!="",#REF!="",#REF!&lt;&gt;"",#REF!=#REF!),#REF!,IF(AND(D406="",#REF!="",#REF!="",#REF!="",D410&lt;&gt;"",#REF!=#REF!),AT410,IF(AND(D406="",#REF!="",#REF!="",#REF!="",D410="",#REF!&lt;&gt;"",#REF!=AV414),#REF!,IF(AND(D406="",#REF!="",#REF!="",#REF!="",D410="",#REF!="",D415&lt;&gt;"",#REF!=AV418),AT415,"")))))))</f>
        <v/>
      </c>
      <c r="AV146" s="216" t="str">
        <f>IF(L146="ACG",IF(ISNA(VLOOKUP(L148,ＡＣＧ,2,FALSE)),0,VLOOKUP(L148,ＡＣＧ,2,FALSE)),"")</f>
        <v/>
      </c>
      <c r="AW146" s="217" t="str">
        <f>IF(AT146="","",AT146/((AT146*AP146)^2+(AT147*AP146-1)^2))</f>
        <v/>
      </c>
      <c r="AX146" s="218" t="str">
        <f>IF(BA148=0,"",IF(OR(AX142="",AF146&lt;&gt;""),AF146*SQRT(AS148^2+AS149^2)/SQRT(AT148^2+AT149^2),AX142*SQRT(AS148^2+AS149^2)/SQRT(AT148^2+AT149^2)))</f>
        <v/>
      </c>
      <c r="AY146" s="219">
        <f>IF(N(AY148)=10^30,10^30,IF(N(AY408)=10^30,(N(AY148)*(N(AY408)^2+N(AY409)^2)+N(AY408)*(N(AY148)^2+N(AY149)^2))/((N(AY148)+N(AY408))^2+(N(AY149)+N(AY409))^2),(N(AY148)*(N(AY406)^2+N(AY407)^2)+N(AY406)*(N(AY148)^2+N(AY149)^2))/((N(AY148)+N(AY406))^2+(N(AY149)+N(AY407))^2)))</f>
        <v>1E+30</v>
      </c>
      <c r="AZ146" s="23"/>
      <c r="BA146" s="220">
        <f>IF(AND(F146="",SUM(S146:S149)&lt;&gt;0),BA142,F146)</f>
        <v>0</v>
      </c>
      <c r="BB146" s="221">
        <f t="shared" si="3"/>
        <v>0</v>
      </c>
      <c r="BC146" s="232">
        <f>IF(OR(E146="",F149="",AND(OR(P146="",Q146="",R146="",T146=""),OR(P147="",Q147="",R147="",T147=""),OR(P148="",Q148="",R148="",T148=""),OR(P149="",Q149="",R149="",T149="")),AND(OR(X146="",X148="",Y148="",Z148=""),OR(AB146="",AB148="",AC148="",AD148=""))),0,1)</f>
        <v>0</v>
      </c>
      <c r="BD146" s="232">
        <f>BC146+BD142</f>
        <v>0</v>
      </c>
    </row>
    <row r="147" spans="1:56" ht="15" customHeight="1">
      <c r="B147" s="85"/>
      <c r="C147" s="271"/>
      <c r="D147" s="409"/>
      <c r="E147" s="362"/>
      <c r="F147" s="410"/>
      <c r="G147" s="266"/>
      <c r="H147" s="266"/>
      <c r="I147" s="266"/>
      <c r="J147" s="266"/>
      <c r="K147" s="273"/>
      <c r="L147" s="411"/>
      <c r="M147" s="197" t="str">
        <f>IF(L146="ACG",SQRT(AV146^2+AV147^2),IF(L148="","",IF(OR(L146="oil cooled type",L146="(F)molded type"),IF(BA146=1,SQRT(AN146^2+AN147^2),IF(BA146=3,SQRT(AN148^2+AN149^2))),SQRT(AO146^2+AO147^2))))</f>
        <v/>
      </c>
      <c r="N147" s="412"/>
      <c r="O147" s="198"/>
      <c r="P147" s="90"/>
      <c r="Q147" s="199"/>
      <c r="R147" s="91"/>
      <c r="S147" s="92" t="str">
        <f>IF(R148="","",IF(Q148="",P148/R148,P148/(Q148*R148)))</f>
        <v/>
      </c>
      <c r="T147" s="200"/>
      <c r="U147" s="201" t="str">
        <f>IF(OR(BA148="",S147=""),"",S147*1000*T147/(SQRT(BA146)*BA148))</f>
        <v/>
      </c>
      <c r="V147" s="255"/>
      <c r="W147" s="248"/>
      <c r="X147" s="258"/>
      <c r="Y147" s="245"/>
      <c r="Z147" s="246"/>
      <c r="AA147" s="240"/>
      <c r="AB147" s="244"/>
      <c r="AC147" s="245"/>
      <c r="AD147" s="246"/>
      <c r="AE147" s="248"/>
      <c r="AF147" s="235" t="str">
        <f>IF(OR(AF146="",AG142&lt;&gt;""),"",AF146*AQ147/SQRT(AT146^2+AT147^2))</f>
        <v/>
      </c>
      <c r="AG147" s="274" t="str">
        <f>IF(AG146="","",100*AG146*AQ147/BA148)</f>
        <v/>
      </c>
      <c r="AH147" s="275"/>
      <c r="AI147" s="260" t="str">
        <f>IF(BA148=0,"",IF(AI142="",AX148/SQRT(AT146^2+AT147^2),IF(AI150="","",IF(AT146&lt;0,-AX146*AQ143/SQRT(AT146^2+AT147^2),AX146*AQ143/SQRT(AT146^2+AT147^2)))))</f>
        <v/>
      </c>
      <c r="AJ147" s="258"/>
      <c r="AK147" s="259"/>
      <c r="AL147" s="187"/>
      <c r="AM147" s="28"/>
      <c r="AN147" s="213" t="b">
        <f>IF(BA146="","",IF(AND(BA146=1,F148=50,L146="oil cooled type"),VLOOKUP(L148,変１,3,FALSE),IF(AND(BA146=1,F148=50,L146="(F)molded type"),VLOOKUP(L148,変１,8,FALSE),IF(AND(BA146=1,F148=60,L146="oil cooled type"),VLOOKUP(L148,変１,13,FALSE),IF(AND(BA146=1,F148=60,L146="(F)molded type"),VLOOKUP(L148,変１,18,FALSE),FALSE)))))</f>
        <v>0</v>
      </c>
      <c r="AO147" s="213">
        <f>IF(ISNA(VLOOKUP(L148,変ＵＳＥＲ,3,FALSE)),0,VLOOKUP(L148,変ＵＳＥＲ,3,FALSE)*BA149/50)</f>
        <v>0</v>
      </c>
      <c r="AP147" s="214">
        <f>IF(W146="",0,W146*1000/BA148^2/SQRT(BA146))</f>
        <v>0</v>
      </c>
      <c r="AQ147" s="213">
        <f>IF(AND(BA146=1,BA147=2),1,IF(AND(BA146=3,BA147=3),1,IF(AND(BA146=1,BA147=3),2,IF(AND(BA146=3,BA147=4)*OR(BB146=1,BB147=1,BB148=1,BB149=1),1,SQRT(3)))))</f>
        <v>1.7320508075688772</v>
      </c>
      <c r="AR147" s="215" t="str">
        <f>IF(X146="","",IF(X146="600V IV",VLOOKUP(X148,ＩＶ,3,FALSE),IF(X146="600V CV-T",VLOOKUP(X148,ＣＶＴ,3,FALSE),IF(OR(X146="600V CV-1C",X146="600V CV-2C",X146="600V CV-3C",X146="600V CV-4C"),VLOOKUP(X148,ＣＶ２３Ｃ,3,FALSE),VLOOKUP(X148,ＣＵＳＥＲ,3,FALSE)))))</f>
        <v/>
      </c>
      <c r="AS147" s="213" t="str">
        <f>IF(AD149="",AP149,AP149+(AD149/1000))</f>
        <v/>
      </c>
      <c r="AT147" s="216" t="str">
        <f>IF(AU149="",AT149,AU149)</f>
        <v/>
      </c>
      <c r="AU147" s="216" t="str">
        <f>IF(D146="","",IF(AND(D406="",#REF!&lt;&gt;"",AV149=#REF!),#REF!,IF(AND(D406="",#REF!="",#REF!&lt;&gt;"",AV409=#REF!),#REF!,IF(AND(D406="",#REF!="",#REF!="",#REF!&lt;&gt;"",#REF!=#REF!),#REF!,IF(AND(D406="",#REF!="",#REF!="",#REF!="",D410&lt;&gt;"",#REF!=#REF!),AT411,IF(AND(D406="",#REF!="",#REF!="",#REF!="",D410="",#REF!&lt;&gt;"",#REF!=AV414),AT412,IF(AND(D406="",#REF!="",#REF!="",#REF!="",D410="",#REF!="",D415&lt;&gt;"",#REF!=AV418),AT416,"")))))))</f>
        <v/>
      </c>
      <c r="AV147" s="215" t="str">
        <f>IF(L146="ACG",IF(ISNA(VLOOKUP(L148,ＡＣＧ,3,FALSE)),0,VLOOKUP(L148,ＡＣＧ,3,FALSE)*BA149/50),"")</f>
        <v/>
      </c>
      <c r="AW147" s="217" t="str">
        <f>IF(AT147="","",(AT147-AP146*(AT146^2+AT147^2))/((AT146*AP146)^2+(AP146*AT147-1)^2))</f>
        <v/>
      </c>
      <c r="AX147" s="218"/>
      <c r="AY147" s="219">
        <f>IF(N(AY149)=10^30,10^30,IF(N(AY409)=10^30,(N(AY149)*(N(AY408)^2+N(AY409)^2)+N(AY409)*(N(AY148)^2+N(AY149)^2))/((N(AY148)+N(AY408))^2+(N(AY149)+N(AY409))^2),(N(AY149)*(N(AY406)^2+N(AY407)^2)+N(AY407)*(N(AY148)^2+N(AY149)^2))/((N(AY148)+N(AY406))^2+(N(AY149)+N(AY407))^2)))</f>
        <v>1E+30</v>
      </c>
      <c r="AZ147" s="23"/>
      <c r="BA147" s="220">
        <f>IF(AND(H146="",SUM(S146:S149)&lt;&gt;0),BA143,H146)</f>
        <v>0</v>
      </c>
      <c r="BB147" s="221">
        <f t="shared" si="3"/>
        <v>0</v>
      </c>
      <c r="BC147" s="232"/>
      <c r="BD147" s="232"/>
    </row>
    <row r="148" spans="1:56" ht="15" customHeight="1">
      <c r="B148" s="85"/>
      <c r="C148" s="271"/>
      <c r="D148" s="409"/>
      <c r="E148" s="362"/>
      <c r="F148" s="413"/>
      <c r="G148" s="414"/>
      <c r="H148" s="414"/>
      <c r="I148" s="414"/>
      <c r="J148" s="414"/>
      <c r="K148" s="415"/>
      <c r="L148" s="416"/>
      <c r="M148" s="275"/>
      <c r="N148" s="412"/>
      <c r="O148" s="198"/>
      <c r="P148" s="93"/>
      <c r="Q148" s="202"/>
      <c r="R148" s="91"/>
      <c r="S148" s="92" t="str">
        <f>IF(R149="","",IF(Q149="",P149/R149,P149/(Q149*R149)))</f>
        <v/>
      </c>
      <c r="T148" s="200"/>
      <c r="U148" s="203" t="str">
        <f>IF(OR(BA148="",S148=""),"",S148*1000*T148/(SQRT(BA146)*BA148))</f>
        <v/>
      </c>
      <c r="V148" s="94" t="str">
        <f>IF(AND(N(U146)=0,N(U147)=0,N(U148)=0,N(U149)=0),"",V146*(P146*R146*T146+P147*R147*T147+P148*R148*T148+P149*R149*T149)/(P146*T146+P147*T147+P148*T148+P149*T149))</f>
        <v/>
      </c>
      <c r="W148" s="276" t="str">
        <f>IF(AND(N(AP148)=0,N(AP149)=0,N(AP147)=0),"",IF(AP149&gt;=0,COS(ATAN(AP149/AP148)),-COS(ATAN(AP149/AP148))))</f>
        <v/>
      </c>
      <c r="X148" s="95"/>
      <c r="Y148" s="204"/>
      <c r="Z148" s="96"/>
      <c r="AA148" s="97"/>
      <c r="AB148" s="98"/>
      <c r="AC148" s="204"/>
      <c r="AD148" s="96"/>
      <c r="AE148" s="99"/>
      <c r="AF148" s="236" t="str">
        <f>IF(OR(AF146="",AG142&lt;&gt;""),"",BA148/SQRT(AW148^2+AW149^2))</f>
        <v/>
      </c>
      <c r="AG148" s="274" t="str">
        <f>IF(AG146="","",100*((BA148/AQ147)-AG146)/(BA148/AQ147))</f>
        <v/>
      </c>
      <c r="AH148" s="275"/>
      <c r="AI148" s="261"/>
      <c r="AJ148" s="262"/>
      <c r="AK148" s="264"/>
      <c r="AL148" s="188"/>
      <c r="AM148" s="28"/>
      <c r="AN148" s="222" t="b">
        <f>IF(BA146="","",IF(AND(BA146=3,F148=50,L146="oil cooled type"),VLOOKUP(L148,変３,2,FALSE),IF(AND(BA146=3,F148=50,L146="(F)molded type"),VLOOKUP(L148,変３,7,FALSE),IF(AND(BA146=3,F148=60,L146="oil cooled type"),VLOOKUP(L148,変３,12,FALSE),IF(AND(BA146=3,F148=60,L146="(F)molded type"),VLOOKUP(L148,変３,17,FALSE),FALSE)))))</f>
        <v>0</v>
      </c>
      <c r="AO148" s="215" t="str">
        <f>IF(AND(L142="",N(AY146)&lt;10^29),AY146,"")</f>
        <v/>
      </c>
      <c r="AP148" s="223" t="str">
        <f>IF(V146="","",IF(AND(N(V148)=0,N(AP147)=0),"",AQ148/((AQ148*AP147)^2+(AP147*AQ149-1)^2)))</f>
        <v/>
      </c>
      <c r="AQ148" s="213">
        <f>IF(N(V148)=0,10^30,V148)</f>
        <v>1E+30</v>
      </c>
      <c r="AR148" s="215" t="str">
        <f>IF(AB146="","",IF(AB146="600V IV",VLOOKUP(AB148,ＩＶ,2,FALSE),IF(AB146="600V CV-T",VLOOKUP(AB148,ＣＶＴ,2,FALSE),IF(OR(AB146="600V CV-1C",AB146="600V CV-2C",AB146="600V CV-3C",AB146="600V CV-4C"),VLOOKUP(AB148,ＣＶ２３Ｃ,2,FALSE),VLOOKUP(AB148,ＣＵＳＥＲ,2,FALSE)))))</f>
        <v/>
      </c>
      <c r="AS148" s="213" t="str">
        <f>IF(OR(AND(AS406="",AS407=""),AND(D146="",D406&lt;&gt;"")),AS146,(AS146*(AT406^2+AT407^2)+AT406*(AS146^2+AS147^2))/((AS146+AT406)^2+(AS147+AT407)^2))</f>
        <v/>
      </c>
      <c r="AT148" s="216" t="str">
        <f>IF(X149="",AS148,N(AS148)+(X149/1000))</f>
        <v/>
      </c>
      <c r="AU148" s="216" t="str">
        <f>IF(AU146="","",(AT148*(AU146^2+AU147^2)+AU146*(AT148^2+AT149^2))/((AT148+AU146)^2+(AT149+AU147)^2))</f>
        <v/>
      </c>
      <c r="AV148" s="216">
        <f>IF(BA148=0,1,0)</f>
        <v>1</v>
      </c>
      <c r="AW148" s="217" t="str">
        <f>IF(AO148="","",AW146+AO148)</f>
        <v/>
      </c>
      <c r="AX148" s="218" t="str">
        <f>IF(AND(AX144="",AW148&lt;&gt;""),BA148*SQRT(AW146^2+AW147^2)/SQRT(AW148^2+AW149^2),IF(BA148&lt;&gt;0,AX144,""))</f>
        <v/>
      </c>
      <c r="AY148" s="224">
        <f>IF(L148="",10^30,SQRT(BA146)*(BA148^2)*(N(AN146)+N(AN148)+N(AO146)+N(AV146))/(100000*L148*M146))</f>
        <v>1E+30</v>
      </c>
      <c r="AZ148" s="225"/>
      <c r="BA148" s="220">
        <f>IF(AND(J146="",SUM(S146:S149)&lt;&gt;0),BA144,J146)</f>
        <v>0</v>
      </c>
      <c r="BB148" s="221">
        <f t="shared" si="3"/>
        <v>0</v>
      </c>
      <c r="BC148" s="232"/>
      <c r="BD148" s="232"/>
    </row>
    <row r="149" spans="1:56" ht="15" customHeight="1">
      <c r="A149" s="85"/>
      <c r="B149" s="85"/>
      <c r="C149" s="271"/>
      <c r="D149" s="417"/>
      <c r="E149" s="418"/>
      <c r="F149" s="419"/>
      <c r="G149" s="270"/>
      <c r="H149" s="270"/>
      <c r="I149" s="270"/>
      <c r="J149" s="270"/>
      <c r="K149" s="268"/>
      <c r="L149" s="251" t="str">
        <f>IF(M146="","",L148*1000*M146/(SQRT(BA146)*BA148))</f>
        <v/>
      </c>
      <c r="M149" s="252"/>
      <c r="N149" s="277"/>
      <c r="O149" s="205"/>
      <c r="P149" s="106"/>
      <c r="Q149" s="206"/>
      <c r="R149" s="107"/>
      <c r="S149" s="108" t="str">
        <f>IF(R149="","",IF(Q149="",P149/R149,P149/(Q149*R149)))</f>
        <v/>
      </c>
      <c r="T149" s="207"/>
      <c r="U149" s="208" t="str">
        <f>IF(OR(BA148="",S149=""),"",S149*1000*T149/(SQRT(BA146)*BA148))</f>
        <v/>
      </c>
      <c r="V149" s="109" t="str">
        <f>IF(AND(N(U146)=0,N(U147)=0,N(U148)=0,N(U149)=0),"",IF(V146&gt;=0,SQRT(ABS(V146^2-V148^2)),-SQRT(V146^2-V148^2)))</f>
        <v/>
      </c>
      <c r="W149" s="277"/>
      <c r="X149" s="278" t="str">
        <f>IF(Y148="","",AQ146*Z148*AR146*((1+0.00393*(F149-20))/1.2751)/Y148)</f>
        <v/>
      </c>
      <c r="Y149" s="270"/>
      <c r="Z149" s="267" t="str">
        <f>IF(Y148="","",(BA149/50)*AQ146*Z148*AR147/Y148)</f>
        <v/>
      </c>
      <c r="AA149" s="252"/>
      <c r="AB149" s="279" t="str">
        <f>IF(AC148="","",AQ146*AD148*AR148*((1+0.00393*(F149-20))/1.2751)/AC148)</f>
        <v/>
      </c>
      <c r="AC149" s="270"/>
      <c r="AD149" s="267" t="str">
        <f>IF(AC148="","",(BA149/50)*AQ146*AD148*AR149/AC148)</f>
        <v/>
      </c>
      <c r="AE149" s="268"/>
      <c r="AF149" s="237" t="str">
        <f>IF(AND(AX146&lt;&gt;"",D146=""),AX146,"")</f>
        <v/>
      </c>
      <c r="AG149" s="269" t="str">
        <f>IF(AP148="","",AP148)</f>
        <v/>
      </c>
      <c r="AH149" s="270"/>
      <c r="AI149" s="238" t="str">
        <f>IF(AP149="","",AP149)</f>
        <v/>
      </c>
      <c r="AJ149" s="263"/>
      <c r="AK149" s="253"/>
      <c r="AL149" s="189"/>
      <c r="AM149" s="28"/>
      <c r="AN149" s="226" t="b">
        <f>IF(BA146="","",IF(AND(BA146=3,F148=50,L146="oil cooled type"),VLOOKUP(L148,変３,3,FALSE),IF(AND(BA146=3,F148=50,L146="(F)molded type"),VLOOKUP(L148,変３,8,FALSE),IF(AND(BA146=3,F148=60,L146="oil cooled type"),VLOOKUP(L148,変３,13,FALSE),IF(AND(BA146=3,F148=60,L146="(F)molded type"),VLOOKUP(L148,変３,18,FALSE),FALSE)))))</f>
        <v>0</v>
      </c>
      <c r="AO149" s="226" t="str">
        <f>IF(AND(L142="",N(AY147)&lt;10^29),AY147,"")</f>
        <v/>
      </c>
      <c r="AP149" s="227" t="str">
        <f>IF(V146="","",IF(AND(N(V149)=0,N(AP147)=0),0,(AQ149-AP147*(AQ148^2+AQ149^2))/((AQ148*AP147)^2+(AP147*AQ149-1)^2)))</f>
        <v/>
      </c>
      <c r="AQ149" s="228">
        <f>IF(N(V149)=0,10^30,V149)</f>
        <v>1E+30</v>
      </c>
      <c r="AR149" s="226" t="str">
        <f>IF(AB146="","",IF(AB146="600V IV",VLOOKUP(AB148,ＩＶ,3,FALSE),IF(AB146="600V CV-T",VLOOKUP(AB148,ＣＶＴ,3,FALSE),IF(OR(AB146="600V CV-1C",AB146="600V CV-2C",AB146="600V CV-3C",AB146="600V CV-4C"),VLOOKUP(AB148,ＣＶ２３Ｃ,3,FALSE),VLOOKUP(AB148,ＣＵＳＥＲ,3,FALSE)))))</f>
        <v/>
      </c>
      <c r="AS149" s="228" t="str">
        <f>IF(OR(AND(AS406="",AS407=""),AND(D146="",D406&lt;&gt;"")),AS147,(AS147*(AT406^2+AT407^2)+AT407*(AS146^2+AS147^2))/((AS146+AT406)^2+(AS147+AT407)^2))</f>
        <v/>
      </c>
      <c r="AT149" s="229" t="str">
        <f>IF(Z149="",AS149,N(AS149)+(Z149/1000))</f>
        <v/>
      </c>
      <c r="AU149" s="229" t="str">
        <f>IF(AU147="","",(AT149*(AU146^2+AU147^2)+AU147*(AT148^2+AT149^2))/((AT148+AU146)^2+(AT149+AU147)^2))</f>
        <v/>
      </c>
      <c r="AV149" s="229">
        <f>AV145+AV148</f>
        <v>33</v>
      </c>
      <c r="AW149" s="228" t="str">
        <f>IF(AO149="","",AW147+AO149)</f>
        <v/>
      </c>
      <c r="AX149" s="230"/>
      <c r="AY149" s="224">
        <f>IF(L148="",10^30,SQRT(BA146)*(BA148^2)*(N(AN147)+N(AN149)+N(AO147)+N(AV147))/(100000*L148*M146))</f>
        <v>1E+30</v>
      </c>
      <c r="AZ149" s="225"/>
      <c r="BA149" s="220">
        <f>IF(AND(F148="",SUM(S146:S149)&lt;&gt;0),BA145,F148)</f>
        <v>0</v>
      </c>
      <c r="BB149" s="221">
        <f t="shared" si="3"/>
        <v>0</v>
      </c>
      <c r="BC149" s="232"/>
      <c r="BD149" s="232"/>
    </row>
    <row r="150" spans="1:56" ht="15" customHeight="1">
      <c r="B150" s="85"/>
      <c r="C150" s="271" t="str">
        <f>IF(BC150=1,"●","・")</f>
        <v>・</v>
      </c>
      <c r="D150" s="402"/>
      <c r="E150" s="403"/>
      <c r="F150" s="404"/>
      <c r="G150" s="265" t="str">
        <f>IF(F150="","","φ")</f>
        <v/>
      </c>
      <c r="H150" s="405"/>
      <c r="I150" s="265" t="str">
        <f>IF(H150="","","W")</f>
        <v/>
      </c>
      <c r="J150" s="405"/>
      <c r="K150" s="272" t="str">
        <f>IF(J150="","","V")</f>
        <v/>
      </c>
      <c r="L150" s="406"/>
      <c r="M150" s="407"/>
      <c r="N150" s="408"/>
      <c r="O150" s="193"/>
      <c r="P150" s="86"/>
      <c r="Q150" s="194"/>
      <c r="R150" s="87"/>
      <c r="S150" s="88" t="str">
        <f>IF(R150="","",IF(Q150="",P150/R150,P150/(Q150*R150)))</f>
        <v/>
      </c>
      <c r="T150" s="195"/>
      <c r="U150" s="196" t="str">
        <f>IF(OR(BA152="",S150=""),"",S150*1000*T150/(SQRT(BA150)*BA152))</f>
        <v/>
      </c>
      <c r="V150" s="254" t="str">
        <f>IF(AND(N(U150)=0,N(U151)=0,N(U152)=0,N(U153)=0),"",BA152/(SUM(U150:U153)))</f>
        <v/>
      </c>
      <c r="W150" s="280"/>
      <c r="X150" s="281"/>
      <c r="Y150" s="242"/>
      <c r="Z150" s="243"/>
      <c r="AA150" s="239"/>
      <c r="AB150" s="241"/>
      <c r="AC150" s="242"/>
      <c r="AD150" s="243"/>
      <c r="AE150" s="247"/>
      <c r="AF150" s="233" t="str">
        <f>IF(OR(AND(AF146="",N(BA148)=0,BA152&lt;&gt;0),D150&lt;&gt;""),AX152/AQ151,"")</f>
        <v/>
      </c>
      <c r="AG150" s="249" t="str">
        <f>IF(BA152=0,"",IF(AD152="",AX150,IF(AND(D150&lt;&gt;"",AU150=""),AX152*SQRT(AP152^2+AP153^2)/SQRT(AS150^2+AS151^2)/AQ151,AX150*SQRT(AP152^2+AP153^2)/SQRT(AS150^2+AS151^2))))</f>
        <v/>
      </c>
      <c r="AH150" s="250"/>
      <c r="AI150" s="234" t="str">
        <f>IF(AG150="","",IF(N(U150)&lt;0,-AX150*AQ151/SQRT(AS150^2+AS151^2),AX150*AQ151/SQRT(AS150^2+AS151^2)))</f>
        <v/>
      </c>
      <c r="AJ150" s="256"/>
      <c r="AK150" s="257"/>
      <c r="AL150" s="186"/>
      <c r="AM150" s="28"/>
      <c r="AN150" s="213" t="b">
        <f>IF(BA150="","",IF(AND(BA150=1,F152=50,L150="oil cooled type"),VLOOKUP(L152,変１,2,FALSE),IF(AND(BA150=1,F152=50,L150="(F)molded type"),VLOOKUP(L152,変１,7,FALSE),IF(AND(BA150=1,F152=60,L150="oil cooled type"),VLOOKUP(L152,変１,12,FALSE),IF(AND(BA150=1,F152=60,L150="(F)molded type"),VLOOKUP(L152,変１,17,FALSE),FALSE)))))</f>
        <v>0</v>
      </c>
      <c r="AO150" s="213">
        <f>IF(ISNA(VLOOKUP(L152,変ＵＳＥＲ,2,FALSE)),0,VLOOKUP(L152,変ＵＳＥＲ,2,FALSE))</f>
        <v>0</v>
      </c>
      <c r="AP150" s="214">
        <f>IF(N150="",0,N150*1000/BA152^2/SQRT(BA150))</f>
        <v>0</v>
      </c>
      <c r="AQ150" s="213" t="b">
        <f>IF(BA150=1,2,IF(BA150=3,SQRT(3),FALSE))</f>
        <v>0</v>
      </c>
      <c r="AR150" s="215" t="str">
        <f>IF(X150="","",IF(X150="600V IV",VLOOKUP(X152,ＩＶ,2,FALSE),IF(X150="600V CV-T",VLOOKUP(X152,ＣＶＴ,2,FALSE),IF(OR(X150="600V CV-1C",X150="600V CV-2C",X150="600V CV-3C",X150="600V CV-4C"),VLOOKUP(X152,ＣＶ２３Ｃ,2,FALSE),VLOOKUP(X152,ＣＵＳＥＲ,2,FALSE)))))</f>
        <v/>
      </c>
      <c r="AS150" s="213" t="str">
        <f>IF(AB153="",AP152,AP152+(AB153/1000))</f>
        <v/>
      </c>
      <c r="AT150" s="216" t="str">
        <f>IF(AU152="",AT152,AU152)</f>
        <v/>
      </c>
      <c r="AU150" s="216" t="str">
        <f>IF(D150="","",IF(AND(D410="",#REF!&lt;&gt;"",AV153=#REF!),#REF!,IF(AND(D410="",#REF!="",#REF!&lt;&gt;"",AV413=#REF!),#REF!,IF(AND(D410="",#REF!="",#REF!="",#REF!&lt;&gt;"",#REF!=#REF!),#REF!,IF(AND(D410="",#REF!="",#REF!="",#REF!="",D414&lt;&gt;"",#REF!=#REF!),AT414,IF(AND(D410="",#REF!="",#REF!="",#REF!="",D414="",#REF!&lt;&gt;"",#REF!=AV418),#REF!,IF(AND(D410="",#REF!="",#REF!="",#REF!="",D414="",#REF!="",D419&lt;&gt;"",#REF!=AV422),AT419,"")))))))</f>
        <v/>
      </c>
      <c r="AV150" s="216" t="str">
        <f>IF(L150="ACG",IF(ISNA(VLOOKUP(L152,ＡＣＧ,2,FALSE)),0,VLOOKUP(L152,ＡＣＧ,2,FALSE)),"")</f>
        <v/>
      </c>
      <c r="AW150" s="217" t="str">
        <f>IF(AT150="","",AT150/((AT150*AP150)^2+(AT151*AP150-1)^2))</f>
        <v/>
      </c>
      <c r="AX150" s="218" t="str">
        <f>IF(BA152=0,"",IF(OR(AX146="",AF150&lt;&gt;""),AF150*SQRT(AS152^2+AS153^2)/SQRT(AT152^2+AT153^2),AX146*SQRT(AS152^2+AS153^2)/SQRT(AT152^2+AT153^2)))</f>
        <v/>
      </c>
      <c r="AY150" s="219">
        <f>IF(N(AY152)=10^30,10^30,IF(N(AY412)=10^30,(N(AY152)*(N(AY412)^2+N(AY413)^2)+N(AY412)*(N(AY152)^2+N(AY153)^2))/((N(AY152)+N(AY412))^2+(N(AY153)+N(AY413))^2),(N(AY152)*(N(AY410)^2+N(AY411)^2)+N(AY410)*(N(AY152)^2+N(AY153)^2))/((N(AY152)+N(AY410))^2+(N(AY153)+N(AY411))^2)))</f>
        <v>1E+30</v>
      </c>
      <c r="AZ150" s="23"/>
      <c r="BA150" s="220">
        <f>IF(AND(F150="",SUM(S150:S153)&lt;&gt;0),BA146,F150)</f>
        <v>0</v>
      </c>
      <c r="BB150" s="221">
        <f t="shared" si="3"/>
        <v>0</v>
      </c>
      <c r="BC150" s="232">
        <f>IF(OR(E150="",F153="",AND(OR(P150="",Q150="",R150="",T150=""),OR(P151="",Q151="",R151="",T151=""),OR(P152="",Q152="",R152="",T152=""),OR(P153="",Q153="",R153="",T153="")),AND(OR(X150="",X152="",Y152="",Z152=""),OR(AB150="",AB152="",AC152="",AD152=""))),0,1)</f>
        <v>0</v>
      </c>
      <c r="BD150" s="232">
        <f>BC150+BD146</f>
        <v>0</v>
      </c>
    </row>
    <row r="151" spans="1:56" ht="15" customHeight="1">
      <c r="B151" s="85"/>
      <c r="C151" s="271"/>
      <c r="D151" s="409"/>
      <c r="E151" s="362"/>
      <c r="F151" s="410"/>
      <c r="G151" s="266"/>
      <c r="H151" s="266"/>
      <c r="I151" s="266"/>
      <c r="J151" s="266"/>
      <c r="K151" s="273"/>
      <c r="L151" s="411"/>
      <c r="M151" s="197" t="str">
        <f>IF(L150="ACG",SQRT(AV150^2+AV151^2),IF(L152="","",IF(OR(L150="oil cooled type",L150="(F)molded type"),IF(BA150=1,SQRT(AN150^2+AN151^2),IF(BA150=3,SQRT(AN152^2+AN153^2))),SQRT(AO150^2+AO151^2))))</f>
        <v/>
      </c>
      <c r="N151" s="412"/>
      <c r="O151" s="198"/>
      <c r="P151" s="90"/>
      <c r="Q151" s="199"/>
      <c r="R151" s="91"/>
      <c r="S151" s="92" t="str">
        <f>IF(R152="","",IF(Q152="",P152/R152,P152/(Q152*R152)))</f>
        <v/>
      </c>
      <c r="T151" s="200"/>
      <c r="U151" s="201" t="str">
        <f>IF(OR(BA152="",S151=""),"",S151*1000*T151/(SQRT(BA150)*BA152))</f>
        <v/>
      </c>
      <c r="V151" s="255"/>
      <c r="W151" s="248"/>
      <c r="X151" s="258"/>
      <c r="Y151" s="245"/>
      <c r="Z151" s="246"/>
      <c r="AA151" s="240"/>
      <c r="AB151" s="244"/>
      <c r="AC151" s="245"/>
      <c r="AD151" s="246"/>
      <c r="AE151" s="248"/>
      <c r="AF151" s="235" t="str">
        <f>IF(OR(AF150="",AG146&lt;&gt;""),"",AF150*AQ151/SQRT(AT150^2+AT151^2))</f>
        <v/>
      </c>
      <c r="AG151" s="274" t="str">
        <f>IF(AG150="","",100*AG150*AQ151/BA152)</f>
        <v/>
      </c>
      <c r="AH151" s="275"/>
      <c r="AI151" s="260" t="str">
        <f>IF(BA152=0,"",IF(AI146="",AX152/SQRT(AT150^2+AT151^2),IF(AI154="","",IF(AT150&lt;0,-AX150*AQ147/SQRT(AT150^2+AT151^2),AX150*AQ147/SQRT(AT150^2+AT151^2)))))</f>
        <v/>
      </c>
      <c r="AJ151" s="258"/>
      <c r="AK151" s="259"/>
      <c r="AL151" s="187"/>
      <c r="AM151" s="28"/>
      <c r="AN151" s="213" t="b">
        <f>IF(BA150="","",IF(AND(BA150=1,F152=50,L150="oil cooled type"),VLOOKUP(L152,変１,3,FALSE),IF(AND(BA150=1,F152=50,L150="(F)molded type"),VLOOKUP(L152,変１,8,FALSE),IF(AND(BA150=1,F152=60,L150="oil cooled type"),VLOOKUP(L152,変１,13,FALSE),IF(AND(BA150=1,F152=60,L150="(F)molded type"),VLOOKUP(L152,変１,18,FALSE),FALSE)))))</f>
        <v>0</v>
      </c>
      <c r="AO151" s="213">
        <f>IF(ISNA(VLOOKUP(L152,変ＵＳＥＲ,3,FALSE)),0,VLOOKUP(L152,変ＵＳＥＲ,3,FALSE)*BA153/50)</f>
        <v>0</v>
      </c>
      <c r="AP151" s="214">
        <f>IF(W150="",0,W150*1000/BA152^2/SQRT(BA150))</f>
        <v>0</v>
      </c>
      <c r="AQ151" s="213">
        <f>IF(AND(BA150=1,BA151=2),1,IF(AND(BA150=3,BA151=3),1,IF(AND(BA150=1,BA151=3),2,IF(AND(BA150=3,BA151=4)*OR(BB150=1,BB151=1,BB152=1,BB153=1),1,SQRT(3)))))</f>
        <v>1.7320508075688772</v>
      </c>
      <c r="AR151" s="215" t="str">
        <f>IF(X150="","",IF(X150="600V IV",VLOOKUP(X152,ＩＶ,3,FALSE),IF(X150="600V CV-T",VLOOKUP(X152,ＣＶＴ,3,FALSE),IF(OR(X150="600V CV-1C",X150="600V CV-2C",X150="600V CV-3C",X150="600V CV-4C"),VLOOKUP(X152,ＣＶ２３Ｃ,3,FALSE),VLOOKUP(X152,ＣＵＳＥＲ,3,FALSE)))))</f>
        <v/>
      </c>
      <c r="AS151" s="213" t="str">
        <f>IF(AD153="",AP153,AP153+(AD153/1000))</f>
        <v/>
      </c>
      <c r="AT151" s="216" t="str">
        <f>IF(AU153="",AT153,AU153)</f>
        <v/>
      </c>
      <c r="AU151" s="216" t="str">
        <f>IF(D150="","",IF(AND(D410="",#REF!&lt;&gt;"",AV153=#REF!),#REF!,IF(AND(D410="",#REF!="",#REF!&lt;&gt;"",AV413=#REF!),#REF!,IF(AND(D410="",#REF!="",#REF!="",#REF!&lt;&gt;"",#REF!=#REF!),#REF!,IF(AND(D410="",#REF!="",#REF!="",#REF!="",D414&lt;&gt;"",#REF!=#REF!),AT415,IF(AND(D410="",#REF!="",#REF!="",#REF!="",D414="",#REF!&lt;&gt;"",#REF!=AV418),AT416,IF(AND(D410="",#REF!="",#REF!="",#REF!="",D414="",#REF!="",D419&lt;&gt;"",#REF!=AV422),AT420,"")))))))</f>
        <v/>
      </c>
      <c r="AV151" s="215" t="str">
        <f>IF(L150="ACG",IF(ISNA(VLOOKUP(L152,ＡＣＧ,3,FALSE)),0,VLOOKUP(L152,ＡＣＧ,3,FALSE)*BA153/50),"")</f>
        <v/>
      </c>
      <c r="AW151" s="217" t="str">
        <f>IF(AT151="","",(AT151-AP150*(AT150^2+AT151^2))/((AT150*AP150)^2+(AP150*AT151-1)^2))</f>
        <v/>
      </c>
      <c r="AX151" s="218"/>
      <c r="AY151" s="219">
        <f>IF(N(AY153)=10^30,10^30,IF(N(AY413)=10^30,(N(AY153)*(N(AY412)^2+N(AY413)^2)+N(AY413)*(N(AY152)^2+N(AY153)^2))/((N(AY152)+N(AY412))^2+(N(AY153)+N(AY413))^2),(N(AY153)*(N(AY410)^2+N(AY411)^2)+N(AY411)*(N(AY152)^2+N(AY153)^2))/((N(AY152)+N(AY410))^2+(N(AY153)+N(AY411))^2)))</f>
        <v>1E+30</v>
      </c>
      <c r="AZ151" s="23"/>
      <c r="BA151" s="220">
        <f>IF(AND(H150="",SUM(S150:S153)&lt;&gt;0),BA147,H150)</f>
        <v>0</v>
      </c>
      <c r="BB151" s="221">
        <f t="shared" si="3"/>
        <v>0</v>
      </c>
      <c r="BC151" s="232"/>
      <c r="BD151" s="232"/>
    </row>
    <row r="152" spans="1:56" ht="15" customHeight="1">
      <c r="B152" s="85"/>
      <c r="C152" s="271"/>
      <c r="D152" s="409"/>
      <c r="E152" s="362"/>
      <c r="F152" s="413"/>
      <c r="G152" s="414"/>
      <c r="H152" s="414"/>
      <c r="I152" s="414"/>
      <c r="J152" s="414"/>
      <c r="K152" s="415"/>
      <c r="L152" s="416"/>
      <c r="M152" s="275"/>
      <c r="N152" s="412"/>
      <c r="O152" s="198"/>
      <c r="P152" s="93"/>
      <c r="Q152" s="202"/>
      <c r="R152" s="91"/>
      <c r="S152" s="92" t="str">
        <f>IF(R153="","",IF(Q153="",P153/R153,P153/(Q153*R153)))</f>
        <v/>
      </c>
      <c r="T152" s="200"/>
      <c r="U152" s="203" t="str">
        <f>IF(OR(BA152="",S152=""),"",S152*1000*T152/(SQRT(BA150)*BA152))</f>
        <v/>
      </c>
      <c r="V152" s="94" t="str">
        <f>IF(AND(N(U150)=0,N(U151)=0,N(U152)=0,N(U153)=0),"",V150*(P150*R150*T150+P151*R151*T151+P152*R152*T152+P153*R153*T153)/(P150*T150+P151*T151+P152*T152+P153*T153))</f>
        <v/>
      </c>
      <c r="W152" s="276" t="str">
        <f>IF(AND(N(AP152)=0,N(AP153)=0,N(AP151)=0),"",IF(AP153&gt;=0,COS(ATAN(AP153/AP152)),-COS(ATAN(AP153/AP152))))</f>
        <v/>
      </c>
      <c r="X152" s="95"/>
      <c r="Y152" s="204"/>
      <c r="Z152" s="96"/>
      <c r="AA152" s="97"/>
      <c r="AB152" s="98"/>
      <c r="AC152" s="204"/>
      <c r="AD152" s="96"/>
      <c r="AE152" s="99"/>
      <c r="AF152" s="236" t="str">
        <f>IF(OR(AF150="",AG146&lt;&gt;""),"",BA152/SQRT(AW152^2+AW153^2))</f>
        <v/>
      </c>
      <c r="AG152" s="274" t="str">
        <f>IF(AG150="","",100*((BA152/AQ151)-AG150)/(BA152/AQ151))</f>
        <v/>
      </c>
      <c r="AH152" s="275"/>
      <c r="AI152" s="261"/>
      <c r="AJ152" s="262"/>
      <c r="AK152" s="264"/>
      <c r="AL152" s="188"/>
      <c r="AM152" s="28"/>
      <c r="AN152" s="222" t="b">
        <f>IF(BA150="","",IF(AND(BA150=3,F152=50,L150="oil cooled type"),VLOOKUP(L152,変３,2,FALSE),IF(AND(BA150=3,F152=50,L150="(F)molded type"),VLOOKUP(L152,変３,7,FALSE),IF(AND(BA150=3,F152=60,L150="oil cooled type"),VLOOKUP(L152,変３,12,FALSE),IF(AND(BA150=3,F152=60,L150="(F)molded type"),VLOOKUP(L152,変３,17,FALSE),FALSE)))))</f>
        <v>0</v>
      </c>
      <c r="AO152" s="215" t="str">
        <f>IF(AND(L146="",N(AY150)&lt;10^29),AY150,"")</f>
        <v/>
      </c>
      <c r="AP152" s="223" t="str">
        <f>IF(V150="","",IF(AND(N(V152)=0,N(AP151)=0),"",AQ152/((AQ152*AP151)^2+(AP151*AQ153-1)^2)))</f>
        <v/>
      </c>
      <c r="AQ152" s="213">
        <f>IF(N(V152)=0,10^30,V152)</f>
        <v>1E+30</v>
      </c>
      <c r="AR152" s="215" t="str">
        <f>IF(AB150="","",IF(AB150="600V IV",VLOOKUP(AB152,ＩＶ,2,FALSE),IF(AB150="600V CV-T",VLOOKUP(AB152,ＣＶＴ,2,FALSE),IF(OR(AB150="600V CV-1C",AB150="600V CV-2C",AB150="600V CV-3C",AB150="600V CV-4C"),VLOOKUP(AB152,ＣＶ２３Ｃ,2,FALSE),VLOOKUP(AB152,ＣＵＳＥＲ,2,FALSE)))))</f>
        <v/>
      </c>
      <c r="AS152" s="213" t="str">
        <f>IF(OR(AND(AS410="",AS411=""),AND(D150="",D410&lt;&gt;"")),AS150,(AS150*(AT410^2+AT411^2)+AT410*(AS150^2+AS151^2))/((AS150+AT410)^2+(AS151+AT411)^2))</f>
        <v/>
      </c>
      <c r="AT152" s="216" t="str">
        <f>IF(X153="",AS152,N(AS152)+(X153/1000))</f>
        <v/>
      </c>
      <c r="AU152" s="216" t="str">
        <f>IF(AU150="","",(AT152*(AU150^2+AU151^2)+AU150*(AT152^2+AT153^2))/((AT152+AU150)^2+(AT153+AU151)^2))</f>
        <v/>
      </c>
      <c r="AV152" s="216">
        <f>IF(BA152=0,1,0)</f>
        <v>1</v>
      </c>
      <c r="AW152" s="217" t="str">
        <f>IF(AO152="","",AW150+AO152)</f>
        <v/>
      </c>
      <c r="AX152" s="218" t="str">
        <f>IF(AND(AX148="",AW152&lt;&gt;""),BA152*SQRT(AW150^2+AW151^2)/SQRT(AW152^2+AW153^2),IF(BA152&lt;&gt;0,AX148,""))</f>
        <v/>
      </c>
      <c r="AY152" s="224">
        <f>IF(L152="",10^30,SQRT(BA150)*(BA152^2)*(N(AN150)+N(AN152)+N(AO150)+N(AV150))/(100000*L152*M150))</f>
        <v>1E+30</v>
      </c>
      <c r="AZ152" s="225"/>
      <c r="BA152" s="220">
        <f>IF(AND(J150="",SUM(S150:S153)&lt;&gt;0),BA148,J150)</f>
        <v>0</v>
      </c>
      <c r="BB152" s="221">
        <f t="shared" si="3"/>
        <v>0</v>
      </c>
      <c r="BC152" s="232"/>
      <c r="BD152" s="232"/>
    </row>
    <row r="153" spans="1:56" ht="15" customHeight="1">
      <c r="A153" s="85"/>
      <c r="B153" s="85"/>
      <c r="C153" s="271"/>
      <c r="D153" s="417"/>
      <c r="E153" s="418"/>
      <c r="F153" s="419"/>
      <c r="G153" s="270"/>
      <c r="H153" s="270"/>
      <c r="I153" s="270"/>
      <c r="J153" s="270"/>
      <c r="K153" s="268"/>
      <c r="L153" s="251" t="str">
        <f>IF(M150="","",L152*1000*M150/(SQRT(BA150)*BA152))</f>
        <v/>
      </c>
      <c r="M153" s="252"/>
      <c r="N153" s="277"/>
      <c r="O153" s="205"/>
      <c r="P153" s="106"/>
      <c r="Q153" s="206"/>
      <c r="R153" s="107"/>
      <c r="S153" s="108" t="str">
        <f>IF(R153="","",IF(Q153="",P153/R153,P153/(Q153*R153)))</f>
        <v/>
      </c>
      <c r="T153" s="207"/>
      <c r="U153" s="208" t="str">
        <f>IF(OR(BA152="",S153=""),"",S153*1000*T153/(SQRT(BA150)*BA152))</f>
        <v/>
      </c>
      <c r="V153" s="109" t="str">
        <f>IF(AND(N(U150)=0,N(U151)=0,N(U152)=0,N(U153)=0),"",IF(V150&gt;=0,SQRT(ABS(V150^2-V152^2)),-SQRT(V150^2-V152^2)))</f>
        <v/>
      </c>
      <c r="W153" s="277"/>
      <c r="X153" s="278" t="str">
        <f>IF(Y152="","",AQ150*Z152*AR150*((1+0.00393*(F153-20))/1.2751)/Y152)</f>
        <v/>
      </c>
      <c r="Y153" s="270"/>
      <c r="Z153" s="267" t="str">
        <f>IF(Y152="","",(BA153/50)*AQ150*Z152*AR151/Y152)</f>
        <v/>
      </c>
      <c r="AA153" s="252"/>
      <c r="AB153" s="279" t="str">
        <f>IF(AC152="","",AQ150*AD152*AR152*((1+0.00393*(F153-20))/1.2751)/AC152)</f>
        <v/>
      </c>
      <c r="AC153" s="270"/>
      <c r="AD153" s="267" t="str">
        <f>IF(AC152="","",(BA153/50)*AQ150*AD152*AR153/AC152)</f>
        <v/>
      </c>
      <c r="AE153" s="268"/>
      <c r="AF153" s="237" t="str">
        <f>IF(AND(AX150&lt;&gt;"",D150=""),AX150,"")</f>
        <v/>
      </c>
      <c r="AG153" s="269" t="str">
        <f>IF(AP152="","",AP152)</f>
        <v/>
      </c>
      <c r="AH153" s="270"/>
      <c r="AI153" s="238" t="str">
        <f>IF(AP153="","",AP153)</f>
        <v/>
      </c>
      <c r="AJ153" s="263"/>
      <c r="AK153" s="253"/>
      <c r="AL153" s="189"/>
      <c r="AM153" s="28"/>
      <c r="AN153" s="226" t="b">
        <f>IF(BA150="","",IF(AND(BA150=3,F152=50,L150="oil cooled type"),VLOOKUP(L152,変３,3,FALSE),IF(AND(BA150=3,F152=50,L150="(F)molded type"),VLOOKUP(L152,変３,8,FALSE),IF(AND(BA150=3,F152=60,L150="oil cooled type"),VLOOKUP(L152,変３,13,FALSE),IF(AND(BA150=3,F152=60,L150="(F)molded type"),VLOOKUP(L152,変３,18,FALSE),FALSE)))))</f>
        <v>0</v>
      </c>
      <c r="AO153" s="226" t="str">
        <f>IF(AND(L146="",N(AY151)&lt;10^29),AY151,"")</f>
        <v/>
      </c>
      <c r="AP153" s="227" t="str">
        <f>IF(V150="","",IF(AND(N(V153)=0,N(AP151)=0),0,(AQ153-AP151*(AQ152^2+AQ153^2))/((AQ152*AP151)^2+(AP151*AQ153-1)^2)))</f>
        <v/>
      </c>
      <c r="AQ153" s="228">
        <f>IF(N(V153)=0,10^30,V153)</f>
        <v>1E+30</v>
      </c>
      <c r="AR153" s="226" t="str">
        <f>IF(AB150="","",IF(AB150="600V IV",VLOOKUP(AB152,ＩＶ,3,FALSE),IF(AB150="600V CV-T",VLOOKUP(AB152,ＣＶＴ,3,FALSE),IF(OR(AB150="600V CV-1C",AB150="600V CV-2C",AB150="600V CV-3C",AB150="600V CV-4C"),VLOOKUP(AB152,ＣＶ２３Ｃ,3,FALSE),VLOOKUP(AB152,ＣＵＳＥＲ,3,FALSE)))))</f>
        <v/>
      </c>
      <c r="AS153" s="228" t="str">
        <f>IF(OR(AND(AS410="",AS411=""),AND(D150="",D410&lt;&gt;"")),AS151,(AS151*(AT410^2+AT411^2)+AT411*(AS150^2+AS151^2))/((AS150+AT410)^2+(AS151+AT411)^2))</f>
        <v/>
      </c>
      <c r="AT153" s="229" t="str">
        <f>IF(Z153="",AS153,N(AS153)+(Z153/1000))</f>
        <v/>
      </c>
      <c r="AU153" s="229" t="str">
        <f>IF(AU151="","",(AT153*(AU150^2+AU151^2)+AU151*(AT152^2+AT153^2))/((AT152+AU150)^2+(AT153+AU151)^2))</f>
        <v/>
      </c>
      <c r="AV153" s="229">
        <f>AV149+AV152</f>
        <v>34</v>
      </c>
      <c r="AW153" s="228" t="str">
        <f>IF(AO153="","",AW151+AO153)</f>
        <v/>
      </c>
      <c r="AX153" s="230"/>
      <c r="AY153" s="224">
        <f>IF(L152="",10^30,SQRT(BA150)*(BA152^2)*(N(AN151)+N(AN153)+N(AO151)+N(AV151))/(100000*L152*M150))</f>
        <v>1E+30</v>
      </c>
      <c r="AZ153" s="225"/>
      <c r="BA153" s="220">
        <f>IF(AND(F152="",SUM(S150:S153)&lt;&gt;0),BA149,F152)</f>
        <v>0</v>
      </c>
      <c r="BB153" s="221">
        <f t="shared" si="3"/>
        <v>0</v>
      </c>
      <c r="BC153" s="232"/>
      <c r="BD153" s="232"/>
    </row>
    <row r="154" spans="1:56" ht="15" customHeight="1">
      <c r="B154" s="85"/>
      <c r="C154" s="271" t="str">
        <f>IF(BC154=1,"●","・")</f>
        <v>・</v>
      </c>
      <c r="D154" s="402"/>
      <c r="E154" s="403"/>
      <c r="F154" s="404"/>
      <c r="G154" s="265" t="str">
        <f>IF(F154="","","φ")</f>
        <v/>
      </c>
      <c r="H154" s="405"/>
      <c r="I154" s="265" t="str">
        <f>IF(H154="","","W")</f>
        <v/>
      </c>
      <c r="J154" s="405"/>
      <c r="K154" s="272" t="str">
        <f>IF(J154="","","V")</f>
        <v/>
      </c>
      <c r="L154" s="406"/>
      <c r="M154" s="407"/>
      <c r="N154" s="408"/>
      <c r="O154" s="193"/>
      <c r="P154" s="86"/>
      <c r="Q154" s="194"/>
      <c r="R154" s="87"/>
      <c r="S154" s="88" t="str">
        <f>IF(R154="","",IF(Q154="",P154/R154,P154/(Q154*R154)))</f>
        <v/>
      </c>
      <c r="T154" s="195"/>
      <c r="U154" s="196" t="str">
        <f>IF(OR(BA156="",S154=""),"",S154*1000*T154/(SQRT(BA154)*BA156))</f>
        <v/>
      </c>
      <c r="V154" s="254" t="str">
        <f>IF(AND(N(U154)=0,N(U155)=0,N(U156)=0,N(U157)=0),"",BA156/(SUM(U154:U157)))</f>
        <v/>
      </c>
      <c r="W154" s="280"/>
      <c r="X154" s="281"/>
      <c r="Y154" s="242"/>
      <c r="Z154" s="243"/>
      <c r="AA154" s="239"/>
      <c r="AB154" s="241"/>
      <c r="AC154" s="242"/>
      <c r="AD154" s="243"/>
      <c r="AE154" s="247"/>
      <c r="AF154" s="233" t="str">
        <f>IF(OR(AND(AF150="",N(BA152)=0,BA156&lt;&gt;0),D154&lt;&gt;""),AX156/AQ155,"")</f>
        <v/>
      </c>
      <c r="AG154" s="249" t="str">
        <f>IF(BA156=0,"",IF(AD156="",AX154,IF(AND(D154&lt;&gt;"",AU154=""),AX156*SQRT(AP156^2+AP157^2)/SQRT(AS154^2+AS155^2)/AQ155,AX154*SQRT(AP156^2+AP157^2)/SQRT(AS154^2+AS155^2))))</f>
        <v/>
      </c>
      <c r="AH154" s="250"/>
      <c r="AI154" s="234" t="str">
        <f>IF(AG154="","",IF(N(U154)&lt;0,-AX154*AQ155/SQRT(AS154^2+AS155^2),AX154*AQ155/SQRT(AS154^2+AS155^2)))</f>
        <v/>
      </c>
      <c r="AJ154" s="256"/>
      <c r="AK154" s="257"/>
      <c r="AL154" s="186"/>
      <c r="AM154" s="28"/>
      <c r="AN154" s="213" t="b">
        <f>IF(BA154="","",IF(AND(BA154=1,F156=50,L154="oil cooled type"),VLOOKUP(L156,変１,2,FALSE),IF(AND(BA154=1,F156=50,L154="(F)molded type"),VLOOKUP(L156,変１,7,FALSE),IF(AND(BA154=1,F156=60,L154="oil cooled type"),VLOOKUP(L156,変１,12,FALSE),IF(AND(BA154=1,F156=60,L154="(F)molded type"),VLOOKUP(L156,変１,17,FALSE),FALSE)))))</f>
        <v>0</v>
      </c>
      <c r="AO154" s="213">
        <f>IF(ISNA(VLOOKUP(L156,変ＵＳＥＲ,2,FALSE)),0,VLOOKUP(L156,変ＵＳＥＲ,2,FALSE))</f>
        <v>0</v>
      </c>
      <c r="AP154" s="214">
        <f>IF(N154="",0,N154*1000/BA156^2/SQRT(BA154))</f>
        <v>0</v>
      </c>
      <c r="AQ154" s="213" t="b">
        <f>IF(BA154=1,2,IF(BA154=3,SQRT(3),FALSE))</f>
        <v>0</v>
      </c>
      <c r="AR154" s="215" t="str">
        <f>IF(X154="","",IF(X154="600V IV",VLOOKUP(X156,ＩＶ,2,FALSE),IF(X154="600V CV-T",VLOOKUP(X156,ＣＶＴ,2,FALSE),IF(OR(X154="600V CV-1C",X154="600V CV-2C",X154="600V CV-3C",X154="600V CV-4C"),VLOOKUP(X156,ＣＶ２３Ｃ,2,FALSE),VLOOKUP(X156,ＣＵＳＥＲ,2,FALSE)))))</f>
        <v/>
      </c>
      <c r="AS154" s="213" t="str">
        <f>IF(AB157="",AP156,AP156+(AB157/1000))</f>
        <v/>
      </c>
      <c r="AT154" s="216" t="str">
        <f>IF(AU156="",AT156,AU156)</f>
        <v/>
      </c>
      <c r="AU154" s="216" t="str">
        <f>IF(D154="","",IF(AND(D414="",#REF!&lt;&gt;"",AV157=#REF!),#REF!,IF(AND(D414="",#REF!="",#REF!&lt;&gt;"",AV417=#REF!),#REF!,IF(AND(D414="",#REF!="",#REF!="",#REF!&lt;&gt;"",#REF!=#REF!),#REF!,IF(AND(D414="",#REF!="",#REF!="",#REF!="",D418&lt;&gt;"",#REF!=#REF!),AT418,IF(AND(D414="",#REF!="",#REF!="",#REF!="",D418="",#REF!&lt;&gt;"",#REF!=AV422),#REF!,IF(AND(D414="",#REF!="",#REF!="",#REF!="",D418="",#REF!="",D423&lt;&gt;"",#REF!=AV426),AT423,"")))))))</f>
        <v/>
      </c>
      <c r="AV154" s="216" t="str">
        <f>IF(L154="ACG",IF(ISNA(VLOOKUP(L156,ＡＣＧ,2,FALSE)),0,VLOOKUP(L156,ＡＣＧ,2,FALSE)),"")</f>
        <v/>
      </c>
      <c r="AW154" s="217" t="str">
        <f>IF(AT154="","",AT154/((AT154*AP154)^2+(AT155*AP154-1)^2))</f>
        <v/>
      </c>
      <c r="AX154" s="218" t="str">
        <f>IF(BA156=0,"",IF(OR(AX150="",AF154&lt;&gt;""),AF154*SQRT(AS156^2+AS157^2)/SQRT(AT156^2+AT157^2),AX150*SQRT(AS156^2+AS157^2)/SQRT(AT156^2+AT157^2)))</f>
        <v/>
      </c>
      <c r="AY154" s="219">
        <f>IF(N(AY156)=10^30,10^30,IF(N(AY416)=10^30,(N(AY156)*(N(AY416)^2+N(AY417)^2)+N(AY416)*(N(AY156)^2+N(AY157)^2))/((N(AY156)+N(AY416))^2+(N(AY157)+N(AY417))^2),(N(AY156)*(N(AY414)^2+N(AY415)^2)+N(AY414)*(N(AY156)^2+N(AY157)^2))/((N(AY156)+N(AY414))^2+(N(AY157)+N(AY415))^2)))</f>
        <v>1E+30</v>
      </c>
      <c r="AZ154" s="23"/>
      <c r="BA154" s="220">
        <f>IF(AND(F154="",SUM(S154:S157)&lt;&gt;0),BA150,F154)</f>
        <v>0</v>
      </c>
      <c r="BB154" s="221">
        <f t="shared" si="3"/>
        <v>0</v>
      </c>
      <c r="BC154" s="232">
        <f>IF(OR(E154="",F157="",AND(OR(P154="",Q154="",R154="",T154=""),OR(P155="",Q155="",R155="",T155=""),OR(P156="",Q156="",R156="",T156=""),OR(P157="",Q157="",R157="",T157="")),AND(OR(X154="",X156="",Y156="",Z156=""),OR(AB154="",AB156="",AC156="",AD156=""))),0,1)</f>
        <v>0</v>
      </c>
      <c r="BD154" s="232">
        <f>BC154+BD150</f>
        <v>0</v>
      </c>
    </row>
    <row r="155" spans="1:56" ht="15" customHeight="1">
      <c r="B155" s="85"/>
      <c r="C155" s="271"/>
      <c r="D155" s="409"/>
      <c r="E155" s="362"/>
      <c r="F155" s="410"/>
      <c r="G155" s="266"/>
      <c r="H155" s="266"/>
      <c r="I155" s="266"/>
      <c r="J155" s="266"/>
      <c r="K155" s="273"/>
      <c r="L155" s="411"/>
      <c r="M155" s="197" t="str">
        <f>IF(L154="ACG",SQRT(AV154^2+AV155^2),IF(L156="","",IF(OR(L154="oil cooled type",L154="(F)molded type"),IF(BA154=1,SQRT(AN154^2+AN155^2),IF(BA154=3,SQRT(AN156^2+AN157^2))),SQRT(AO154^2+AO155^2))))</f>
        <v/>
      </c>
      <c r="N155" s="412"/>
      <c r="O155" s="198"/>
      <c r="P155" s="90"/>
      <c r="Q155" s="199"/>
      <c r="R155" s="91"/>
      <c r="S155" s="92" t="str">
        <f>IF(R156="","",IF(Q156="",P156/R156,P156/(Q156*R156)))</f>
        <v/>
      </c>
      <c r="T155" s="200"/>
      <c r="U155" s="201" t="str">
        <f>IF(OR(BA156="",S155=""),"",S155*1000*T155/(SQRT(BA154)*BA156))</f>
        <v/>
      </c>
      <c r="V155" s="255"/>
      <c r="W155" s="248"/>
      <c r="X155" s="258"/>
      <c r="Y155" s="245"/>
      <c r="Z155" s="246"/>
      <c r="AA155" s="240"/>
      <c r="AB155" s="244"/>
      <c r="AC155" s="245"/>
      <c r="AD155" s="246"/>
      <c r="AE155" s="248"/>
      <c r="AF155" s="235" t="str">
        <f>IF(OR(AF154="",AG150&lt;&gt;""),"",AF154*AQ155/SQRT(AT154^2+AT155^2))</f>
        <v/>
      </c>
      <c r="AG155" s="274" t="str">
        <f>IF(AG154="","",100*AG154*AQ155/BA156)</f>
        <v/>
      </c>
      <c r="AH155" s="275"/>
      <c r="AI155" s="260" t="str">
        <f>IF(BA156=0,"",IF(AI150="",AX156/SQRT(AT154^2+AT155^2),IF(AI158="","",IF(AT154&lt;0,-AX154*AQ151/SQRT(AT154^2+AT155^2),AX154*AQ151/SQRT(AT154^2+AT155^2)))))</f>
        <v/>
      </c>
      <c r="AJ155" s="258"/>
      <c r="AK155" s="259"/>
      <c r="AL155" s="187"/>
      <c r="AM155" s="28"/>
      <c r="AN155" s="213" t="b">
        <f>IF(BA154="","",IF(AND(BA154=1,F156=50,L154="oil cooled type"),VLOOKUP(L156,変１,3,FALSE),IF(AND(BA154=1,F156=50,L154="(F)molded type"),VLOOKUP(L156,変１,8,FALSE),IF(AND(BA154=1,F156=60,L154="oil cooled type"),VLOOKUP(L156,変１,13,FALSE),IF(AND(BA154=1,F156=60,L154="(F)molded type"),VLOOKUP(L156,変１,18,FALSE),FALSE)))))</f>
        <v>0</v>
      </c>
      <c r="AO155" s="213">
        <f>IF(ISNA(VLOOKUP(L156,変ＵＳＥＲ,3,FALSE)),0,VLOOKUP(L156,変ＵＳＥＲ,3,FALSE)*BA157/50)</f>
        <v>0</v>
      </c>
      <c r="AP155" s="214">
        <f>IF(W154="",0,W154*1000/BA156^2/SQRT(BA154))</f>
        <v>0</v>
      </c>
      <c r="AQ155" s="213">
        <f>IF(AND(BA154=1,BA155=2),1,IF(AND(BA154=3,BA155=3),1,IF(AND(BA154=1,BA155=3),2,IF(AND(BA154=3,BA155=4)*OR(BB154=1,BB155=1,BB156=1,BB157=1),1,SQRT(3)))))</f>
        <v>1.7320508075688772</v>
      </c>
      <c r="AR155" s="215" t="str">
        <f>IF(X154="","",IF(X154="600V IV",VLOOKUP(X156,ＩＶ,3,FALSE),IF(X154="600V CV-T",VLOOKUP(X156,ＣＶＴ,3,FALSE),IF(OR(X154="600V CV-1C",X154="600V CV-2C",X154="600V CV-3C",X154="600V CV-4C"),VLOOKUP(X156,ＣＶ２３Ｃ,3,FALSE),VLOOKUP(X156,ＣＵＳＥＲ,3,FALSE)))))</f>
        <v/>
      </c>
      <c r="AS155" s="213" t="str">
        <f>IF(AD157="",AP157,AP157+(AD157/1000))</f>
        <v/>
      </c>
      <c r="AT155" s="216" t="str">
        <f>IF(AU157="",AT157,AU157)</f>
        <v/>
      </c>
      <c r="AU155" s="216" t="str">
        <f>IF(D154="","",IF(AND(D414="",#REF!&lt;&gt;"",AV157=#REF!),#REF!,IF(AND(D414="",#REF!="",#REF!&lt;&gt;"",AV417=#REF!),#REF!,IF(AND(D414="",#REF!="",#REF!="",#REF!&lt;&gt;"",#REF!=#REF!),#REF!,IF(AND(D414="",#REF!="",#REF!="",#REF!="",D418&lt;&gt;"",#REF!=#REF!),AT419,IF(AND(D414="",#REF!="",#REF!="",#REF!="",D418="",#REF!&lt;&gt;"",#REF!=AV422),AT420,IF(AND(D414="",#REF!="",#REF!="",#REF!="",D418="",#REF!="",D423&lt;&gt;"",#REF!=AV426),AT424,"")))))))</f>
        <v/>
      </c>
      <c r="AV155" s="215" t="str">
        <f>IF(L154="ACG",IF(ISNA(VLOOKUP(L156,ＡＣＧ,3,FALSE)),0,VLOOKUP(L156,ＡＣＧ,3,FALSE)*BA157/50),"")</f>
        <v/>
      </c>
      <c r="AW155" s="217" t="str">
        <f>IF(AT155="","",(AT155-AP154*(AT154^2+AT155^2))/((AT154*AP154)^2+(AP154*AT155-1)^2))</f>
        <v/>
      </c>
      <c r="AX155" s="218"/>
      <c r="AY155" s="219">
        <f>IF(N(AY157)=10^30,10^30,IF(N(AY417)=10^30,(N(AY157)*(N(AY416)^2+N(AY417)^2)+N(AY417)*(N(AY156)^2+N(AY157)^2))/((N(AY156)+N(AY416))^2+(N(AY157)+N(AY417))^2),(N(AY157)*(N(AY414)^2+N(AY415)^2)+N(AY415)*(N(AY156)^2+N(AY157)^2))/((N(AY156)+N(AY414))^2+(N(AY157)+N(AY415))^2)))</f>
        <v>1E+30</v>
      </c>
      <c r="AZ155" s="23"/>
      <c r="BA155" s="220">
        <f>IF(AND(H154="",SUM(S154:S157)&lt;&gt;0),BA151,H154)</f>
        <v>0</v>
      </c>
      <c r="BB155" s="221">
        <f t="shared" si="3"/>
        <v>0</v>
      </c>
      <c r="BC155" s="232"/>
      <c r="BD155" s="232"/>
    </row>
    <row r="156" spans="1:56" ht="15" customHeight="1">
      <c r="B156" s="85"/>
      <c r="C156" s="271"/>
      <c r="D156" s="409"/>
      <c r="E156" s="362"/>
      <c r="F156" s="413"/>
      <c r="G156" s="414"/>
      <c r="H156" s="414"/>
      <c r="I156" s="414"/>
      <c r="J156" s="414"/>
      <c r="K156" s="415"/>
      <c r="L156" s="416"/>
      <c r="M156" s="275"/>
      <c r="N156" s="412"/>
      <c r="O156" s="198"/>
      <c r="P156" s="93"/>
      <c r="Q156" s="202"/>
      <c r="R156" s="91"/>
      <c r="S156" s="92" t="str">
        <f>IF(R157="","",IF(Q157="",P157/R157,P157/(Q157*R157)))</f>
        <v/>
      </c>
      <c r="T156" s="200"/>
      <c r="U156" s="203" t="str">
        <f>IF(OR(BA156="",S156=""),"",S156*1000*T156/(SQRT(BA154)*BA156))</f>
        <v/>
      </c>
      <c r="V156" s="94" t="str">
        <f>IF(AND(N(U154)=0,N(U155)=0,N(U156)=0,N(U157)=0),"",V154*(P154*R154*T154+P155*R155*T155+P156*R156*T156+P157*R157*T157)/(P154*T154+P155*T155+P156*T156+P157*T157))</f>
        <v/>
      </c>
      <c r="W156" s="276" t="str">
        <f>IF(AND(N(AP156)=0,N(AP157)=0,N(AP155)=0),"",IF(AP157&gt;=0,COS(ATAN(AP157/AP156)),-COS(ATAN(AP157/AP156))))</f>
        <v/>
      </c>
      <c r="X156" s="95"/>
      <c r="Y156" s="204"/>
      <c r="Z156" s="96"/>
      <c r="AA156" s="97"/>
      <c r="AB156" s="98"/>
      <c r="AC156" s="204"/>
      <c r="AD156" s="96"/>
      <c r="AE156" s="99"/>
      <c r="AF156" s="236" t="str">
        <f>IF(OR(AF154="",AG150&lt;&gt;""),"",BA156/SQRT(AW156^2+AW157^2))</f>
        <v/>
      </c>
      <c r="AG156" s="274" t="str">
        <f>IF(AG154="","",100*((BA156/AQ155)-AG154)/(BA156/AQ155))</f>
        <v/>
      </c>
      <c r="AH156" s="275"/>
      <c r="AI156" s="261"/>
      <c r="AJ156" s="262"/>
      <c r="AK156" s="264"/>
      <c r="AL156" s="188"/>
      <c r="AM156" s="28"/>
      <c r="AN156" s="222" t="b">
        <f>IF(BA154="","",IF(AND(BA154=3,F156=50,L154="oil cooled type"),VLOOKUP(L156,変３,2,FALSE),IF(AND(BA154=3,F156=50,L154="(F)molded type"),VLOOKUP(L156,変３,7,FALSE),IF(AND(BA154=3,F156=60,L154="oil cooled type"),VLOOKUP(L156,変３,12,FALSE),IF(AND(BA154=3,F156=60,L154="(F)molded type"),VLOOKUP(L156,変３,17,FALSE),FALSE)))))</f>
        <v>0</v>
      </c>
      <c r="AO156" s="215" t="str">
        <f>IF(AND(L150="",N(AY154)&lt;10^29),AY154,"")</f>
        <v/>
      </c>
      <c r="AP156" s="223" t="str">
        <f>IF(V154="","",IF(AND(N(V156)=0,N(AP155)=0),"",AQ156/((AQ156*AP155)^2+(AP155*AQ157-1)^2)))</f>
        <v/>
      </c>
      <c r="AQ156" s="213">
        <f>IF(N(V156)=0,10^30,V156)</f>
        <v>1E+30</v>
      </c>
      <c r="AR156" s="215" t="str">
        <f>IF(AB154="","",IF(AB154="600V IV",VLOOKUP(AB156,ＩＶ,2,FALSE),IF(AB154="600V CV-T",VLOOKUP(AB156,ＣＶＴ,2,FALSE),IF(OR(AB154="600V CV-1C",AB154="600V CV-2C",AB154="600V CV-3C",AB154="600V CV-4C"),VLOOKUP(AB156,ＣＶ２３Ｃ,2,FALSE),VLOOKUP(AB156,ＣＵＳＥＲ,2,FALSE)))))</f>
        <v/>
      </c>
      <c r="AS156" s="213" t="str">
        <f>IF(OR(AND(AS414="",AS415=""),AND(D154="",D414&lt;&gt;"")),AS154,(AS154*(AT414^2+AT415^2)+AT414*(AS154^2+AS155^2))/((AS154+AT414)^2+(AS155+AT415)^2))</f>
        <v/>
      </c>
      <c r="AT156" s="216" t="str">
        <f>IF(X157="",AS156,N(AS156)+(X157/1000))</f>
        <v/>
      </c>
      <c r="AU156" s="216" t="str">
        <f>IF(AU154="","",(AT156*(AU154^2+AU155^2)+AU154*(AT156^2+AT157^2))/((AT156+AU154)^2+(AT157+AU155)^2))</f>
        <v/>
      </c>
      <c r="AV156" s="216">
        <f>IF(BA156=0,1,0)</f>
        <v>1</v>
      </c>
      <c r="AW156" s="217" t="str">
        <f>IF(AO156="","",AW154+AO156)</f>
        <v/>
      </c>
      <c r="AX156" s="218" t="str">
        <f>IF(AND(AX152="",AW156&lt;&gt;""),BA156*SQRT(AW154^2+AW155^2)/SQRT(AW156^2+AW157^2),IF(BA156&lt;&gt;0,AX152,""))</f>
        <v/>
      </c>
      <c r="AY156" s="224">
        <f>IF(L156="",10^30,SQRT(BA154)*(BA156^2)*(N(AN154)+N(AN156)+N(AO154)+N(AV154))/(100000*L156*M154))</f>
        <v>1E+30</v>
      </c>
      <c r="AZ156" s="225"/>
      <c r="BA156" s="220">
        <f>IF(AND(J154="",SUM(S154:S157)&lt;&gt;0),BA152,J154)</f>
        <v>0</v>
      </c>
      <c r="BB156" s="221">
        <f t="shared" si="3"/>
        <v>0</v>
      </c>
      <c r="BC156" s="232"/>
      <c r="BD156" s="232"/>
    </row>
    <row r="157" spans="1:56" ht="15" customHeight="1">
      <c r="A157" s="85"/>
      <c r="B157" s="85"/>
      <c r="C157" s="271"/>
      <c r="D157" s="417"/>
      <c r="E157" s="418"/>
      <c r="F157" s="419"/>
      <c r="G157" s="270"/>
      <c r="H157" s="270"/>
      <c r="I157" s="270"/>
      <c r="J157" s="270"/>
      <c r="K157" s="268"/>
      <c r="L157" s="251" t="str">
        <f>IF(M154="","",L156*1000*M154/(SQRT(BA154)*BA156))</f>
        <v/>
      </c>
      <c r="M157" s="252"/>
      <c r="N157" s="277"/>
      <c r="O157" s="205"/>
      <c r="P157" s="106"/>
      <c r="Q157" s="206"/>
      <c r="R157" s="107"/>
      <c r="S157" s="108" t="str">
        <f>IF(R157="","",IF(Q157="",P157/R157,P157/(Q157*R157)))</f>
        <v/>
      </c>
      <c r="T157" s="207"/>
      <c r="U157" s="208" t="str">
        <f>IF(OR(BA156="",S157=""),"",S157*1000*T157/(SQRT(BA154)*BA156))</f>
        <v/>
      </c>
      <c r="V157" s="109" t="str">
        <f>IF(AND(N(U154)=0,N(U155)=0,N(U156)=0,N(U157)=0),"",IF(V154&gt;=0,SQRT(ABS(V154^2-V156^2)),-SQRT(V154^2-V156^2)))</f>
        <v/>
      </c>
      <c r="W157" s="277"/>
      <c r="X157" s="278" t="str">
        <f>IF(Y156="","",AQ154*Z156*AR154*((1+0.00393*(F157-20))/1.2751)/Y156)</f>
        <v/>
      </c>
      <c r="Y157" s="270"/>
      <c r="Z157" s="267" t="str">
        <f>IF(Y156="","",(BA157/50)*AQ154*Z156*AR155/Y156)</f>
        <v/>
      </c>
      <c r="AA157" s="252"/>
      <c r="AB157" s="279" t="str">
        <f>IF(AC156="","",AQ154*AD156*AR156*((1+0.00393*(F157-20))/1.2751)/AC156)</f>
        <v/>
      </c>
      <c r="AC157" s="270"/>
      <c r="AD157" s="267" t="str">
        <f>IF(AC156="","",(BA157/50)*AQ154*AD156*AR157/AC156)</f>
        <v/>
      </c>
      <c r="AE157" s="268"/>
      <c r="AF157" s="237" t="str">
        <f>IF(AND(AX154&lt;&gt;"",D154=""),AX154,"")</f>
        <v/>
      </c>
      <c r="AG157" s="269" t="str">
        <f>IF(AP156="","",AP156)</f>
        <v/>
      </c>
      <c r="AH157" s="270"/>
      <c r="AI157" s="238" t="str">
        <f>IF(AP157="","",AP157)</f>
        <v/>
      </c>
      <c r="AJ157" s="263"/>
      <c r="AK157" s="253"/>
      <c r="AL157" s="189"/>
      <c r="AM157" s="28"/>
      <c r="AN157" s="226" t="b">
        <f>IF(BA154="","",IF(AND(BA154=3,F156=50,L154="oil cooled type"),VLOOKUP(L156,変３,3,FALSE),IF(AND(BA154=3,F156=50,L154="(F)molded type"),VLOOKUP(L156,変３,8,FALSE),IF(AND(BA154=3,F156=60,L154="oil cooled type"),VLOOKUP(L156,変３,13,FALSE),IF(AND(BA154=3,F156=60,L154="(F)molded type"),VLOOKUP(L156,変３,18,FALSE),FALSE)))))</f>
        <v>0</v>
      </c>
      <c r="AO157" s="226" t="str">
        <f>IF(AND(L150="",N(AY155)&lt;10^29),AY155,"")</f>
        <v/>
      </c>
      <c r="AP157" s="227" t="str">
        <f>IF(V154="","",IF(AND(N(V157)=0,N(AP155)=0),0,(AQ157-AP155*(AQ156^2+AQ157^2))/((AQ156*AP155)^2+(AP155*AQ157-1)^2)))</f>
        <v/>
      </c>
      <c r="AQ157" s="228">
        <f>IF(N(V157)=0,10^30,V157)</f>
        <v>1E+30</v>
      </c>
      <c r="AR157" s="226" t="str">
        <f>IF(AB154="","",IF(AB154="600V IV",VLOOKUP(AB156,ＩＶ,3,FALSE),IF(AB154="600V CV-T",VLOOKUP(AB156,ＣＶＴ,3,FALSE),IF(OR(AB154="600V CV-1C",AB154="600V CV-2C",AB154="600V CV-3C",AB154="600V CV-4C"),VLOOKUP(AB156,ＣＶ２３Ｃ,3,FALSE),VLOOKUP(AB156,ＣＵＳＥＲ,3,FALSE)))))</f>
        <v/>
      </c>
      <c r="AS157" s="228" t="str">
        <f>IF(OR(AND(AS414="",AS415=""),AND(D154="",D414&lt;&gt;"")),AS155,(AS155*(AT414^2+AT415^2)+AT415*(AS154^2+AS155^2))/((AS154+AT414)^2+(AS155+AT415)^2))</f>
        <v/>
      </c>
      <c r="AT157" s="229" t="str">
        <f>IF(Z157="",AS157,N(AS157)+(Z157/1000))</f>
        <v/>
      </c>
      <c r="AU157" s="229" t="str">
        <f>IF(AU155="","",(AT157*(AU154^2+AU155^2)+AU155*(AT156^2+AT157^2))/((AT156+AU154)^2+(AT157+AU155)^2))</f>
        <v/>
      </c>
      <c r="AV157" s="229">
        <f>AV153+AV156</f>
        <v>35</v>
      </c>
      <c r="AW157" s="228" t="str">
        <f>IF(AO157="","",AW155+AO157)</f>
        <v/>
      </c>
      <c r="AX157" s="230"/>
      <c r="AY157" s="224">
        <f>IF(L156="",10^30,SQRT(BA154)*(BA156^2)*(N(AN155)+N(AN157)+N(AO155)+N(AV155))/(100000*L156*M154))</f>
        <v>1E+30</v>
      </c>
      <c r="AZ157" s="225"/>
      <c r="BA157" s="220">
        <f>IF(AND(F156="",SUM(S154:S157)&lt;&gt;0),BA153,F156)</f>
        <v>0</v>
      </c>
      <c r="BB157" s="221">
        <f t="shared" si="3"/>
        <v>0</v>
      </c>
      <c r="BC157" s="232"/>
      <c r="BD157" s="232"/>
    </row>
    <row r="158" spans="1:56" ht="15" customHeight="1">
      <c r="B158" s="85"/>
      <c r="C158" s="271" t="str">
        <f>IF(BC158=1,"●","・")</f>
        <v>・</v>
      </c>
      <c r="D158" s="402"/>
      <c r="E158" s="403"/>
      <c r="F158" s="404"/>
      <c r="G158" s="265" t="str">
        <f>IF(F158="","","φ")</f>
        <v/>
      </c>
      <c r="H158" s="405"/>
      <c r="I158" s="265" t="str">
        <f>IF(H158="","","W")</f>
        <v/>
      </c>
      <c r="J158" s="405"/>
      <c r="K158" s="272" t="str">
        <f>IF(J158="","","V")</f>
        <v/>
      </c>
      <c r="L158" s="406"/>
      <c r="M158" s="407"/>
      <c r="N158" s="408"/>
      <c r="O158" s="193"/>
      <c r="P158" s="86"/>
      <c r="Q158" s="194"/>
      <c r="R158" s="87"/>
      <c r="S158" s="88" t="str">
        <f>IF(R158="","",IF(Q158="",P158/R158,P158/(Q158*R158)))</f>
        <v/>
      </c>
      <c r="T158" s="195"/>
      <c r="U158" s="196" t="str">
        <f>IF(OR(BA160="",S158=""),"",S158*1000*T158/(SQRT(BA158)*BA160))</f>
        <v/>
      </c>
      <c r="V158" s="254" t="str">
        <f>IF(AND(N(U158)=0,N(U159)=0,N(U160)=0,N(U161)=0),"",BA160/(SUM(U158:U161)))</f>
        <v/>
      </c>
      <c r="W158" s="280"/>
      <c r="X158" s="281"/>
      <c r="Y158" s="242"/>
      <c r="Z158" s="243"/>
      <c r="AA158" s="239"/>
      <c r="AB158" s="241"/>
      <c r="AC158" s="242"/>
      <c r="AD158" s="243"/>
      <c r="AE158" s="247"/>
      <c r="AF158" s="233" t="str">
        <f>IF(OR(AND(AF154="",N(BA156)=0,BA160&lt;&gt;0),D158&lt;&gt;""),AX160/AQ159,"")</f>
        <v/>
      </c>
      <c r="AG158" s="249" t="str">
        <f>IF(BA160=0,"",IF(AD160="",AX158,IF(AND(D158&lt;&gt;"",AU158=""),AX160*SQRT(AP160^2+AP161^2)/SQRT(AS158^2+AS159^2)/AQ159,AX158*SQRT(AP160^2+AP161^2)/SQRT(AS158^2+AS159^2))))</f>
        <v/>
      </c>
      <c r="AH158" s="250"/>
      <c r="AI158" s="234" t="str">
        <f>IF(AG158="","",IF(N(U158)&lt;0,-AX158*AQ159/SQRT(AS158^2+AS159^2),AX158*AQ159/SQRT(AS158^2+AS159^2)))</f>
        <v/>
      </c>
      <c r="AJ158" s="256"/>
      <c r="AK158" s="257"/>
      <c r="AL158" s="186"/>
      <c r="AM158" s="28"/>
      <c r="AN158" s="213" t="b">
        <f>IF(BA158="","",IF(AND(BA158=1,F160=50,L158="oil cooled type"),VLOOKUP(L160,変１,2,FALSE),IF(AND(BA158=1,F160=50,L158="(F)molded type"),VLOOKUP(L160,変１,7,FALSE),IF(AND(BA158=1,F160=60,L158="oil cooled type"),VLOOKUP(L160,変１,12,FALSE),IF(AND(BA158=1,F160=60,L158="(F)molded type"),VLOOKUP(L160,変１,17,FALSE),FALSE)))))</f>
        <v>0</v>
      </c>
      <c r="AO158" s="213">
        <f>IF(ISNA(VLOOKUP(L160,変ＵＳＥＲ,2,FALSE)),0,VLOOKUP(L160,変ＵＳＥＲ,2,FALSE))</f>
        <v>0</v>
      </c>
      <c r="AP158" s="214">
        <f>IF(N158="",0,N158*1000/BA160^2/SQRT(BA158))</f>
        <v>0</v>
      </c>
      <c r="AQ158" s="213" t="b">
        <f>IF(BA158=1,2,IF(BA158=3,SQRT(3),FALSE))</f>
        <v>0</v>
      </c>
      <c r="AR158" s="215" t="str">
        <f>IF(X158="","",IF(X158="600V IV",VLOOKUP(X160,ＩＶ,2,FALSE),IF(X158="600V CV-T",VLOOKUP(X160,ＣＶＴ,2,FALSE),IF(OR(X158="600V CV-1C",X158="600V CV-2C",X158="600V CV-3C",X158="600V CV-4C"),VLOOKUP(X160,ＣＶ２３Ｃ,2,FALSE),VLOOKUP(X160,ＣＵＳＥＲ,2,FALSE)))))</f>
        <v/>
      </c>
      <c r="AS158" s="213" t="str">
        <f>IF(AB161="",AP160,AP160+(AB161/1000))</f>
        <v/>
      </c>
      <c r="AT158" s="216" t="str">
        <f>IF(AU160="",AT160,AU160)</f>
        <v/>
      </c>
      <c r="AU158" s="216" t="str">
        <f>IF(D158="","",IF(AND(D418="",#REF!&lt;&gt;"",AV161=#REF!),#REF!,IF(AND(D418="",#REF!="",#REF!&lt;&gt;"",AV421=#REF!),#REF!,IF(AND(D418="",#REF!="",#REF!="",#REF!&lt;&gt;"",#REF!=#REF!),#REF!,IF(AND(D418="",#REF!="",#REF!="",#REF!="",D422&lt;&gt;"",#REF!=#REF!),AT422,IF(AND(D418="",#REF!="",#REF!="",#REF!="",D422="",#REF!&lt;&gt;"",#REF!=AV426),#REF!,IF(AND(D418="",#REF!="",#REF!="",#REF!="",D422="",#REF!="",D427&lt;&gt;"",#REF!=AV430),AT427,"")))))))</f>
        <v/>
      </c>
      <c r="AV158" s="216" t="str">
        <f>IF(L158="ACG",IF(ISNA(VLOOKUP(L160,ＡＣＧ,2,FALSE)),0,VLOOKUP(L160,ＡＣＧ,2,FALSE)),"")</f>
        <v/>
      </c>
      <c r="AW158" s="217" t="str">
        <f>IF(AT158="","",AT158/((AT158*AP158)^2+(AT159*AP158-1)^2))</f>
        <v/>
      </c>
      <c r="AX158" s="218" t="str">
        <f>IF(BA160=0,"",IF(OR(AX154="",AF158&lt;&gt;""),AF158*SQRT(AS160^2+AS161^2)/SQRT(AT160^2+AT161^2),AX154*SQRT(AS160^2+AS161^2)/SQRT(AT160^2+AT161^2)))</f>
        <v/>
      </c>
      <c r="AY158" s="219">
        <f>IF(N(AY160)=10^30,10^30,IF(N(AY420)=10^30,(N(AY160)*(N(AY420)^2+N(AY421)^2)+N(AY420)*(N(AY160)^2+N(AY161)^2))/((N(AY160)+N(AY420))^2+(N(AY161)+N(AY421))^2),(N(AY160)*(N(AY418)^2+N(AY419)^2)+N(AY418)*(N(AY160)^2+N(AY161)^2))/((N(AY160)+N(AY418))^2+(N(AY161)+N(AY419))^2)))</f>
        <v>1E+30</v>
      </c>
      <c r="AZ158" s="23"/>
      <c r="BA158" s="220">
        <f>IF(AND(F158="",SUM(S158:S161)&lt;&gt;0),BA154,F158)</f>
        <v>0</v>
      </c>
      <c r="BB158" s="221">
        <f t="shared" si="3"/>
        <v>0</v>
      </c>
      <c r="BC158" s="232">
        <f>IF(OR(E158="",F161="",AND(OR(P158="",Q158="",R158="",T158=""),OR(P159="",Q159="",R159="",T159=""),OR(P160="",Q160="",R160="",T160=""),OR(P161="",Q161="",R161="",T161="")),AND(OR(X158="",X160="",Y160="",Z160=""),OR(AB158="",AB160="",AC160="",AD160=""))),0,1)</f>
        <v>0</v>
      </c>
      <c r="BD158" s="232">
        <f>BC158+BD154</f>
        <v>0</v>
      </c>
    </row>
    <row r="159" spans="1:56" ht="15" customHeight="1">
      <c r="B159" s="85"/>
      <c r="C159" s="271"/>
      <c r="D159" s="409"/>
      <c r="E159" s="362"/>
      <c r="F159" s="410"/>
      <c r="G159" s="266"/>
      <c r="H159" s="266"/>
      <c r="I159" s="266"/>
      <c r="J159" s="266"/>
      <c r="K159" s="273"/>
      <c r="L159" s="411"/>
      <c r="M159" s="197" t="str">
        <f>IF(L158="ACG",SQRT(AV158^2+AV159^2),IF(L160="","",IF(OR(L158="oil cooled type",L158="(F)molded type"),IF(BA158=1,SQRT(AN158^2+AN159^2),IF(BA158=3,SQRT(AN160^2+AN161^2))),SQRT(AO158^2+AO159^2))))</f>
        <v/>
      </c>
      <c r="N159" s="412"/>
      <c r="O159" s="198"/>
      <c r="P159" s="90"/>
      <c r="Q159" s="199"/>
      <c r="R159" s="91"/>
      <c r="S159" s="92" t="str">
        <f>IF(R160="","",IF(Q160="",P160/R160,P160/(Q160*R160)))</f>
        <v/>
      </c>
      <c r="T159" s="200"/>
      <c r="U159" s="201" t="str">
        <f>IF(OR(BA160="",S159=""),"",S159*1000*T159/(SQRT(BA158)*BA160))</f>
        <v/>
      </c>
      <c r="V159" s="255"/>
      <c r="W159" s="248"/>
      <c r="X159" s="258"/>
      <c r="Y159" s="245"/>
      <c r="Z159" s="246"/>
      <c r="AA159" s="240"/>
      <c r="AB159" s="244"/>
      <c r="AC159" s="245"/>
      <c r="AD159" s="246"/>
      <c r="AE159" s="248"/>
      <c r="AF159" s="235" t="str">
        <f>IF(OR(AF158="",AG154&lt;&gt;""),"",AF158*AQ159/SQRT(AT158^2+AT159^2))</f>
        <v/>
      </c>
      <c r="AG159" s="274" t="str">
        <f>IF(AG158="","",100*AG158*AQ159/BA160)</f>
        <v/>
      </c>
      <c r="AH159" s="275"/>
      <c r="AI159" s="260" t="str">
        <f>IF(BA160=0,"",IF(AI154="",AX160/SQRT(AT158^2+AT159^2),IF(AI162="","",IF(AT158&lt;0,-AX158*AQ155/SQRT(AT158^2+AT159^2),AX158*AQ155/SQRT(AT158^2+AT159^2)))))</f>
        <v/>
      </c>
      <c r="AJ159" s="258"/>
      <c r="AK159" s="259"/>
      <c r="AL159" s="187"/>
      <c r="AM159" s="28"/>
      <c r="AN159" s="213" t="b">
        <f>IF(BA158="","",IF(AND(BA158=1,F160=50,L158="oil cooled type"),VLOOKUP(L160,変１,3,FALSE),IF(AND(BA158=1,F160=50,L158="(F)molded type"),VLOOKUP(L160,変１,8,FALSE),IF(AND(BA158=1,F160=60,L158="oil cooled type"),VLOOKUP(L160,変１,13,FALSE),IF(AND(BA158=1,F160=60,L158="(F)molded type"),VLOOKUP(L160,変１,18,FALSE),FALSE)))))</f>
        <v>0</v>
      </c>
      <c r="AO159" s="213">
        <f>IF(ISNA(VLOOKUP(L160,変ＵＳＥＲ,3,FALSE)),0,VLOOKUP(L160,変ＵＳＥＲ,3,FALSE)*BA161/50)</f>
        <v>0</v>
      </c>
      <c r="AP159" s="214">
        <f>IF(W158="",0,W158*1000/BA160^2/SQRT(BA158))</f>
        <v>0</v>
      </c>
      <c r="AQ159" s="213">
        <f>IF(AND(BA158=1,BA159=2),1,IF(AND(BA158=3,BA159=3),1,IF(AND(BA158=1,BA159=3),2,IF(AND(BA158=3,BA159=4)*OR(BB158=1,BB159=1,BB160=1,BB161=1),1,SQRT(3)))))</f>
        <v>1.7320508075688772</v>
      </c>
      <c r="AR159" s="215" t="str">
        <f>IF(X158="","",IF(X158="600V IV",VLOOKUP(X160,ＩＶ,3,FALSE),IF(X158="600V CV-T",VLOOKUP(X160,ＣＶＴ,3,FALSE),IF(OR(X158="600V CV-1C",X158="600V CV-2C",X158="600V CV-3C",X158="600V CV-4C"),VLOOKUP(X160,ＣＶ２３Ｃ,3,FALSE),VLOOKUP(X160,ＣＵＳＥＲ,3,FALSE)))))</f>
        <v/>
      </c>
      <c r="AS159" s="213" t="str">
        <f>IF(AD161="",AP161,AP161+(AD161/1000))</f>
        <v/>
      </c>
      <c r="AT159" s="216" t="str">
        <f>IF(AU161="",AT161,AU161)</f>
        <v/>
      </c>
      <c r="AU159" s="216" t="str">
        <f>IF(D158="","",IF(AND(D418="",#REF!&lt;&gt;"",AV161=#REF!),#REF!,IF(AND(D418="",#REF!="",#REF!&lt;&gt;"",AV421=#REF!),#REF!,IF(AND(D418="",#REF!="",#REF!="",#REF!&lt;&gt;"",#REF!=#REF!),#REF!,IF(AND(D418="",#REF!="",#REF!="",#REF!="",D422&lt;&gt;"",#REF!=#REF!),AT423,IF(AND(D418="",#REF!="",#REF!="",#REF!="",D422="",#REF!&lt;&gt;"",#REF!=AV426),AT424,IF(AND(D418="",#REF!="",#REF!="",#REF!="",D422="",#REF!="",D427&lt;&gt;"",#REF!=AV430),AT428,"")))))))</f>
        <v/>
      </c>
      <c r="AV159" s="215" t="str">
        <f>IF(L158="ACG",IF(ISNA(VLOOKUP(L160,ＡＣＧ,3,FALSE)),0,VLOOKUP(L160,ＡＣＧ,3,FALSE)*BA161/50),"")</f>
        <v/>
      </c>
      <c r="AW159" s="217" t="str">
        <f>IF(AT159="","",(AT159-AP158*(AT158^2+AT159^2))/((AT158*AP158)^2+(AP158*AT159-1)^2))</f>
        <v/>
      </c>
      <c r="AX159" s="218"/>
      <c r="AY159" s="219">
        <f>IF(N(AY161)=10^30,10^30,IF(N(AY421)=10^30,(N(AY161)*(N(AY420)^2+N(AY421)^2)+N(AY421)*(N(AY160)^2+N(AY161)^2))/((N(AY160)+N(AY420))^2+(N(AY161)+N(AY421))^2),(N(AY161)*(N(AY418)^2+N(AY419)^2)+N(AY419)*(N(AY160)^2+N(AY161)^2))/((N(AY160)+N(AY418))^2+(N(AY161)+N(AY419))^2)))</f>
        <v>1E+30</v>
      </c>
      <c r="AZ159" s="23"/>
      <c r="BA159" s="220">
        <f>IF(AND(H158="",SUM(S158:S161)&lt;&gt;0),BA155,H158)</f>
        <v>0</v>
      </c>
      <c r="BB159" s="221">
        <f t="shared" si="3"/>
        <v>0</v>
      </c>
      <c r="BC159" s="232"/>
      <c r="BD159" s="232"/>
    </row>
    <row r="160" spans="1:56" ht="15" customHeight="1">
      <c r="B160" s="85"/>
      <c r="C160" s="271"/>
      <c r="D160" s="409"/>
      <c r="E160" s="362"/>
      <c r="F160" s="413"/>
      <c r="G160" s="414"/>
      <c r="H160" s="414"/>
      <c r="I160" s="414"/>
      <c r="J160" s="414"/>
      <c r="K160" s="415"/>
      <c r="L160" s="416"/>
      <c r="M160" s="275"/>
      <c r="N160" s="412"/>
      <c r="O160" s="198"/>
      <c r="P160" s="93"/>
      <c r="Q160" s="202"/>
      <c r="R160" s="91"/>
      <c r="S160" s="92" t="str">
        <f>IF(R161="","",IF(Q161="",P161/R161,P161/(Q161*R161)))</f>
        <v/>
      </c>
      <c r="T160" s="200"/>
      <c r="U160" s="203" t="str">
        <f>IF(OR(BA160="",S160=""),"",S160*1000*T160/(SQRT(BA158)*BA160))</f>
        <v/>
      </c>
      <c r="V160" s="94" t="str">
        <f>IF(AND(N(U158)=0,N(U159)=0,N(U160)=0,N(U161)=0),"",V158*(P158*R158*T158+P159*R159*T159+P160*R160*T160+P161*R161*T161)/(P158*T158+P159*T159+P160*T160+P161*T161))</f>
        <v/>
      </c>
      <c r="W160" s="276" t="str">
        <f>IF(AND(N(AP160)=0,N(AP161)=0,N(AP159)=0),"",IF(AP161&gt;=0,COS(ATAN(AP161/AP160)),-COS(ATAN(AP161/AP160))))</f>
        <v/>
      </c>
      <c r="X160" s="95"/>
      <c r="Y160" s="204"/>
      <c r="Z160" s="96"/>
      <c r="AA160" s="97"/>
      <c r="AB160" s="98"/>
      <c r="AC160" s="204"/>
      <c r="AD160" s="96"/>
      <c r="AE160" s="99"/>
      <c r="AF160" s="236" t="str">
        <f>IF(OR(AF158="",AG154&lt;&gt;""),"",BA160/SQRT(AW160^2+AW161^2))</f>
        <v/>
      </c>
      <c r="AG160" s="274" t="str">
        <f>IF(AG158="","",100*((BA160/AQ159)-AG158)/(BA160/AQ159))</f>
        <v/>
      </c>
      <c r="AH160" s="275"/>
      <c r="AI160" s="261"/>
      <c r="AJ160" s="262"/>
      <c r="AK160" s="264"/>
      <c r="AL160" s="188"/>
      <c r="AM160" s="28"/>
      <c r="AN160" s="222" t="b">
        <f>IF(BA158="","",IF(AND(BA158=3,F160=50,L158="oil cooled type"),VLOOKUP(L160,変３,2,FALSE),IF(AND(BA158=3,F160=50,L158="(F)molded type"),VLOOKUP(L160,変３,7,FALSE),IF(AND(BA158=3,F160=60,L158="oil cooled type"),VLOOKUP(L160,変３,12,FALSE),IF(AND(BA158=3,F160=60,L158="(F)molded type"),VLOOKUP(L160,変３,17,FALSE),FALSE)))))</f>
        <v>0</v>
      </c>
      <c r="AO160" s="215" t="str">
        <f>IF(AND(L154="",N(AY158)&lt;10^29),AY158,"")</f>
        <v/>
      </c>
      <c r="AP160" s="223" t="str">
        <f>IF(V158="","",IF(AND(N(V160)=0,N(AP159)=0),"",AQ160/((AQ160*AP159)^2+(AP159*AQ161-1)^2)))</f>
        <v/>
      </c>
      <c r="AQ160" s="213">
        <f>IF(N(V160)=0,10^30,V160)</f>
        <v>1E+30</v>
      </c>
      <c r="AR160" s="215" t="str">
        <f>IF(AB158="","",IF(AB158="600V IV",VLOOKUP(AB160,ＩＶ,2,FALSE),IF(AB158="600V CV-T",VLOOKUP(AB160,ＣＶＴ,2,FALSE),IF(OR(AB158="600V CV-1C",AB158="600V CV-2C",AB158="600V CV-3C",AB158="600V CV-4C"),VLOOKUP(AB160,ＣＶ２３Ｃ,2,FALSE),VLOOKUP(AB160,ＣＵＳＥＲ,2,FALSE)))))</f>
        <v/>
      </c>
      <c r="AS160" s="213" t="str">
        <f>IF(OR(AND(AS418="",AS419=""),AND(D158="",D418&lt;&gt;"")),AS158,(AS158*(AT418^2+AT419^2)+AT418*(AS158^2+AS159^2))/((AS158+AT418)^2+(AS159+AT419)^2))</f>
        <v/>
      </c>
      <c r="AT160" s="216" t="str">
        <f>IF(X161="",AS160,N(AS160)+(X161/1000))</f>
        <v/>
      </c>
      <c r="AU160" s="216" t="str">
        <f>IF(AU158="","",(AT160*(AU158^2+AU159^2)+AU158*(AT160^2+AT161^2))/((AT160+AU158)^2+(AT161+AU159)^2))</f>
        <v/>
      </c>
      <c r="AV160" s="216">
        <f>IF(BA160=0,1,0)</f>
        <v>1</v>
      </c>
      <c r="AW160" s="217" t="str">
        <f>IF(AO160="","",AW158+AO160)</f>
        <v/>
      </c>
      <c r="AX160" s="218" t="str">
        <f>IF(AND(AX156="",AW160&lt;&gt;""),BA160*SQRT(AW158^2+AW159^2)/SQRT(AW160^2+AW161^2),IF(BA160&lt;&gt;0,AX156,""))</f>
        <v/>
      </c>
      <c r="AY160" s="224">
        <f>IF(L160="",10^30,SQRT(BA158)*(BA160^2)*(N(AN158)+N(AN160)+N(AO158)+N(AV158))/(100000*L160*M158))</f>
        <v>1E+30</v>
      </c>
      <c r="AZ160" s="225"/>
      <c r="BA160" s="220">
        <f>IF(AND(J158="",SUM(S158:S161)&lt;&gt;0),BA156,J158)</f>
        <v>0</v>
      </c>
      <c r="BB160" s="221">
        <f t="shared" si="3"/>
        <v>0</v>
      </c>
      <c r="BC160" s="232"/>
      <c r="BD160" s="232"/>
    </row>
    <row r="161" spans="1:56" ht="15" customHeight="1">
      <c r="A161" s="85"/>
      <c r="B161" s="85"/>
      <c r="C161" s="271"/>
      <c r="D161" s="417"/>
      <c r="E161" s="418"/>
      <c r="F161" s="419"/>
      <c r="G161" s="270"/>
      <c r="H161" s="270"/>
      <c r="I161" s="270"/>
      <c r="J161" s="270"/>
      <c r="K161" s="268"/>
      <c r="L161" s="251" t="str">
        <f>IF(M158="","",L160*1000*M158/(SQRT(BA158)*BA160))</f>
        <v/>
      </c>
      <c r="M161" s="252"/>
      <c r="N161" s="277"/>
      <c r="O161" s="205"/>
      <c r="P161" s="106"/>
      <c r="Q161" s="206"/>
      <c r="R161" s="107"/>
      <c r="S161" s="108" t="str">
        <f>IF(R161="","",IF(Q161="",P161/R161,P161/(Q161*R161)))</f>
        <v/>
      </c>
      <c r="T161" s="207"/>
      <c r="U161" s="208" t="str">
        <f>IF(OR(BA160="",S161=""),"",S161*1000*T161/(SQRT(BA158)*BA160))</f>
        <v/>
      </c>
      <c r="V161" s="109" t="str">
        <f>IF(AND(N(U158)=0,N(U159)=0,N(U160)=0,N(U161)=0),"",IF(V158&gt;=0,SQRT(ABS(V158^2-V160^2)),-SQRT(V158^2-V160^2)))</f>
        <v/>
      </c>
      <c r="W161" s="277"/>
      <c r="X161" s="278" t="str">
        <f>IF(Y160="","",AQ158*Z160*AR158*((1+0.00393*(F161-20))/1.2751)/Y160)</f>
        <v/>
      </c>
      <c r="Y161" s="270"/>
      <c r="Z161" s="267" t="str">
        <f>IF(Y160="","",(BA161/50)*AQ158*Z160*AR159/Y160)</f>
        <v/>
      </c>
      <c r="AA161" s="252"/>
      <c r="AB161" s="279" t="str">
        <f>IF(AC160="","",AQ158*AD160*AR160*((1+0.00393*(F161-20))/1.2751)/AC160)</f>
        <v/>
      </c>
      <c r="AC161" s="270"/>
      <c r="AD161" s="267" t="str">
        <f>IF(AC160="","",(BA161/50)*AQ158*AD160*AR161/AC160)</f>
        <v/>
      </c>
      <c r="AE161" s="268"/>
      <c r="AF161" s="237" t="str">
        <f>IF(AND(AX158&lt;&gt;"",D158=""),AX158,"")</f>
        <v/>
      </c>
      <c r="AG161" s="269" t="str">
        <f>IF(AP160="","",AP160)</f>
        <v/>
      </c>
      <c r="AH161" s="270"/>
      <c r="AI161" s="238" t="str">
        <f>IF(AP161="","",AP161)</f>
        <v/>
      </c>
      <c r="AJ161" s="263"/>
      <c r="AK161" s="253"/>
      <c r="AL161" s="189"/>
      <c r="AM161" s="28"/>
      <c r="AN161" s="226" t="b">
        <f>IF(BA158="","",IF(AND(BA158=3,F160=50,L158="oil cooled type"),VLOOKUP(L160,変３,3,FALSE),IF(AND(BA158=3,F160=50,L158="(F)molded type"),VLOOKUP(L160,変３,8,FALSE),IF(AND(BA158=3,F160=60,L158="oil cooled type"),VLOOKUP(L160,変３,13,FALSE),IF(AND(BA158=3,F160=60,L158="(F)molded type"),VLOOKUP(L160,変３,18,FALSE),FALSE)))))</f>
        <v>0</v>
      </c>
      <c r="AO161" s="226" t="str">
        <f>IF(AND(L154="",N(AY159)&lt;10^29),AY159,"")</f>
        <v/>
      </c>
      <c r="AP161" s="227" t="str">
        <f>IF(V158="","",IF(AND(N(V161)=0,N(AP159)=0),0,(AQ161-AP159*(AQ160^2+AQ161^2))/((AQ160*AP159)^2+(AP159*AQ161-1)^2)))</f>
        <v/>
      </c>
      <c r="AQ161" s="228">
        <f>IF(N(V161)=0,10^30,V161)</f>
        <v>1E+30</v>
      </c>
      <c r="AR161" s="226" t="str">
        <f>IF(AB158="","",IF(AB158="600V IV",VLOOKUP(AB160,ＩＶ,3,FALSE),IF(AB158="600V CV-T",VLOOKUP(AB160,ＣＶＴ,3,FALSE),IF(OR(AB158="600V CV-1C",AB158="600V CV-2C",AB158="600V CV-3C",AB158="600V CV-4C"),VLOOKUP(AB160,ＣＶ２３Ｃ,3,FALSE),VLOOKUP(AB160,ＣＵＳＥＲ,3,FALSE)))))</f>
        <v/>
      </c>
      <c r="AS161" s="228" t="str">
        <f>IF(OR(AND(AS418="",AS419=""),AND(D158="",D418&lt;&gt;"")),AS159,(AS159*(AT418^2+AT419^2)+AT419*(AS158^2+AS159^2))/((AS158+AT418)^2+(AS159+AT419)^2))</f>
        <v/>
      </c>
      <c r="AT161" s="229" t="str">
        <f>IF(Z161="",AS161,N(AS161)+(Z161/1000))</f>
        <v/>
      </c>
      <c r="AU161" s="229" t="str">
        <f>IF(AU159="","",(AT161*(AU158^2+AU159^2)+AU159*(AT160^2+AT161^2))/((AT160+AU158)^2+(AT161+AU159)^2))</f>
        <v/>
      </c>
      <c r="AV161" s="229">
        <f>AV157+AV160</f>
        <v>36</v>
      </c>
      <c r="AW161" s="228" t="str">
        <f>IF(AO161="","",AW159+AO161)</f>
        <v/>
      </c>
      <c r="AX161" s="230"/>
      <c r="AY161" s="224">
        <f>IF(L160="",10^30,SQRT(BA158)*(BA160^2)*(N(AN159)+N(AN161)+N(AO159)+N(AV159))/(100000*L160*M158))</f>
        <v>1E+30</v>
      </c>
      <c r="AZ161" s="225"/>
      <c r="BA161" s="220">
        <f>IF(AND(F160="",SUM(S158:S161)&lt;&gt;0),BA157,F160)</f>
        <v>0</v>
      </c>
      <c r="BB161" s="221">
        <f t="shared" si="3"/>
        <v>0</v>
      </c>
      <c r="BC161" s="232"/>
      <c r="BD161" s="232"/>
    </row>
    <row r="162" spans="1:56" ht="15" customHeight="1">
      <c r="B162" s="85"/>
      <c r="C162" s="271" t="str">
        <f>IF(BC162=1,"●","・")</f>
        <v>・</v>
      </c>
      <c r="D162" s="402"/>
      <c r="E162" s="403"/>
      <c r="F162" s="404"/>
      <c r="G162" s="265" t="str">
        <f>IF(F162="","","φ")</f>
        <v/>
      </c>
      <c r="H162" s="405"/>
      <c r="I162" s="265" t="str">
        <f>IF(H162="","","W")</f>
        <v/>
      </c>
      <c r="J162" s="405"/>
      <c r="K162" s="272" t="str">
        <f>IF(J162="","","V")</f>
        <v/>
      </c>
      <c r="L162" s="406"/>
      <c r="M162" s="407"/>
      <c r="N162" s="408"/>
      <c r="O162" s="193"/>
      <c r="P162" s="86"/>
      <c r="Q162" s="194"/>
      <c r="R162" s="87"/>
      <c r="S162" s="88" t="str">
        <f>IF(R162="","",IF(Q162="",P162/R162,P162/(Q162*R162)))</f>
        <v/>
      </c>
      <c r="T162" s="195"/>
      <c r="U162" s="196" t="str">
        <f>IF(OR(BA164="",S162=""),"",S162*1000*T162/(SQRT(BA162)*BA164))</f>
        <v/>
      </c>
      <c r="V162" s="254" t="str">
        <f>IF(AND(N(U162)=0,N(U163)=0,N(U164)=0,N(U165)=0),"",BA164/(SUM(U162:U165)))</f>
        <v/>
      </c>
      <c r="W162" s="280"/>
      <c r="X162" s="281"/>
      <c r="Y162" s="242"/>
      <c r="Z162" s="243"/>
      <c r="AA162" s="239"/>
      <c r="AB162" s="241"/>
      <c r="AC162" s="242"/>
      <c r="AD162" s="243"/>
      <c r="AE162" s="247"/>
      <c r="AF162" s="233" t="str">
        <f>IF(OR(AND(AF158="",N(BA160)=0,BA164&lt;&gt;0),D162&lt;&gt;""),AX164/AQ163,"")</f>
        <v/>
      </c>
      <c r="AG162" s="249" t="str">
        <f>IF(BA164=0,"",IF(AD164="",AX162,IF(AND(D162&lt;&gt;"",AU162=""),AX164*SQRT(AP164^2+AP165^2)/SQRT(AS162^2+AS163^2)/AQ163,AX162*SQRT(AP164^2+AP165^2)/SQRT(AS162^2+AS163^2))))</f>
        <v/>
      </c>
      <c r="AH162" s="250"/>
      <c r="AI162" s="234" t="str">
        <f>IF(AG162="","",IF(N(U162)&lt;0,-AX162*AQ163/SQRT(AS162^2+AS163^2),AX162*AQ163/SQRT(AS162^2+AS163^2)))</f>
        <v/>
      </c>
      <c r="AJ162" s="256"/>
      <c r="AK162" s="257"/>
      <c r="AL162" s="186"/>
      <c r="AM162" s="28"/>
      <c r="AN162" s="213" t="b">
        <f>IF(BA162="","",IF(AND(BA162=1,F164=50,L162="oil cooled type"),VLOOKUP(L164,変１,2,FALSE),IF(AND(BA162=1,F164=50,L162="(F)molded type"),VLOOKUP(L164,変１,7,FALSE),IF(AND(BA162=1,F164=60,L162="oil cooled type"),VLOOKUP(L164,変１,12,FALSE),IF(AND(BA162=1,F164=60,L162="(F)molded type"),VLOOKUP(L164,変１,17,FALSE),FALSE)))))</f>
        <v>0</v>
      </c>
      <c r="AO162" s="213">
        <f>IF(ISNA(VLOOKUP(L164,変ＵＳＥＲ,2,FALSE)),0,VLOOKUP(L164,変ＵＳＥＲ,2,FALSE))</f>
        <v>0</v>
      </c>
      <c r="AP162" s="214">
        <f>IF(N162="",0,N162*1000/BA164^2/SQRT(BA162))</f>
        <v>0</v>
      </c>
      <c r="AQ162" s="213" t="b">
        <f>IF(BA162=1,2,IF(BA162=3,SQRT(3),FALSE))</f>
        <v>0</v>
      </c>
      <c r="AR162" s="215" t="str">
        <f>IF(X162="","",IF(X162="600V IV",VLOOKUP(X164,ＩＶ,2,FALSE),IF(X162="600V CV-T",VLOOKUP(X164,ＣＶＴ,2,FALSE),IF(OR(X162="600V CV-1C",X162="600V CV-2C",X162="600V CV-3C",X162="600V CV-4C"),VLOOKUP(X164,ＣＶ２３Ｃ,2,FALSE),VLOOKUP(X164,ＣＵＳＥＲ,2,FALSE)))))</f>
        <v/>
      </c>
      <c r="AS162" s="213" t="str">
        <f>IF(AB165="",AP164,AP164+(AB165/1000))</f>
        <v/>
      </c>
      <c r="AT162" s="216" t="str">
        <f>IF(AU164="",AT164,AU164)</f>
        <v/>
      </c>
      <c r="AU162" s="216" t="str">
        <f>IF(D162="","",IF(AND(D422="",#REF!&lt;&gt;"",AV165=#REF!),#REF!,IF(AND(D422="",#REF!="",#REF!&lt;&gt;"",AV425=#REF!),#REF!,IF(AND(D422="",#REF!="",#REF!="",#REF!&lt;&gt;"",#REF!=#REF!),#REF!,IF(AND(D422="",#REF!="",#REF!="",#REF!="",D426&lt;&gt;"",#REF!=#REF!),AT426,IF(AND(D422="",#REF!="",#REF!="",#REF!="",D426="",#REF!&lt;&gt;"",#REF!=AV430),#REF!,IF(AND(D422="",#REF!="",#REF!="",#REF!="",D426="",#REF!="",D431&lt;&gt;"",#REF!=AV434),AT431,"")))))))</f>
        <v/>
      </c>
      <c r="AV162" s="216" t="str">
        <f>IF(L162="ACG",IF(ISNA(VLOOKUP(L164,ＡＣＧ,2,FALSE)),0,VLOOKUP(L164,ＡＣＧ,2,FALSE)),"")</f>
        <v/>
      </c>
      <c r="AW162" s="217" t="str">
        <f>IF(AT162="","",AT162/((AT162*AP162)^2+(AT163*AP162-1)^2))</f>
        <v/>
      </c>
      <c r="AX162" s="218" t="str">
        <f>IF(BA164=0,"",IF(OR(AX158="",AF162&lt;&gt;""),AF162*SQRT(AS164^2+AS165^2)/SQRT(AT164^2+AT165^2),AX158*SQRT(AS164^2+AS165^2)/SQRT(AT164^2+AT165^2)))</f>
        <v/>
      </c>
      <c r="AY162" s="219">
        <f>IF(N(AY164)=10^30,10^30,IF(N(AY424)=10^30,(N(AY164)*(N(AY424)^2+N(AY425)^2)+N(AY424)*(N(AY164)^2+N(AY165)^2))/((N(AY164)+N(AY424))^2+(N(AY165)+N(AY425))^2),(N(AY164)*(N(AY422)^2+N(AY423)^2)+N(AY422)*(N(AY164)^2+N(AY165)^2))/((N(AY164)+N(AY422))^2+(N(AY165)+N(AY423))^2)))</f>
        <v>1E+30</v>
      </c>
      <c r="AZ162" s="23"/>
      <c r="BA162" s="220">
        <f>IF(AND(F162="",SUM(S162:S165)&lt;&gt;0),BA158,F162)</f>
        <v>0</v>
      </c>
      <c r="BB162" s="221">
        <f t="shared" si="3"/>
        <v>0</v>
      </c>
      <c r="BC162" s="232">
        <f>IF(OR(E162="",F165="",AND(OR(P162="",Q162="",R162="",T162=""),OR(P163="",Q163="",R163="",T163=""),OR(P164="",Q164="",R164="",T164=""),OR(P165="",Q165="",R165="",T165="")),AND(OR(X162="",X164="",Y164="",Z164=""),OR(AB162="",AB164="",AC164="",AD164=""))),0,1)</f>
        <v>0</v>
      </c>
      <c r="BD162" s="232">
        <f>BC162+BD158</f>
        <v>0</v>
      </c>
    </row>
    <row r="163" spans="1:56" ht="15" customHeight="1">
      <c r="B163" s="85"/>
      <c r="C163" s="271"/>
      <c r="D163" s="409"/>
      <c r="E163" s="362"/>
      <c r="F163" s="410"/>
      <c r="G163" s="266"/>
      <c r="H163" s="266"/>
      <c r="I163" s="266"/>
      <c r="J163" s="266"/>
      <c r="K163" s="273"/>
      <c r="L163" s="411"/>
      <c r="M163" s="197" t="str">
        <f>IF(L162="ACG",SQRT(AV162^2+AV163^2),IF(L164="","",IF(OR(L162="oil cooled type",L162="(F)molded type"),IF(BA162=1,SQRT(AN162^2+AN163^2),IF(BA162=3,SQRT(AN164^2+AN165^2))),SQRT(AO162^2+AO163^2))))</f>
        <v/>
      </c>
      <c r="N163" s="412"/>
      <c r="O163" s="198"/>
      <c r="P163" s="90"/>
      <c r="Q163" s="199"/>
      <c r="R163" s="91"/>
      <c r="S163" s="92" t="str">
        <f>IF(R164="","",IF(Q164="",P164/R164,P164/(Q164*R164)))</f>
        <v/>
      </c>
      <c r="T163" s="200"/>
      <c r="U163" s="201" t="str">
        <f>IF(OR(BA164="",S163=""),"",S163*1000*T163/(SQRT(BA162)*BA164))</f>
        <v/>
      </c>
      <c r="V163" s="255"/>
      <c r="W163" s="248"/>
      <c r="X163" s="258"/>
      <c r="Y163" s="245"/>
      <c r="Z163" s="246"/>
      <c r="AA163" s="240"/>
      <c r="AB163" s="244"/>
      <c r="AC163" s="245"/>
      <c r="AD163" s="246"/>
      <c r="AE163" s="248"/>
      <c r="AF163" s="235" t="str">
        <f>IF(OR(AF162="",AG158&lt;&gt;""),"",AF162*AQ163/SQRT(AT162^2+AT163^2))</f>
        <v/>
      </c>
      <c r="AG163" s="274" t="str">
        <f>IF(AG162="","",100*AG162*AQ163/BA164)</f>
        <v/>
      </c>
      <c r="AH163" s="275"/>
      <c r="AI163" s="260" t="str">
        <f>IF(BA164=0,"",IF(AI158="",AX164/SQRT(AT162^2+AT163^2),IF(AI166="","",IF(AT162&lt;0,-AX162*AQ159/SQRT(AT162^2+AT163^2),AX162*AQ159/SQRT(AT162^2+AT163^2)))))</f>
        <v/>
      </c>
      <c r="AJ163" s="258"/>
      <c r="AK163" s="259"/>
      <c r="AL163" s="187"/>
      <c r="AM163" s="28"/>
      <c r="AN163" s="213" t="b">
        <f>IF(BA162="","",IF(AND(BA162=1,F164=50,L162="oil cooled type"),VLOOKUP(L164,変１,3,FALSE),IF(AND(BA162=1,F164=50,L162="(F)molded type"),VLOOKUP(L164,変１,8,FALSE),IF(AND(BA162=1,F164=60,L162="oil cooled type"),VLOOKUP(L164,変１,13,FALSE),IF(AND(BA162=1,F164=60,L162="(F)molded type"),VLOOKUP(L164,変１,18,FALSE),FALSE)))))</f>
        <v>0</v>
      </c>
      <c r="AO163" s="213">
        <f>IF(ISNA(VLOOKUP(L164,変ＵＳＥＲ,3,FALSE)),0,VLOOKUP(L164,変ＵＳＥＲ,3,FALSE)*BA165/50)</f>
        <v>0</v>
      </c>
      <c r="AP163" s="214">
        <f>IF(W162="",0,W162*1000/BA164^2/SQRT(BA162))</f>
        <v>0</v>
      </c>
      <c r="AQ163" s="213">
        <f>IF(AND(BA162=1,BA163=2),1,IF(AND(BA162=3,BA163=3),1,IF(AND(BA162=1,BA163=3),2,IF(AND(BA162=3,BA163=4)*OR(BB162=1,BB163=1,BB164=1,BB165=1),1,SQRT(3)))))</f>
        <v>1.7320508075688772</v>
      </c>
      <c r="AR163" s="215" t="str">
        <f>IF(X162="","",IF(X162="600V IV",VLOOKUP(X164,ＩＶ,3,FALSE),IF(X162="600V CV-T",VLOOKUP(X164,ＣＶＴ,3,FALSE),IF(OR(X162="600V CV-1C",X162="600V CV-2C",X162="600V CV-3C",X162="600V CV-4C"),VLOOKUP(X164,ＣＶ２３Ｃ,3,FALSE),VLOOKUP(X164,ＣＵＳＥＲ,3,FALSE)))))</f>
        <v/>
      </c>
      <c r="AS163" s="213" t="str">
        <f>IF(AD165="",AP165,AP165+(AD165/1000))</f>
        <v/>
      </c>
      <c r="AT163" s="216" t="str">
        <f>IF(AU165="",AT165,AU165)</f>
        <v/>
      </c>
      <c r="AU163" s="216" t="str">
        <f>IF(D162="","",IF(AND(D422="",#REF!&lt;&gt;"",AV165=#REF!),#REF!,IF(AND(D422="",#REF!="",#REF!&lt;&gt;"",AV425=#REF!),#REF!,IF(AND(D422="",#REF!="",#REF!="",#REF!&lt;&gt;"",#REF!=#REF!),#REF!,IF(AND(D422="",#REF!="",#REF!="",#REF!="",D426&lt;&gt;"",#REF!=#REF!),AT427,IF(AND(D422="",#REF!="",#REF!="",#REF!="",D426="",#REF!&lt;&gt;"",#REF!=AV430),AT428,IF(AND(D422="",#REF!="",#REF!="",#REF!="",D426="",#REF!="",D431&lt;&gt;"",#REF!=AV434),AT432,"")))))))</f>
        <v/>
      </c>
      <c r="AV163" s="215" t="str">
        <f>IF(L162="ACG",IF(ISNA(VLOOKUP(L164,ＡＣＧ,3,FALSE)),0,VLOOKUP(L164,ＡＣＧ,3,FALSE)*BA165/50),"")</f>
        <v/>
      </c>
      <c r="AW163" s="217" t="str">
        <f>IF(AT163="","",(AT163-AP162*(AT162^2+AT163^2))/((AT162*AP162)^2+(AP162*AT163-1)^2))</f>
        <v/>
      </c>
      <c r="AX163" s="218"/>
      <c r="AY163" s="219">
        <f>IF(N(AY165)=10^30,10^30,IF(N(AY425)=10^30,(N(AY165)*(N(AY424)^2+N(AY425)^2)+N(AY425)*(N(AY164)^2+N(AY165)^2))/((N(AY164)+N(AY424))^2+(N(AY165)+N(AY425))^2),(N(AY165)*(N(AY422)^2+N(AY423)^2)+N(AY423)*(N(AY164)^2+N(AY165)^2))/((N(AY164)+N(AY422))^2+(N(AY165)+N(AY423))^2)))</f>
        <v>1E+30</v>
      </c>
      <c r="AZ163" s="23"/>
      <c r="BA163" s="220">
        <f>IF(AND(H162="",SUM(S162:S165)&lt;&gt;0),BA159,H162)</f>
        <v>0</v>
      </c>
      <c r="BB163" s="221">
        <f t="shared" si="3"/>
        <v>0</v>
      </c>
      <c r="BC163" s="232"/>
      <c r="BD163" s="232"/>
    </row>
    <row r="164" spans="1:56" ht="15" customHeight="1">
      <c r="B164" s="85"/>
      <c r="C164" s="271"/>
      <c r="D164" s="409"/>
      <c r="E164" s="362"/>
      <c r="F164" s="413"/>
      <c r="G164" s="414"/>
      <c r="H164" s="414"/>
      <c r="I164" s="414"/>
      <c r="J164" s="414"/>
      <c r="K164" s="415"/>
      <c r="L164" s="416"/>
      <c r="M164" s="275"/>
      <c r="N164" s="412"/>
      <c r="O164" s="198"/>
      <c r="P164" s="93"/>
      <c r="Q164" s="202"/>
      <c r="R164" s="91"/>
      <c r="S164" s="92" t="str">
        <f>IF(R165="","",IF(Q165="",P165/R165,P165/(Q165*R165)))</f>
        <v/>
      </c>
      <c r="T164" s="200"/>
      <c r="U164" s="203" t="str">
        <f>IF(OR(BA164="",S164=""),"",S164*1000*T164/(SQRT(BA162)*BA164))</f>
        <v/>
      </c>
      <c r="V164" s="94" t="str">
        <f>IF(AND(N(U162)=0,N(U163)=0,N(U164)=0,N(U165)=0),"",V162*(P162*R162*T162+P163*R163*T163+P164*R164*T164+P165*R165*T165)/(P162*T162+P163*T163+P164*T164+P165*T165))</f>
        <v/>
      </c>
      <c r="W164" s="276" t="str">
        <f>IF(AND(N(AP164)=0,N(AP165)=0,N(AP163)=0),"",IF(AP165&gt;=0,COS(ATAN(AP165/AP164)),-COS(ATAN(AP165/AP164))))</f>
        <v/>
      </c>
      <c r="X164" s="95"/>
      <c r="Y164" s="204"/>
      <c r="Z164" s="96"/>
      <c r="AA164" s="97"/>
      <c r="AB164" s="98"/>
      <c r="AC164" s="204"/>
      <c r="AD164" s="96"/>
      <c r="AE164" s="99"/>
      <c r="AF164" s="236" t="str">
        <f>IF(OR(AF162="",AG158&lt;&gt;""),"",BA164/SQRT(AW164^2+AW165^2))</f>
        <v/>
      </c>
      <c r="AG164" s="274" t="str">
        <f>IF(AG162="","",100*((BA164/AQ163)-AG162)/(BA164/AQ163))</f>
        <v/>
      </c>
      <c r="AH164" s="275"/>
      <c r="AI164" s="261"/>
      <c r="AJ164" s="262"/>
      <c r="AK164" s="264"/>
      <c r="AL164" s="188"/>
      <c r="AM164" s="28"/>
      <c r="AN164" s="222" t="b">
        <f>IF(BA162="","",IF(AND(BA162=3,F164=50,L162="oil cooled type"),VLOOKUP(L164,変３,2,FALSE),IF(AND(BA162=3,F164=50,L162="(F)molded type"),VLOOKUP(L164,変３,7,FALSE),IF(AND(BA162=3,F164=60,L162="oil cooled type"),VLOOKUP(L164,変３,12,FALSE),IF(AND(BA162=3,F164=60,L162="(F)molded type"),VLOOKUP(L164,変３,17,FALSE),FALSE)))))</f>
        <v>0</v>
      </c>
      <c r="AO164" s="215" t="str">
        <f>IF(AND(L158="",N(AY162)&lt;10^29),AY162,"")</f>
        <v/>
      </c>
      <c r="AP164" s="223" t="str">
        <f>IF(V162="","",IF(AND(N(V164)=0,N(AP163)=0),"",AQ164/((AQ164*AP163)^2+(AP163*AQ165-1)^2)))</f>
        <v/>
      </c>
      <c r="AQ164" s="213">
        <f>IF(N(V164)=0,10^30,V164)</f>
        <v>1E+30</v>
      </c>
      <c r="AR164" s="215" t="str">
        <f>IF(AB162="","",IF(AB162="600V IV",VLOOKUP(AB164,ＩＶ,2,FALSE),IF(AB162="600V CV-T",VLOOKUP(AB164,ＣＶＴ,2,FALSE),IF(OR(AB162="600V CV-1C",AB162="600V CV-2C",AB162="600V CV-3C",AB162="600V CV-4C"),VLOOKUP(AB164,ＣＶ２３Ｃ,2,FALSE),VLOOKUP(AB164,ＣＵＳＥＲ,2,FALSE)))))</f>
        <v/>
      </c>
      <c r="AS164" s="213" t="str">
        <f>IF(OR(AND(AS422="",AS423=""),AND(D162="",D422&lt;&gt;"")),AS162,(AS162*(AT422^2+AT423^2)+AT422*(AS162^2+AS163^2))/((AS162+AT422)^2+(AS163+AT423)^2))</f>
        <v/>
      </c>
      <c r="AT164" s="216" t="str">
        <f>IF(X165="",AS164,N(AS164)+(X165/1000))</f>
        <v/>
      </c>
      <c r="AU164" s="216" t="str">
        <f>IF(AU162="","",(AT164*(AU162^2+AU163^2)+AU162*(AT164^2+AT165^2))/((AT164+AU162)^2+(AT165+AU163)^2))</f>
        <v/>
      </c>
      <c r="AV164" s="216">
        <f>IF(BA164=0,1,0)</f>
        <v>1</v>
      </c>
      <c r="AW164" s="217" t="str">
        <f>IF(AO164="","",AW162+AO164)</f>
        <v/>
      </c>
      <c r="AX164" s="218" t="str">
        <f>IF(AND(AX160="",AW164&lt;&gt;""),BA164*SQRT(AW162^2+AW163^2)/SQRT(AW164^2+AW165^2),IF(BA164&lt;&gt;0,AX160,""))</f>
        <v/>
      </c>
      <c r="AY164" s="224">
        <f>IF(L164="",10^30,SQRT(BA162)*(BA164^2)*(N(AN162)+N(AN164)+N(AO162)+N(AV162))/(100000*L164*M162))</f>
        <v>1E+30</v>
      </c>
      <c r="AZ164" s="225"/>
      <c r="BA164" s="220">
        <f>IF(AND(J162="",SUM(S162:S165)&lt;&gt;0),BA160,J162)</f>
        <v>0</v>
      </c>
      <c r="BB164" s="221">
        <f t="shared" si="3"/>
        <v>0</v>
      </c>
      <c r="BC164" s="232"/>
      <c r="BD164" s="232"/>
    </row>
    <row r="165" spans="1:56" ht="15" customHeight="1">
      <c r="A165" s="85"/>
      <c r="B165" s="85"/>
      <c r="C165" s="271"/>
      <c r="D165" s="417"/>
      <c r="E165" s="418"/>
      <c r="F165" s="419"/>
      <c r="G165" s="270"/>
      <c r="H165" s="270"/>
      <c r="I165" s="270"/>
      <c r="J165" s="270"/>
      <c r="K165" s="268"/>
      <c r="L165" s="251" t="str">
        <f>IF(M162="","",L164*1000*M162/(SQRT(BA162)*BA164))</f>
        <v/>
      </c>
      <c r="M165" s="252"/>
      <c r="N165" s="277"/>
      <c r="O165" s="205"/>
      <c r="P165" s="106"/>
      <c r="Q165" s="206"/>
      <c r="R165" s="107"/>
      <c r="S165" s="108" t="str">
        <f>IF(R165="","",IF(Q165="",P165/R165,P165/(Q165*R165)))</f>
        <v/>
      </c>
      <c r="T165" s="207"/>
      <c r="U165" s="208" t="str">
        <f>IF(OR(BA164="",S165=""),"",S165*1000*T165/(SQRT(BA162)*BA164))</f>
        <v/>
      </c>
      <c r="V165" s="109" t="str">
        <f>IF(AND(N(U162)=0,N(U163)=0,N(U164)=0,N(U165)=0),"",IF(V162&gt;=0,SQRT(ABS(V162^2-V164^2)),-SQRT(V162^2-V164^2)))</f>
        <v/>
      </c>
      <c r="W165" s="277"/>
      <c r="X165" s="278" t="str">
        <f>IF(Y164="","",AQ162*Z164*AR162*((1+0.00393*(F165-20))/1.2751)/Y164)</f>
        <v/>
      </c>
      <c r="Y165" s="270"/>
      <c r="Z165" s="267" t="str">
        <f>IF(Y164="","",(BA165/50)*AQ162*Z164*AR163/Y164)</f>
        <v/>
      </c>
      <c r="AA165" s="252"/>
      <c r="AB165" s="279" t="str">
        <f>IF(AC164="","",AQ162*AD164*AR164*((1+0.00393*(F165-20))/1.2751)/AC164)</f>
        <v/>
      </c>
      <c r="AC165" s="270"/>
      <c r="AD165" s="267" t="str">
        <f>IF(AC164="","",(BA165/50)*AQ162*AD164*AR165/AC164)</f>
        <v/>
      </c>
      <c r="AE165" s="268"/>
      <c r="AF165" s="237" t="str">
        <f>IF(AND(AX162&lt;&gt;"",D162=""),AX162,"")</f>
        <v/>
      </c>
      <c r="AG165" s="269" t="str">
        <f>IF(AP164="","",AP164)</f>
        <v/>
      </c>
      <c r="AH165" s="270"/>
      <c r="AI165" s="238" t="str">
        <f>IF(AP165="","",AP165)</f>
        <v/>
      </c>
      <c r="AJ165" s="263"/>
      <c r="AK165" s="253"/>
      <c r="AL165" s="189"/>
      <c r="AM165" s="28"/>
      <c r="AN165" s="226" t="b">
        <f>IF(BA162="","",IF(AND(BA162=3,F164=50,L162="oil cooled type"),VLOOKUP(L164,変３,3,FALSE),IF(AND(BA162=3,F164=50,L162="(F)molded type"),VLOOKUP(L164,変３,8,FALSE),IF(AND(BA162=3,F164=60,L162="oil cooled type"),VLOOKUP(L164,変３,13,FALSE),IF(AND(BA162=3,F164=60,L162="(F)molded type"),VLOOKUP(L164,変３,18,FALSE),FALSE)))))</f>
        <v>0</v>
      </c>
      <c r="AO165" s="226" t="str">
        <f>IF(AND(L158="",N(AY163)&lt;10^29),AY163,"")</f>
        <v/>
      </c>
      <c r="AP165" s="227" t="str">
        <f>IF(V162="","",IF(AND(N(V165)=0,N(AP163)=0),0,(AQ165-AP163*(AQ164^2+AQ165^2))/((AQ164*AP163)^2+(AP163*AQ165-1)^2)))</f>
        <v/>
      </c>
      <c r="AQ165" s="228">
        <f>IF(N(V165)=0,10^30,V165)</f>
        <v>1E+30</v>
      </c>
      <c r="AR165" s="226" t="str">
        <f>IF(AB162="","",IF(AB162="600V IV",VLOOKUP(AB164,ＩＶ,3,FALSE),IF(AB162="600V CV-T",VLOOKUP(AB164,ＣＶＴ,3,FALSE),IF(OR(AB162="600V CV-1C",AB162="600V CV-2C",AB162="600V CV-3C",AB162="600V CV-4C"),VLOOKUP(AB164,ＣＶ２３Ｃ,3,FALSE),VLOOKUP(AB164,ＣＵＳＥＲ,3,FALSE)))))</f>
        <v/>
      </c>
      <c r="AS165" s="228" t="str">
        <f>IF(OR(AND(AS422="",AS423=""),AND(D162="",D422&lt;&gt;"")),AS163,(AS163*(AT422^2+AT423^2)+AT423*(AS162^2+AS163^2))/((AS162+AT422)^2+(AS163+AT423)^2))</f>
        <v/>
      </c>
      <c r="AT165" s="229" t="str">
        <f>IF(Z165="",AS165,N(AS165)+(Z165/1000))</f>
        <v/>
      </c>
      <c r="AU165" s="229" t="str">
        <f>IF(AU163="","",(AT165*(AU162^2+AU163^2)+AU163*(AT164^2+AT165^2))/((AT164+AU162)^2+(AT165+AU163)^2))</f>
        <v/>
      </c>
      <c r="AV165" s="229">
        <f>AV161+AV164</f>
        <v>37</v>
      </c>
      <c r="AW165" s="228" t="str">
        <f>IF(AO165="","",AW163+AO165)</f>
        <v/>
      </c>
      <c r="AX165" s="230"/>
      <c r="AY165" s="224">
        <f>IF(L164="",10^30,SQRT(BA162)*(BA164^2)*(N(AN163)+N(AN165)+N(AO163)+N(AV163))/(100000*L164*M162))</f>
        <v>1E+30</v>
      </c>
      <c r="AZ165" s="225"/>
      <c r="BA165" s="220">
        <f>IF(AND(F164="",SUM(S162:S165)&lt;&gt;0),BA161,F164)</f>
        <v>0</v>
      </c>
      <c r="BB165" s="221">
        <f t="shared" si="3"/>
        <v>0</v>
      </c>
      <c r="BC165" s="232"/>
      <c r="BD165" s="232"/>
    </row>
    <row r="166" spans="1:56" ht="15" customHeight="1">
      <c r="B166" s="85"/>
      <c r="C166" s="271" t="str">
        <f>IF(BC166=1,"●","・")</f>
        <v>・</v>
      </c>
      <c r="D166" s="402"/>
      <c r="E166" s="403"/>
      <c r="F166" s="404"/>
      <c r="G166" s="265" t="str">
        <f>IF(F166="","","φ")</f>
        <v/>
      </c>
      <c r="H166" s="405"/>
      <c r="I166" s="265" t="str">
        <f>IF(H166="","","W")</f>
        <v/>
      </c>
      <c r="J166" s="405"/>
      <c r="K166" s="272" t="str">
        <f>IF(J166="","","V")</f>
        <v/>
      </c>
      <c r="L166" s="406"/>
      <c r="M166" s="407"/>
      <c r="N166" s="408"/>
      <c r="O166" s="193"/>
      <c r="P166" s="86"/>
      <c r="Q166" s="194"/>
      <c r="R166" s="87"/>
      <c r="S166" s="88" t="str">
        <f>IF(R166="","",IF(Q166="",P166/R166,P166/(Q166*R166)))</f>
        <v/>
      </c>
      <c r="T166" s="195"/>
      <c r="U166" s="196" t="str">
        <f>IF(OR(BA168="",S166=""),"",S166*1000*T166/(SQRT(BA166)*BA168))</f>
        <v/>
      </c>
      <c r="V166" s="254" t="str">
        <f>IF(AND(N(U166)=0,N(U167)=0,N(U168)=0,N(U169)=0),"",BA168/(SUM(U166:U169)))</f>
        <v/>
      </c>
      <c r="W166" s="280"/>
      <c r="X166" s="281"/>
      <c r="Y166" s="242"/>
      <c r="Z166" s="243"/>
      <c r="AA166" s="239"/>
      <c r="AB166" s="241"/>
      <c r="AC166" s="242"/>
      <c r="AD166" s="243"/>
      <c r="AE166" s="247"/>
      <c r="AF166" s="233" t="str">
        <f>IF(OR(AND(AF162="",N(BA164)=0,BA168&lt;&gt;0),D166&lt;&gt;""),AX168/AQ167,"")</f>
        <v/>
      </c>
      <c r="AG166" s="249" t="str">
        <f>IF(BA168=0,"",IF(AD168="",AX166,IF(AND(D166&lt;&gt;"",AU166=""),AX168*SQRT(AP168^2+AP169^2)/SQRT(AS166^2+AS167^2)/AQ167,AX166*SQRT(AP168^2+AP169^2)/SQRT(AS166^2+AS167^2))))</f>
        <v/>
      </c>
      <c r="AH166" s="250"/>
      <c r="AI166" s="234" t="str">
        <f>IF(AG166="","",IF(N(U166)&lt;0,-AX166*AQ167/SQRT(AS166^2+AS167^2),AX166*AQ167/SQRT(AS166^2+AS167^2)))</f>
        <v/>
      </c>
      <c r="AJ166" s="256"/>
      <c r="AK166" s="257"/>
      <c r="AL166" s="186"/>
      <c r="AM166" s="28"/>
      <c r="AN166" s="213" t="b">
        <f>IF(BA166="","",IF(AND(BA166=1,F168=50,L166="oil cooled type"),VLOOKUP(L168,変１,2,FALSE),IF(AND(BA166=1,F168=50,L166="(F)molded type"),VLOOKUP(L168,変１,7,FALSE),IF(AND(BA166=1,F168=60,L166="oil cooled type"),VLOOKUP(L168,変１,12,FALSE),IF(AND(BA166=1,F168=60,L166="(F)molded type"),VLOOKUP(L168,変１,17,FALSE),FALSE)))))</f>
        <v>0</v>
      </c>
      <c r="AO166" s="213">
        <f>IF(ISNA(VLOOKUP(L168,変ＵＳＥＲ,2,FALSE)),0,VLOOKUP(L168,変ＵＳＥＲ,2,FALSE))</f>
        <v>0</v>
      </c>
      <c r="AP166" s="214">
        <f>IF(N166="",0,N166*1000/BA168^2/SQRT(BA166))</f>
        <v>0</v>
      </c>
      <c r="AQ166" s="213" t="b">
        <f>IF(BA166=1,2,IF(BA166=3,SQRT(3),FALSE))</f>
        <v>0</v>
      </c>
      <c r="AR166" s="215" t="str">
        <f>IF(X166="","",IF(X166="600V IV",VLOOKUP(X168,ＩＶ,2,FALSE),IF(X166="600V CV-T",VLOOKUP(X168,ＣＶＴ,2,FALSE),IF(OR(X166="600V CV-1C",X166="600V CV-2C",X166="600V CV-3C",X166="600V CV-4C"),VLOOKUP(X168,ＣＶ２３Ｃ,2,FALSE),VLOOKUP(X168,ＣＵＳＥＲ,2,FALSE)))))</f>
        <v/>
      </c>
      <c r="AS166" s="213" t="str">
        <f>IF(AB169="",AP168,AP168+(AB169/1000))</f>
        <v/>
      </c>
      <c r="AT166" s="216" t="str">
        <f>IF(AU168="",AT168,AU168)</f>
        <v/>
      </c>
      <c r="AU166" s="216" t="str">
        <f>IF(D166="","",IF(AND(D426="",#REF!&lt;&gt;"",AV169=#REF!),#REF!,IF(AND(D426="",#REF!="",#REF!&lt;&gt;"",AV429=#REF!),#REF!,IF(AND(D426="",#REF!="",#REF!="",#REF!&lt;&gt;"",#REF!=#REF!),#REF!,IF(AND(D426="",#REF!="",#REF!="",#REF!="",D430&lt;&gt;"",#REF!=#REF!),AT430,IF(AND(D426="",#REF!="",#REF!="",#REF!="",D430="",#REF!&lt;&gt;"",#REF!=AV434),#REF!,IF(AND(D426="",#REF!="",#REF!="",#REF!="",D430="",#REF!="",D435&lt;&gt;"",#REF!=AV438),AT435,"")))))))</f>
        <v/>
      </c>
      <c r="AV166" s="216" t="str">
        <f>IF(L166="ACG",IF(ISNA(VLOOKUP(L168,ＡＣＧ,2,FALSE)),0,VLOOKUP(L168,ＡＣＧ,2,FALSE)),"")</f>
        <v/>
      </c>
      <c r="AW166" s="217" t="str">
        <f>IF(AT166="","",AT166/((AT166*AP166)^2+(AT167*AP166-1)^2))</f>
        <v/>
      </c>
      <c r="AX166" s="218" t="str">
        <f>IF(BA168=0,"",IF(OR(AX162="",AF166&lt;&gt;""),AF166*SQRT(AS168^2+AS169^2)/SQRT(AT168^2+AT169^2),AX162*SQRT(AS168^2+AS169^2)/SQRT(AT168^2+AT169^2)))</f>
        <v/>
      </c>
      <c r="AY166" s="219">
        <f>IF(N(AY168)=10^30,10^30,IF(N(AY428)=10^30,(N(AY168)*(N(AY428)^2+N(AY429)^2)+N(AY428)*(N(AY168)^2+N(AY169)^2))/((N(AY168)+N(AY428))^2+(N(AY169)+N(AY429))^2),(N(AY168)*(N(AY426)^2+N(AY427)^2)+N(AY426)*(N(AY168)^2+N(AY169)^2))/((N(AY168)+N(AY426))^2+(N(AY169)+N(AY427))^2)))</f>
        <v>1E+30</v>
      </c>
      <c r="AZ166" s="23"/>
      <c r="BA166" s="220">
        <f>IF(AND(F166="",SUM(S166:S169)&lt;&gt;0),BA162,F166)</f>
        <v>0</v>
      </c>
      <c r="BB166" s="221">
        <f t="shared" si="3"/>
        <v>0</v>
      </c>
      <c r="BC166" s="232">
        <f>IF(OR(E166="",F169="",AND(OR(P166="",Q166="",R166="",T166=""),OR(P167="",Q167="",R167="",T167=""),OR(P168="",Q168="",R168="",T168=""),OR(P169="",Q169="",R169="",T169="")),AND(OR(X166="",X168="",Y168="",Z168=""),OR(AB166="",AB168="",AC168="",AD168=""))),0,1)</f>
        <v>0</v>
      </c>
      <c r="BD166" s="232">
        <f>BC166+BD162</f>
        <v>0</v>
      </c>
    </row>
    <row r="167" spans="1:56" ht="15" customHeight="1">
      <c r="B167" s="85"/>
      <c r="C167" s="271"/>
      <c r="D167" s="409"/>
      <c r="E167" s="362"/>
      <c r="F167" s="410"/>
      <c r="G167" s="266"/>
      <c r="H167" s="266"/>
      <c r="I167" s="266"/>
      <c r="J167" s="266"/>
      <c r="K167" s="273"/>
      <c r="L167" s="411"/>
      <c r="M167" s="197" t="str">
        <f>IF(L166="ACG",SQRT(AV166^2+AV167^2),IF(L168="","",IF(OR(L166="oil cooled type",L166="(F)molded type"),IF(BA166=1,SQRT(AN166^2+AN167^2),IF(BA166=3,SQRT(AN168^2+AN169^2))),SQRT(AO166^2+AO167^2))))</f>
        <v/>
      </c>
      <c r="N167" s="412"/>
      <c r="O167" s="198"/>
      <c r="P167" s="90"/>
      <c r="Q167" s="199"/>
      <c r="R167" s="91"/>
      <c r="S167" s="92" t="str">
        <f>IF(R168="","",IF(Q168="",P168/R168,P168/(Q168*R168)))</f>
        <v/>
      </c>
      <c r="T167" s="200"/>
      <c r="U167" s="201" t="str">
        <f>IF(OR(BA168="",S167=""),"",S167*1000*T167/(SQRT(BA166)*BA168))</f>
        <v/>
      </c>
      <c r="V167" s="255"/>
      <c r="W167" s="248"/>
      <c r="X167" s="258"/>
      <c r="Y167" s="245"/>
      <c r="Z167" s="246"/>
      <c r="AA167" s="240"/>
      <c r="AB167" s="244"/>
      <c r="AC167" s="245"/>
      <c r="AD167" s="246"/>
      <c r="AE167" s="248"/>
      <c r="AF167" s="235" t="str">
        <f>IF(OR(AF166="",AG162&lt;&gt;""),"",AF166*AQ167/SQRT(AT166^2+AT167^2))</f>
        <v/>
      </c>
      <c r="AG167" s="274" t="str">
        <f>IF(AG166="","",100*AG166*AQ167/BA168)</f>
        <v/>
      </c>
      <c r="AH167" s="275"/>
      <c r="AI167" s="260" t="str">
        <f>IF(BA168=0,"",IF(AI162="",AX168/SQRT(AT166^2+AT167^2),IF(AI170="","",IF(AT166&lt;0,-AX166*AQ163/SQRT(AT166^2+AT167^2),AX166*AQ163/SQRT(AT166^2+AT167^2)))))</f>
        <v/>
      </c>
      <c r="AJ167" s="258"/>
      <c r="AK167" s="259"/>
      <c r="AL167" s="187"/>
      <c r="AM167" s="28"/>
      <c r="AN167" s="213" t="b">
        <f>IF(BA166="","",IF(AND(BA166=1,F168=50,L166="oil cooled type"),VLOOKUP(L168,変１,3,FALSE),IF(AND(BA166=1,F168=50,L166="(F)molded type"),VLOOKUP(L168,変１,8,FALSE),IF(AND(BA166=1,F168=60,L166="oil cooled type"),VLOOKUP(L168,変１,13,FALSE),IF(AND(BA166=1,F168=60,L166="(F)molded type"),VLOOKUP(L168,変１,18,FALSE),FALSE)))))</f>
        <v>0</v>
      </c>
      <c r="AO167" s="213">
        <f>IF(ISNA(VLOOKUP(L168,変ＵＳＥＲ,3,FALSE)),0,VLOOKUP(L168,変ＵＳＥＲ,3,FALSE)*BA169/50)</f>
        <v>0</v>
      </c>
      <c r="AP167" s="214">
        <f>IF(W166="",0,W166*1000/BA168^2/SQRT(BA166))</f>
        <v>0</v>
      </c>
      <c r="AQ167" s="213">
        <f>IF(AND(BA166=1,BA167=2),1,IF(AND(BA166=3,BA167=3),1,IF(AND(BA166=1,BA167=3),2,IF(AND(BA166=3,BA167=4)*OR(BB166=1,BB167=1,BB168=1,BB169=1),1,SQRT(3)))))</f>
        <v>1.7320508075688772</v>
      </c>
      <c r="AR167" s="215" t="str">
        <f>IF(X166="","",IF(X166="600V IV",VLOOKUP(X168,ＩＶ,3,FALSE),IF(X166="600V CV-T",VLOOKUP(X168,ＣＶＴ,3,FALSE),IF(OR(X166="600V CV-1C",X166="600V CV-2C",X166="600V CV-3C",X166="600V CV-4C"),VLOOKUP(X168,ＣＶ２３Ｃ,3,FALSE),VLOOKUP(X168,ＣＵＳＥＲ,3,FALSE)))))</f>
        <v/>
      </c>
      <c r="AS167" s="213" t="str">
        <f>IF(AD169="",AP169,AP169+(AD169/1000))</f>
        <v/>
      </c>
      <c r="AT167" s="216" t="str">
        <f>IF(AU169="",AT169,AU169)</f>
        <v/>
      </c>
      <c r="AU167" s="216" t="str">
        <f>IF(D166="","",IF(AND(D426="",#REF!&lt;&gt;"",AV169=#REF!),#REF!,IF(AND(D426="",#REF!="",#REF!&lt;&gt;"",AV429=#REF!),#REF!,IF(AND(D426="",#REF!="",#REF!="",#REF!&lt;&gt;"",#REF!=#REF!),#REF!,IF(AND(D426="",#REF!="",#REF!="",#REF!="",D430&lt;&gt;"",#REF!=#REF!),AT431,IF(AND(D426="",#REF!="",#REF!="",#REF!="",D430="",#REF!&lt;&gt;"",#REF!=AV434),AT432,IF(AND(D426="",#REF!="",#REF!="",#REF!="",D430="",#REF!="",D435&lt;&gt;"",#REF!=AV438),AT436,"")))))))</f>
        <v/>
      </c>
      <c r="AV167" s="215" t="str">
        <f>IF(L166="ACG",IF(ISNA(VLOOKUP(L168,ＡＣＧ,3,FALSE)),0,VLOOKUP(L168,ＡＣＧ,3,FALSE)*BA169/50),"")</f>
        <v/>
      </c>
      <c r="AW167" s="217" t="str">
        <f>IF(AT167="","",(AT167-AP166*(AT166^2+AT167^2))/((AT166*AP166)^2+(AP166*AT167-1)^2))</f>
        <v/>
      </c>
      <c r="AX167" s="218"/>
      <c r="AY167" s="219">
        <f>IF(N(AY169)=10^30,10^30,IF(N(AY429)=10^30,(N(AY169)*(N(AY428)^2+N(AY429)^2)+N(AY429)*(N(AY168)^2+N(AY169)^2))/((N(AY168)+N(AY428))^2+(N(AY169)+N(AY429))^2),(N(AY169)*(N(AY426)^2+N(AY427)^2)+N(AY427)*(N(AY168)^2+N(AY169)^2))/((N(AY168)+N(AY426))^2+(N(AY169)+N(AY427))^2)))</f>
        <v>1E+30</v>
      </c>
      <c r="AZ167" s="23"/>
      <c r="BA167" s="220">
        <f>IF(AND(H166="",SUM(S166:S169)&lt;&gt;0),BA163,H166)</f>
        <v>0</v>
      </c>
      <c r="BB167" s="221">
        <f t="shared" si="3"/>
        <v>0</v>
      </c>
      <c r="BC167" s="232"/>
      <c r="BD167" s="232"/>
    </row>
    <row r="168" spans="1:56" ht="15" customHeight="1">
      <c r="B168" s="85"/>
      <c r="C168" s="271"/>
      <c r="D168" s="409"/>
      <c r="E168" s="362"/>
      <c r="F168" s="413"/>
      <c r="G168" s="414"/>
      <c r="H168" s="414"/>
      <c r="I168" s="414"/>
      <c r="J168" s="414"/>
      <c r="K168" s="415"/>
      <c r="L168" s="416"/>
      <c r="M168" s="275"/>
      <c r="N168" s="412"/>
      <c r="O168" s="198"/>
      <c r="P168" s="93"/>
      <c r="Q168" s="202"/>
      <c r="R168" s="91"/>
      <c r="S168" s="92" t="str">
        <f>IF(R169="","",IF(Q169="",P169/R169,P169/(Q169*R169)))</f>
        <v/>
      </c>
      <c r="T168" s="200"/>
      <c r="U168" s="203" t="str">
        <f>IF(OR(BA168="",S168=""),"",S168*1000*T168/(SQRT(BA166)*BA168))</f>
        <v/>
      </c>
      <c r="V168" s="94" t="str">
        <f>IF(AND(N(U166)=0,N(U167)=0,N(U168)=0,N(U169)=0),"",V166*(P166*R166*T166+P167*R167*T167+P168*R168*T168+P169*R169*T169)/(P166*T166+P167*T167+P168*T168+P169*T169))</f>
        <v/>
      </c>
      <c r="W168" s="276" t="str">
        <f>IF(AND(N(AP168)=0,N(AP169)=0,N(AP167)=0),"",IF(AP169&gt;=0,COS(ATAN(AP169/AP168)),-COS(ATAN(AP169/AP168))))</f>
        <v/>
      </c>
      <c r="X168" s="95"/>
      <c r="Y168" s="204"/>
      <c r="Z168" s="96"/>
      <c r="AA168" s="97"/>
      <c r="AB168" s="98"/>
      <c r="AC168" s="204"/>
      <c r="AD168" s="96"/>
      <c r="AE168" s="99"/>
      <c r="AF168" s="236" t="str">
        <f>IF(OR(AF166="",AG162&lt;&gt;""),"",BA168/SQRT(AW168^2+AW169^2))</f>
        <v/>
      </c>
      <c r="AG168" s="274" t="str">
        <f>IF(AG166="","",100*((BA168/AQ167)-AG166)/(BA168/AQ167))</f>
        <v/>
      </c>
      <c r="AH168" s="275"/>
      <c r="AI168" s="261"/>
      <c r="AJ168" s="262"/>
      <c r="AK168" s="264"/>
      <c r="AL168" s="188"/>
      <c r="AM168" s="28"/>
      <c r="AN168" s="222" t="b">
        <f>IF(BA166="","",IF(AND(BA166=3,F168=50,L166="oil cooled type"),VLOOKUP(L168,変３,2,FALSE),IF(AND(BA166=3,F168=50,L166="(F)molded type"),VLOOKUP(L168,変３,7,FALSE),IF(AND(BA166=3,F168=60,L166="oil cooled type"),VLOOKUP(L168,変３,12,FALSE),IF(AND(BA166=3,F168=60,L166="(F)molded type"),VLOOKUP(L168,変３,17,FALSE),FALSE)))))</f>
        <v>0</v>
      </c>
      <c r="AO168" s="215" t="str">
        <f>IF(AND(L162="",N(AY166)&lt;10^29),AY166,"")</f>
        <v/>
      </c>
      <c r="AP168" s="223" t="str">
        <f>IF(V166="","",IF(AND(N(V168)=0,N(AP167)=0),"",AQ168/((AQ168*AP167)^2+(AP167*AQ169-1)^2)))</f>
        <v/>
      </c>
      <c r="AQ168" s="213">
        <f>IF(N(V168)=0,10^30,V168)</f>
        <v>1E+30</v>
      </c>
      <c r="AR168" s="215" t="str">
        <f>IF(AB166="","",IF(AB166="600V IV",VLOOKUP(AB168,ＩＶ,2,FALSE),IF(AB166="600V CV-T",VLOOKUP(AB168,ＣＶＴ,2,FALSE),IF(OR(AB166="600V CV-1C",AB166="600V CV-2C",AB166="600V CV-3C",AB166="600V CV-4C"),VLOOKUP(AB168,ＣＶ２３Ｃ,2,FALSE),VLOOKUP(AB168,ＣＵＳＥＲ,2,FALSE)))))</f>
        <v/>
      </c>
      <c r="AS168" s="213" t="str">
        <f>IF(OR(AND(AS426="",AS427=""),AND(D166="",D426&lt;&gt;"")),AS166,(AS166*(AT426^2+AT427^2)+AT426*(AS166^2+AS167^2))/((AS166+AT426)^2+(AS167+AT427)^2))</f>
        <v/>
      </c>
      <c r="AT168" s="216" t="str">
        <f>IF(X169="",AS168,N(AS168)+(X169/1000))</f>
        <v/>
      </c>
      <c r="AU168" s="216" t="str">
        <f>IF(AU166="","",(AT168*(AU166^2+AU167^2)+AU166*(AT168^2+AT169^2))/((AT168+AU166)^2+(AT169+AU167)^2))</f>
        <v/>
      </c>
      <c r="AV168" s="216">
        <f>IF(BA168=0,1,0)</f>
        <v>1</v>
      </c>
      <c r="AW168" s="217" t="str">
        <f>IF(AO168="","",AW166+AO168)</f>
        <v/>
      </c>
      <c r="AX168" s="218" t="str">
        <f>IF(AND(AX164="",AW168&lt;&gt;""),BA168*SQRT(AW166^2+AW167^2)/SQRT(AW168^2+AW169^2),IF(BA168&lt;&gt;0,AX164,""))</f>
        <v/>
      </c>
      <c r="AY168" s="224">
        <f>IF(L168="",10^30,SQRT(BA166)*(BA168^2)*(N(AN166)+N(AN168)+N(AO166)+N(AV166))/(100000*L168*M166))</f>
        <v>1E+30</v>
      </c>
      <c r="AZ168" s="225"/>
      <c r="BA168" s="220">
        <f>IF(AND(J166="",SUM(S166:S169)&lt;&gt;0),BA164,J166)</f>
        <v>0</v>
      </c>
      <c r="BB168" s="221">
        <f t="shared" si="3"/>
        <v>0</v>
      </c>
      <c r="BC168" s="232"/>
      <c r="BD168" s="232"/>
    </row>
    <row r="169" spans="1:56" ht="15" customHeight="1">
      <c r="A169" s="85"/>
      <c r="B169" s="85"/>
      <c r="C169" s="271"/>
      <c r="D169" s="417"/>
      <c r="E169" s="418"/>
      <c r="F169" s="419"/>
      <c r="G169" s="270"/>
      <c r="H169" s="270"/>
      <c r="I169" s="270"/>
      <c r="J169" s="270"/>
      <c r="K169" s="268"/>
      <c r="L169" s="251" t="str">
        <f>IF(M166="","",L168*1000*M166/(SQRT(BA166)*BA168))</f>
        <v/>
      </c>
      <c r="M169" s="252"/>
      <c r="N169" s="277"/>
      <c r="O169" s="205"/>
      <c r="P169" s="106"/>
      <c r="Q169" s="206"/>
      <c r="R169" s="107"/>
      <c r="S169" s="108" t="str">
        <f>IF(R169="","",IF(Q169="",P169/R169,P169/(Q169*R169)))</f>
        <v/>
      </c>
      <c r="T169" s="207"/>
      <c r="U169" s="208" t="str">
        <f>IF(OR(BA168="",S169=""),"",S169*1000*T169/(SQRT(BA166)*BA168))</f>
        <v/>
      </c>
      <c r="V169" s="109" t="str">
        <f>IF(AND(N(U166)=0,N(U167)=0,N(U168)=0,N(U169)=0),"",IF(V166&gt;=0,SQRT(ABS(V166^2-V168^2)),-SQRT(V166^2-V168^2)))</f>
        <v/>
      </c>
      <c r="W169" s="277"/>
      <c r="X169" s="278" t="str">
        <f>IF(Y168="","",AQ166*Z168*AR166*((1+0.00393*(F169-20))/1.2751)/Y168)</f>
        <v/>
      </c>
      <c r="Y169" s="270"/>
      <c r="Z169" s="267" t="str">
        <f>IF(Y168="","",(BA169/50)*AQ166*Z168*AR167/Y168)</f>
        <v/>
      </c>
      <c r="AA169" s="252"/>
      <c r="AB169" s="279" t="str">
        <f>IF(AC168="","",AQ166*AD168*AR168*((1+0.00393*(F169-20))/1.2751)/AC168)</f>
        <v/>
      </c>
      <c r="AC169" s="270"/>
      <c r="AD169" s="267" t="str">
        <f>IF(AC168="","",(BA169/50)*AQ166*AD168*AR169/AC168)</f>
        <v/>
      </c>
      <c r="AE169" s="268"/>
      <c r="AF169" s="237" t="str">
        <f>IF(AND(AX166&lt;&gt;"",D166=""),AX166,"")</f>
        <v/>
      </c>
      <c r="AG169" s="269" t="str">
        <f>IF(AP168="","",AP168)</f>
        <v/>
      </c>
      <c r="AH169" s="270"/>
      <c r="AI169" s="238" t="str">
        <f>IF(AP169="","",AP169)</f>
        <v/>
      </c>
      <c r="AJ169" s="263"/>
      <c r="AK169" s="253"/>
      <c r="AL169" s="189"/>
      <c r="AM169" s="28"/>
      <c r="AN169" s="226" t="b">
        <f>IF(BA166="","",IF(AND(BA166=3,F168=50,L166="oil cooled type"),VLOOKUP(L168,変３,3,FALSE),IF(AND(BA166=3,F168=50,L166="(F)molded type"),VLOOKUP(L168,変３,8,FALSE),IF(AND(BA166=3,F168=60,L166="oil cooled type"),VLOOKUP(L168,変３,13,FALSE),IF(AND(BA166=3,F168=60,L166="(F)molded type"),VLOOKUP(L168,変３,18,FALSE),FALSE)))))</f>
        <v>0</v>
      </c>
      <c r="AO169" s="226" t="str">
        <f>IF(AND(L162="",N(AY167)&lt;10^29),AY167,"")</f>
        <v/>
      </c>
      <c r="AP169" s="227" t="str">
        <f>IF(V166="","",IF(AND(N(V169)=0,N(AP167)=0),0,(AQ169-AP167*(AQ168^2+AQ169^2))/((AQ168*AP167)^2+(AP167*AQ169-1)^2)))</f>
        <v/>
      </c>
      <c r="AQ169" s="228">
        <f>IF(N(V169)=0,10^30,V169)</f>
        <v>1E+30</v>
      </c>
      <c r="AR169" s="226" t="str">
        <f>IF(AB166="","",IF(AB166="600V IV",VLOOKUP(AB168,ＩＶ,3,FALSE),IF(AB166="600V CV-T",VLOOKUP(AB168,ＣＶＴ,3,FALSE),IF(OR(AB166="600V CV-1C",AB166="600V CV-2C",AB166="600V CV-3C",AB166="600V CV-4C"),VLOOKUP(AB168,ＣＶ２３Ｃ,3,FALSE),VLOOKUP(AB168,ＣＵＳＥＲ,3,FALSE)))))</f>
        <v/>
      </c>
      <c r="AS169" s="228" t="str">
        <f>IF(OR(AND(AS426="",AS427=""),AND(D166="",D426&lt;&gt;"")),AS167,(AS167*(AT426^2+AT427^2)+AT427*(AS166^2+AS167^2))/((AS166+AT426)^2+(AS167+AT427)^2))</f>
        <v/>
      </c>
      <c r="AT169" s="229" t="str">
        <f>IF(Z169="",AS169,N(AS169)+(Z169/1000))</f>
        <v/>
      </c>
      <c r="AU169" s="229" t="str">
        <f>IF(AU167="","",(AT169*(AU166^2+AU167^2)+AU167*(AT168^2+AT169^2))/((AT168+AU166)^2+(AT169+AU167)^2))</f>
        <v/>
      </c>
      <c r="AV169" s="229">
        <f>AV165+AV168</f>
        <v>38</v>
      </c>
      <c r="AW169" s="228" t="str">
        <f>IF(AO169="","",AW167+AO169)</f>
        <v/>
      </c>
      <c r="AX169" s="230"/>
      <c r="AY169" s="224">
        <f>IF(L168="",10^30,SQRT(BA166)*(BA168^2)*(N(AN167)+N(AN169)+N(AO167)+N(AV167))/(100000*L168*M166))</f>
        <v>1E+30</v>
      </c>
      <c r="AZ169" s="225"/>
      <c r="BA169" s="220">
        <f>IF(AND(F168="",SUM(S166:S169)&lt;&gt;0),BA165,F168)</f>
        <v>0</v>
      </c>
      <c r="BB169" s="221">
        <f t="shared" si="3"/>
        <v>0</v>
      </c>
      <c r="BC169" s="232"/>
      <c r="BD169" s="232"/>
    </row>
    <row r="170" spans="1:56" ht="15" customHeight="1">
      <c r="B170" s="85"/>
      <c r="C170" s="271" t="str">
        <f>IF(BC170=1,"●","・")</f>
        <v>・</v>
      </c>
      <c r="D170" s="402"/>
      <c r="E170" s="403"/>
      <c r="F170" s="404"/>
      <c r="G170" s="265" t="str">
        <f>IF(F170="","","φ")</f>
        <v/>
      </c>
      <c r="H170" s="405"/>
      <c r="I170" s="265" t="str">
        <f>IF(H170="","","W")</f>
        <v/>
      </c>
      <c r="J170" s="405"/>
      <c r="K170" s="272" t="str">
        <f>IF(J170="","","V")</f>
        <v/>
      </c>
      <c r="L170" s="406"/>
      <c r="M170" s="407"/>
      <c r="N170" s="408"/>
      <c r="O170" s="193"/>
      <c r="P170" s="86"/>
      <c r="Q170" s="194"/>
      <c r="R170" s="87"/>
      <c r="S170" s="88" t="str">
        <f>IF(R170="","",IF(Q170="",P170/R170,P170/(Q170*R170)))</f>
        <v/>
      </c>
      <c r="T170" s="195"/>
      <c r="U170" s="196" t="str">
        <f>IF(OR(BA172="",S170=""),"",S170*1000*T170/(SQRT(BA170)*BA172))</f>
        <v/>
      </c>
      <c r="V170" s="254" t="str">
        <f>IF(AND(N(U170)=0,N(U171)=0,N(U172)=0,N(U173)=0),"",BA172/(SUM(U170:U173)))</f>
        <v/>
      </c>
      <c r="W170" s="280"/>
      <c r="X170" s="281"/>
      <c r="Y170" s="242"/>
      <c r="Z170" s="243"/>
      <c r="AA170" s="239"/>
      <c r="AB170" s="241"/>
      <c r="AC170" s="242"/>
      <c r="AD170" s="243"/>
      <c r="AE170" s="247"/>
      <c r="AF170" s="233" t="str">
        <f>IF(OR(AND(AF166="",N(BA168)=0,BA172&lt;&gt;0),D170&lt;&gt;""),AX172/AQ171,"")</f>
        <v/>
      </c>
      <c r="AG170" s="249" t="str">
        <f>IF(BA172=0,"",IF(AD172="",AX170,IF(AND(D170&lt;&gt;"",AU170=""),AX172*SQRT(AP172^2+AP173^2)/SQRT(AS170^2+AS171^2)/AQ171,AX170*SQRT(AP172^2+AP173^2)/SQRT(AS170^2+AS171^2))))</f>
        <v/>
      </c>
      <c r="AH170" s="250"/>
      <c r="AI170" s="234" t="str">
        <f>IF(AG170="","",IF(N(U170)&lt;0,-AX170*AQ171/SQRT(AS170^2+AS171^2),AX170*AQ171/SQRT(AS170^2+AS171^2)))</f>
        <v/>
      </c>
      <c r="AJ170" s="256"/>
      <c r="AK170" s="257"/>
      <c r="AL170" s="186"/>
      <c r="AM170" s="28"/>
      <c r="AN170" s="213" t="b">
        <f>IF(BA170="","",IF(AND(BA170=1,F172=50,L170="oil cooled type"),VLOOKUP(L172,変１,2,FALSE),IF(AND(BA170=1,F172=50,L170="(F)molded type"),VLOOKUP(L172,変１,7,FALSE),IF(AND(BA170=1,F172=60,L170="oil cooled type"),VLOOKUP(L172,変１,12,FALSE),IF(AND(BA170=1,F172=60,L170="(F)molded type"),VLOOKUP(L172,変１,17,FALSE),FALSE)))))</f>
        <v>0</v>
      </c>
      <c r="AO170" s="213">
        <f>IF(ISNA(VLOOKUP(L172,変ＵＳＥＲ,2,FALSE)),0,VLOOKUP(L172,変ＵＳＥＲ,2,FALSE))</f>
        <v>0</v>
      </c>
      <c r="AP170" s="214">
        <f>IF(N170="",0,N170*1000/BA172^2/SQRT(BA170))</f>
        <v>0</v>
      </c>
      <c r="AQ170" s="213" t="b">
        <f>IF(BA170=1,2,IF(BA170=3,SQRT(3),FALSE))</f>
        <v>0</v>
      </c>
      <c r="AR170" s="215" t="str">
        <f>IF(X170="","",IF(X170="600V IV",VLOOKUP(X172,ＩＶ,2,FALSE),IF(X170="600V CV-T",VLOOKUP(X172,ＣＶＴ,2,FALSE),IF(OR(X170="600V CV-1C",X170="600V CV-2C",X170="600V CV-3C",X170="600V CV-4C"),VLOOKUP(X172,ＣＶ２３Ｃ,2,FALSE),VLOOKUP(X172,ＣＵＳＥＲ,2,FALSE)))))</f>
        <v/>
      </c>
      <c r="AS170" s="213" t="str">
        <f>IF(AB173="",AP172,AP172+(AB173/1000))</f>
        <v/>
      </c>
      <c r="AT170" s="216" t="str">
        <f>IF(AU172="",AT172,AU172)</f>
        <v/>
      </c>
      <c r="AU170" s="216" t="str">
        <f>IF(D170="","",IF(AND(D430="",#REF!&lt;&gt;"",AV173=#REF!),#REF!,IF(AND(D430="",#REF!="",#REF!&lt;&gt;"",AV433=#REF!),#REF!,IF(AND(D430="",#REF!="",#REF!="",#REF!&lt;&gt;"",#REF!=#REF!),#REF!,IF(AND(D430="",#REF!="",#REF!="",#REF!="",D434&lt;&gt;"",#REF!=#REF!),AT434,IF(AND(D430="",#REF!="",#REF!="",#REF!="",D434="",#REF!&lt;&gt;"",#REF!=AV438),#REF!,IF(AND(D430="",#REF!="",#REF!="",#REF!="",D434="",#REF!="",D439&lt;&gt;"",#REF!=AV442),AT439,"")))))))</f>
        <v/>
      </c>
      <c r="AV170" s="216" t="str">
        <f>IF(L170="ACG",IF(ISNA(VLOOKUP(L172,ＡＣＧ,2,FALSE)),0,VLOOKUP(L172,ＡＣＧ,2,FALSE)),"")</f>
        <v/>
      </c>
      <c r="AW170" s="217" t="str">
        <f>IF(AT170="","",AT170/((AT170*AP170)^2+(AT171*AP170-1)^2))</f>
        <v/>
      </c>
      <c r="AX170" s="218" t="str">
        <f>IF(BA172=0,"",IF(OR(AX166="",AF170&lt;&gt;""),AF170*SQRT(AS172^2+AS173^2)/SQRT(AT172^2+AT173^2),AX166*SQRT(AS172^2+AS173^2)/SQRT(AT172^2+AT173^2)))</f>
        <v/>
      </c>
      <c r="AY170" s="219">
        <f>IF(N(AY172)=10^30,10^30,IF(N(AY432)=10^30,(N(AY172)*(N(AY432)^2+N(AY433)^2)+N(AY432)*(N(AY172)^2+N(AY173)^2))/((N(AY172)+N(AY432))^2+(N(AY173)+N(AY433))^2),(N(AY172)*(N(AY430)^2+N(AY431)^2)+N(AY430)*(N(AY172)^2+N(AY173)^2))/((N(AY172)+N(AY430))^2+(N(AY173)+N(AY431))^2)))</f>
        <v>1E+30</v>
      </c>
      <c r="AZ170" s="23"/>
      <c r="BA170" s="220">
        <f>IF(AND(F170="",SUM(S170:S173)&lt;&gt;0),BA166,F170)</f>
        <v>0</v>
      </c>
      <c r="BB170" s="221">
        <f t="shared" si="3"/>
        <v>0</v>
      </c>
      <c r="BC170" s="232">
        <f>IF(OR(E170="",F173="",AND(OR(P170="",Q170="",R170="",T170=""),OR(P171="",Q171="",R171="",T171=""),OR(P172="",Q172="",R172="",T172=""),OR(P173="",Q173="",R173="",T173="")),AND(OR(X170="",X172="",Y172="",Z172=""),OR(AB170="",AB172="",AC172="",AD172=""))),0,1)</f>
        <v>0</v>
      </c>
      <c r="BD170" s="232">
        <f>BC170+BD166</f>
        <v>0</v>
      </c>
    </row>
    <row r="171" spans="1:56" ht="15" customHeight="1">
      <c r="B171" s="85"/>
      <c r="C171" s="271"/>
      <c r="D171" s="409"/>
      <c r="E171" s="362"/>
      <c r="F171" s="410"/>
      <c r="G171" s="266"/>
      <c r="H171" s="266"/>
      <c r="I171" s="266"/>
      <c r="J171" s="266"/>
      <c r="K171" s="273"/>
      <c r="L171" s="411"/>
      <c r="M171" s="197" t="str">
        <f>IF(L170="ACG",SQRT(AV170^2+AV171^2),IF(L172="","",IF(OR(L170="oil cooled type",L170="(F)molded type"),IF(BA170=1,SQRT(AN170^2+AN171^2),IF(BA170=3,SQRT(AN172^2+AN173^2))),SQRT(AO170^2+AO171^2))))</f>
        <v/>
      </c>
      <c r="N171" s="412"/>
      <c r="O171" s="198"/>
      <c r="P171" s="90"/>
      <c r="Q171" s="199"/>
      <c r="R171" s="91"/>
      <c r="S171" s="92" t="str">
        <f>IF(R172="","",IF(Q172="",P172/R172,P172/(Q172*R172)))</f>
        <v/>
      </c>
      <c r="T171" s="200"/>
      <c r="U171" s="201" t="str">
        <f>IF(OR(BA172="",S171=""),"",S171*1000*T171/(SQRT(BA170)*BA172))</f>
        <v/>
      </c>
      <c r="V171" s="255"/>
      <c r="W171" s="248"/>
      <c r="X171" s="258"/>
      <c r="Y171" s="245"/>
      <c r="Z171" s="246"/>
      <c r="AA171" s="240"/>
      <c r="AB171" s="244"/>
      <c r="AC171" s="245"/>
      <c r="AD171" s="246"/>
      <c r="AE171" s="248"/>
      <c r="AF171" s="235" t="str">
        <f>IF(OR(AF170="",AG166&lt;&gt;""),"",AF170*AQ171/SQRT(AT170^2+AT171^2))</f>
        <v/>
      </c>
      <c r="AG171" s="274" t="str">
        <f>IF(AG170="","",100*AG170*AQ171/BA172)</f>
        <v/>
      </c>
      <c r="AH171" s="275"/>
      <c r="AI171" s="260" t="str">
        <f>IF(BA172=0,"",IF(AI166="",AX172/SQRT(AT170^2+AT171^2),IF(AI174="","",IF(AT170&lt;0,-AX170*AQ167/SQRT(AT170^2+AT171^2),AX170*AQ167/SQRT(AT170^2+AT171^2)))))</f>
        <v/>
      </c>
      <c r="AJ171" s="258"/>
      <c r="AK171" s="259"/>
      <c r="AL171" s="187"/>
      <c r="AM171" s="28"/>
      <c r="AN171" s="213" t="b">
        <f>IF(BA170="","",IF(AND(BA170=1,F172=50,L170="oil cooled type"),VLOOKUP(L172,変１,3,FALSE),IF(AND(BA170=1,F172=50,L170="(F)molded type"),VLOOKUP(L172,変１,8,FALSE),IF(AND(BA170=1,F172=60,L170="oil cooled type"),VLOOKUP(L172,変１,13,FALSE),IF(AND(BA170=1,F172=60,L170="(F)molded type"),VLOOKUP(L172,変１,18,FALSE),FALSE)))))</f>
        <v>0</v>
      </c>
      <c r="AO171" s="213">
        <f>IF(ISNA(VLOOKUP(L172,変ＵＳＥＲ,3,FALSE)),0,VLOOKUP(L172,変ＵＳＥＲ,3,FALSE)*BA173/50)</f>
        <v>0</v>
      </c>
      <c r="AP171" s="214">
        <f>IF(W170="",0,W170*1000/BA172^2/SQRT(BA170))</f>
        <v>0</v>
      </c>
      <c r="AQ171" s="213">
        <f>IF(AND(BA170=1,BA171=2),1,IF(AND(BA170=3,BA171=3),1,IF(AND(BA170=1,BA171=3),2,IF(AND(BA170=3,BA171=4)*OR(BB170=1,BB171=1,BB172=1,BB173=1),1,SQRT(3)))))</f>
        <v>1.7320508075688772</v>
      </c>
      <c r="AR171" s="215" t="str">
        <f>IF(X170="","",IF(X170="600V IV",VLOOKUP(X172,ＩＶ,3,FALSE),IF(X170="600V CV-T",VLOOKUP(X172,ＣＶＴ,3,FALSE),IF(OR(X170="600V CV-1C",X170="600V CV-2C",X170="600V CV-3C",X170="600V CV-4C"),VLOOKUP(X172,ＣＶ２３Ｃ,3,FALSE),VLOOKUP(X172,ＣＵＳＥＲ,3,FALSE)))))</f>
        <v/>
      </c>
      <c r="AS171" s="213" t="str">
        <f>IF(AD173="",AP173,AP173+(AD173/1000))</f>
        <v/>
      </c>
      <c r="AT171" s="216" t="str">
        <f>IF(AU173="",AT173,AU173)</f>
        <v/>
      </c>
      <c r="AU171" s="216" t="str">
        <f>IF(D170="","",IF(AND(D430="",#REF!&lt;&gt;"",AV173=#REF!),#REF!,IF(AND(D430="",#REF!="",#REF!&lt;&gt;"",AV433=#REF!),#REF!,IF(AND(D430="",#REF!="",#REF!="",#REF!&lt;&gt;"",#REF!=#REF!),#REF!,IF(AND(D430="",#REF!="",#REF!="",#REF!="",D434&lt;&gt;"",#REF!=#REF!),AT435,IF(AND(D430="",#REF!="",#REF!="",#REF!="",D434="",#REF!&lt;&gt;"",#REF!=AV438),AT436,IF(AND(D430="",#REF!="",#REF!="",#REF!="",D434="",#REF!="",D439&lt;&gt;"",#REF!=AV442),AT440,"")))))))</f>
        <v/>
      </c>
      <c r="AV171" s="215" t="str">
        <f>IF(L170="ACG",IF(ISNA(VLOOKUP(L172,ＡＣＧ,3,FALSE)),0,VLOOKUP(L172,ＡＣＧ,3,FALSE)*BA173/50),"")</f>
        <v/>
      </c>
      <c r="AW171" s="217" t="str">
        <f>IF(AT171="","",(AT171-AP170*(AT170^2+AT171^2))/((AT170*AP170)^2+(AP170*AT171-1)^2))</f>
        <v/>
      </c>
      <c r="AX171" s="218"/>
      <c r="AY171" s="219">
        <f>IF(N(AY173)=10^30,10^30,IF(N(AY433)=10^30,(N(AY173)*(N(AY432)^2+N(AY433)^2)+N(AY433)*(N(AY172)^2+N(AY173)^2))/((N(AY172)+N(AY432))^2+(N(AY173)+N(AY433))^2),(N(AY173)*(N(AY430)^2+N(AY431)^2)+N(AY431)*(N(AY172)^2+N(AY173)^2))/((N(AY172)+N(AY430))^2+(N(AY173)+N(AY431))^2)))</f>
        <v>1E+30</v>
      </c>
      <c r="AZ171" s="23"/>
      <c r="BA171" s="220">
        <f>IF(AND(H170="",SUM(S170:S173)&lt;&gt;0),BA167,H170)</f>
        <v>0</v>
      </c>
      <c r="BB171" s="221">
        <f t="shared" si="3"/>
        <v>0</v>
      </c>
      <c r="BC171" s="232"/>
      <c r="BD171" s="232"/>
    </row>
    <row r="172" spans="1:56" ht="15" customHeight="1">
      <c r="B172" s="85"/>
      <c r="C172" s="271"/>
      <c r="D172" s="409"/>
      <c r="E172" s="362"/>
      <c r="F172" s="413"/>
      <c r="G172" s="414"/>
      <c r="H172" s="414"/>
      <c r="I172" s="414"/>
      <c r="J172" s="414"/>
      <c r="K172" s="415"/>
      <c r="L172" s="416"/>
      <c r="M172" s="275"/>
      <c r="N172" s="412"/>
      <c r="O172" s="198"/>
      <c r="P172" s="93"/>
      <c r="Q172" s="202"/>
      <c r="R172" s="91"/>
      <c r="S172" s="92" t="str">
        <f>IF(R173="","",IF(Q173="",P173/R173,P173/(Q173*R173)))</f>
        <v/>
      </c>
      <c r="T172" s="200"/>
      <c r="U172" s="203" t="str">
        <f>IF(OR(BA172="",S172=""),"",S172*1000*T172/(SQRT(BA170)*BA172))</f>
        <v/>
      </c>
      <c r="V172" s="94" t="str">
        <f>IF(AND(N(U170)=0,N(U171)=0,N(U172)=0,N(U173)=0),"",V170*(P170*R170*T170+P171*R171*T171+P172*R172*T172+P173*R173*T173)/(P170*T170+P171*T171+P172*T172+P173*T173))</f>
        <v/>
      </c>
      <c r="W172" s="276" t="str">
        <f>IF(AND(N(AP172)=0,N(AP173)=0,N(AP171)=0),"",IF(AP173&gt;=0,COS(ATAN(AP173/AP172)),-COS(ATAN(AP173/AP172))))</f>
        <v/>
      </c>
      <c r="X172" s="95"/>
      <c r="Y172" s="204"/>
      <c r="Z172" s="96"/>
      <c r="AA172" s="97"/>
      <c r="AB172" s="98"/>
      <c r="AC172" s="204"/>
      <c r="AD172" s="96"/>
      <c r="AE172" s="99"/>
      <c r="AF172" s="236" t="str">
        <f>IF(OR(AF170="",AG166&lt;&gt;""),"",BA172/SQRT(AW172^2+AW173^2))</f>
        <v/>
      </c>
      <c r="AG172" s="274" t="str">
        <f>IF(AG170="","",100*((BA172/AQ171)-AG170)/(BA172/AQ171))</f>
        <v/>
      </c>
      <c r="AH172" s="275"/>
      <c r="AI172" s="261"/>
      <c r="AJ172" s="262"/>
      <c r="AK172" s="264"/>
      <c r="AL172" s="188"/>
      <c r="AM172" s="28"/>
      <c r="AN172" s="222" t="b">
        <f>IF(BA170="","",IF(AND(BA170=3,F172=50,L170="oil cooled type"),VLOOKUP(L172,変３,2,FALSE),IF(AND(BA170=3,F172=50,L170="(F)molded type"),VLOOKUP(L172,変３,7,FALSE),IF(AND(BA170=3,F172=60,L170="oil cooled type"),VLOOKUP(L172,変３,12,FALSE),IF(AND(BA170=3,F172=60,L170="(F)molded type"),VLOOKUP(L172,変３,17,FALSE),FALSE)))))</f>
        <v>0</v>
      </c>
      <c r="AO172" s="215" t="str">
        <f>IF(AND(L166="",N(AY170)&lt;10^29),AY170,"")</f>
        <v/>
      </c>
      <c r="AP172" s="223" t="str">
        <f>IF(V170="","",IF(AND(N(V172)=0,N(AP171)=0),"",AQ172/((AQ172*AP171)^2+(AP171*AQ173-1)^2)))</f>
        <v/>
      </c>
      <c r="AQ172" s="213">
        <f>IF(N(V172)=0,10^30,V172)</f>
        <v>1E+30</v>
      </c>
      <c r="AR172" s="215" t="str">
        <f>IF(AB170="","",IF(AB170="600V IV",VLOOKUP(AB172,ＩＶ,2,FALSE),IF(AB170="600V CV-T",VLOOKUP(AB172,ＣＶＴ,2,FALSE),IF(OR(AB170="600V CV-1C",AB170="600V CV-2C",AB170="600V CV-3C",AB170="600V CV-4C"),VLOOKUP(AB172,ＣＶ２３Ｃ,2,FALSE),VLOOKUP(AB172,ＣＵＳＥＲ,2,FALSE)))))</f>
        <v/>
      </c>
      <c r="AS172" s="213" t="str">
        <f>IF(OR(AND(AS430="",AS431=""),AND(D170="",D430&lt;&gt;"")),AS170,(AS170*(AT430^2+AT431^2)+AT430*(AS170^2+AS171^2))/((AS170+AT430)^2+(AS171+AT431)^2))</f>
        <v/>
      </c>
      <c r="AT172" s="216" t="str">
        <f>IF(X173="",AS172,N(AS172)+(X173/1000))</f>
        <v/>
      </c>
      <c r="AU172" s="216" t="str">
        <f>IF(AU170="","",(AT172*(AU170^2+AU171^2)+AU170*(AT172^2+AT173^2))/((AT172+AU170)^2+(AT173+AU171)^2))</f>
        <v/>
      </c>
      <c r="AV172" s="216">
        <f>IF(BA172=0,1,0)</f>
        <v>1</v>
      </c>
      <c r="AW172" s="217" t="str">
        <f>IF(AO172="","",AW170+AO172)</f>
        <v/>
      </c>
      <c r="AX172" s="218" t="str">
        <f>IF(AND(AX168="",AW172&lt;&gt;""),BA172*SQRT(AW170^2+AW171^2)/SQRT(AW172^2+AW173^2),IF(BA172&lt;&gt;0,AX168,""))</f>
        <v/>
      </c>
      <c r="AY172" s="224">
        <f>IF(L172="",10^30,SQRT(BA170)*(BA172^2)*(N(AN170)+N(AN172)+N(AO170)+N(AV170))/(100000*L172*M170))</f>
        <v>1E+30</v>
      </c>
      <c r="AZ172" s="225"/>
      <c r="BA172" s="220">
        <f>IF(AND(J170="",SUM(S170:S173)&lt;&gt;0),BA168,J170)</f>
        <v>0</v>
      </c>
      <c r="BB172" s="221">
        <f t="shared" si="3"/>
        <v>0</v>
      </c>
      <c r="BC172" s="232"/>
      <c r="BD172" s="232"/>
    </row>
    <row r="173" spans="1:56" ht="15" customHeight="1">
      <c r="A173" s="85"/>
      <c r="B173" s="85"/>
      <c r="C173" s="271"/>
      <c r="D173" s="417"/>
      <c r="E173" s="418"/>
      <c r="F173" s="419"/>
      <c r="G173" s="270"/>
      <c r="H173" s="270"/>
      <c r="I173" s="270"/>
      <c r="J173" s="270"/>
      <c r="K173" s="268"/>
      <c r="L173" s="251" t="str">
        <f>IF(M170="","",L172*1000*M170/(SQRT(BA170)*BA172))</f>
        <v/>
      </c>
      <c r="M173" s="252"/>
      <c r="N173" s="277"/>
      <c r="O173" s="205"/>
      <c r="P173" s="106"/>
      <c r="Q173" s="206"/>
      <c r="R173" s="107"/>
      <c r="S173" s="108" t="str">
        <f>IF(R173="","",IF(Q173="",P173/R173,P173/(Q173*R173)))</f>
        <v/>
      </c>
      <c r="T173" s="207"/>
      <c r="U173" s="208" t="str">
        <f>IF(OR(BA172="",S173=""),"",S173*1000*T173/(SQRT(BA170)*BA172))</f>
        <v/>
      </c>
      <c r="V173" s="109" t="str">
        <f>IF(AND(N(U170)=0,N(U171)=0,N(U172)=0,N(U173)=0),"",IF(V170&gt;=0,SQRT(ABS(V170^2-V172^2)),-SQRT(V170^2-V172^2)))</f>
        <v/>
      </c>
      <c r="W173" s="277"/>
      <c r="X173" s="278" t="str">
        <f>IF(Y172="","",AQ170*Z172*AR170*((1+0.00393*(F173-20))/1.2751)/Y172)</f>
        <v/>
      </c>
      <c r="Y173" s="270"/>
      <c r="Z173" s="267" t="str">
        <f>IF(Y172="","",(BA173/50)*AQ170*Z172*AR171/Y172)</f>
        <v/>
      </c>
      <c r="AA173" s="252"/>
      <c r="AB173" s="279" t="str">
        <f>IF(AC172="","",AQ170*AD172*AR172*((1+0.00393*(F173-20))/1.2751)/AC172)</f>
        <v/>
      </c>
      <c r="AC173" s="270"/>
      <c r="AD173" s="267" t="str">
        <f>IF(AC172="","",(BA173/50)*AQ170*AD172*AR173/AC172)</f>
        <v/>
      </c>
      <c r="AE173" s="268"/>
      <c r="AF173" s="237" t="str">
        <f>IF(AND(AX170&lt;&gt;"",D170=""),AX170,"")</f>
        <v/>
      </c>
      <c r="AG173" s="269" t="str">
        <f>IF(AP172="","",AP172)</f>
        <v/>
      </c>
      <c r="AH173" s="270"/>
      <c r="AI173" s="238" t="str">
        <f>IF(AP173="","",AP173)</f>
        <v/>
      </c>
      <c r="AJ173" s="263"/>
      <c r="AK173" s="253"/>
      <c r="AL173" s="189"/>
      <c r="AM173" s="28"/>
      <c r="AN173" s="226" t="b">
        <f>IF(BA170="","",IF(AND(BA170=3,F172=50,L170="oil cooled type"),VLOOKUP(L172,変３,3,FALSE),IF(AND(BA170=3,F172=50,L170="(F)molded type"),VLOOKUP(L172,変３,8,FALSE),IF(AND(BA170=3,F172=60,L170="oil cooled type"),VLOOKUP(L172,変３,13,FALSE),IF(AND(BA170=3,F172=60,L170="(F)molded type"),VLOOKUP(L172,変３,18,FALSE),FALSE)))))</f>
        <v>0</v>
      </c>
      <c r="AO173" s="226" t="str">
        <f>IF(AND(L166="",N(AY171)&lt;10^29),AY171,"")</f>
        <v/>
      </c>
      <c r="AP173" s="227" t="str">
        <f>IF(V170="","",IF(AND(N(V173)=0,N(AP171)=0),0,(AQ173-AP171*(AQ172^2+AQ173^2))/((AQ172*AP171)^2+(AP171*AQ173-1)^2)))</f>
        <v/>
      </c>
      <c r="AQ173" s="228">
        <f>IF(N(V173)=0,10^30,V173)</f>
        <v>1E+30</v>
      </c>
      <c r="AR173" s="226" t="str">
        <f>IF(AB170="","",IF(AB170="600V IV",VLOOKUP(AB172,ＩＶ,3,FALSE),IF(AB170="600V CV-T",VLOOKUP(AB172,ＣＶＴ,3,FALSE),IF(OR(AB170="600V CV-1C",AB170="600V CV-2C",AB170="600V CV-3C",AB170="600V CV-4C"),VLOOKUP(AB172,ＣＶ２３Ｃ,3,FALSE),VLOOKUP(AB172,ＣＵＳＥＲ,3,FALSE)))))</f>
        <v/>
      </c>
      <c r="AS173" s="228" t="str">
        <f>IF(OR(AND(AS430="",AS431=""),AND(D170="",D430&lt;&gt;"")),AS171,(AS171*(AT430^2+AT431^2)+AT431*(AS170^2+AS171^2))/((AS170+AT430)^2+(AS171+AT431)^2))</f>
        <v/>
      </c>
      <c r="AT173" s="229" t="str">
        <f>IF(Z173="",AS173,N(AS173)+(Z173/1000))</f>
        <v/>
      </c>
      <c r="AU173" s="229" t="str">
        <f>IF(AU171="","",(AT173*(AU170^2+AU171^2)+AU171*(AT172^2+AT173^2))/((AT172+AU170)^2+(AT173+AU171)^2))</f>
        <v/>
      </c>
      <c r="AV173" s="229">
        <f>AV169+AV172</f>
        <v>39</v>
      </c>
      <c r="AW173" s="228" t="str">
        <f>IF(AO173="","",AW171+AO173)</f>
        <v/>
      </c>
      <c r="AX173" s="230"/>
      <c r="AY173" s="224">
        <f>IF(L172="",10^30,SQRT(BA170)*(BA172^2)*(N(AN171)+N(AN173)+N(AO171)+N(AV171))/(100000*L172*M170))</f>
        <v>1E+30</v>
      </c>
      <c r="AZ173" s="225"/>
      <c r="BA173" s="220">
        <f>IF(AND(F172="",SUM(S170:S173)&lt;&gt;0),BA169,F172)</f>
        <v>0</v>
      </c>
      <c r="BB173" s="221">
        <f t="shared" si="3"/>
        <v>0</v>
      </c>
      <c r="BC173" s="232"/>
      <c r="BD173" s="232"/>
    </row>
    <row r="174" spans="1:56" ht="15" customHeight="1">
      <c r="B174" s="85"/>
      <c r="C174" s="271" t="str">
        <f>IF(BC174=1,"●","・")</f>
        <v>・</v>
      </c>
      <c r="D174" s="402"/>
      <c r="E174" s="403"/>
      <c r="F174" s="404"/>
      <c r="G174" s="265" t="str">
        <f>IF(F174="","","φ")</f>
        <v/>
      </c>
      <c r="H174" s="405"/>
      <c r="I174" s="265" t="str">
        <f>IF(H174="","","W")</f>
        <v/>
      </c>
      <c r="J174" s="405"/>
      <c r="K174" s="272" t="str">
        <f>IF(J174="","","V")</f>
        <v/>
      </c>
      <c r="L174" s="406"/>
      <c r="M174" s="407"/>
      <c r="N174" s="408"/>
      <c r="O174" s="193"/>
      <c r="P174" s="86"/>
      <c r="Q174" s="194"/>
      <c r="R174" s="87"/>
      <c r="S174" s="88" t="str">
        <f>IF(R174="","",IF(Q174="",P174/R174,P174/(Q174*R174)))</f>
        <v/>
      </c>
      <c r="T174" s="195"/>
      <c r="U174" s="196" t="str">
        <f>IF(OR(BA176="",S174=""),"",S174*1000*T174/(SQRT(BA174)*BA176))</f>
        <v/>
      </c>
      <c r="V174" s="254" t="str">
        <f>IF(AND(N(U174)=0,N(U175)=0,N(U176)=0,N(U177)=0),"",BA176/(SUM(U174:U177)))</f>
        <v/>
      </c>
      <c r="W174" s="280"/>
      <c r="X174" s="281"/>
      <c r="Y174" s="242"/>
      <c r="Z174" s="243"/>
      <c r="AA174" s="239"/>
      <c r="AB174" s="241"/>
      <c r="AC174" s="242"/>
      <c r="AD174" s="243"/>
      <c r="AE174" s="247"/>
      <c r="AF174" s="233" t="str">
        <f>IF(OR(AND(AF170="",N(BA172)=0,BA176&lt;&gt;0),D174&lt;&gt;""),AX176/AQ175,"")</f>
        <v/>
      </c>
      <c r="AG174" s="249" t="str">
        <f>IF(BA176=0,"",IF(AD176="",AX174,IF(AND(D174&lt;&gt;"",AU174=""),AX176*SQRT(AP176^2+AP177^2)/SQRT(AS174^2+AS175^2)/AQ175,AX174*SQRT(AP176^2+AP177^2)/SQRT(AS174^2+AS175^2))))</f>
        <v/>
      </c>
      <c r="AH174" s="250"/>
      <c r="AI174" s="234" t="str">
        <f>IF(AG174="","",IF(N(U174)&lt;0,-AX174*AQ175/SQRT(AS174^2+AS175^2),AX174*AQ175/SQRT(AS174^2+AS175^2)))</f>
        <v/>
      </c>
      <c r="AJ174" s="256"/>
      <c r="AK174" s="257"/>
      <c r="AL174" s="186"/>
      <c r="AM174" s="28"/>
      <c r="AN174" s="213" t="b">
        <f>IF(BA174="","",IF(AND(BA174=1,F176=50,L174="oil cooled type"),VLOOKUP(L176,変１,2,FALSE),IF(AND(BA174=1,F176=50,L174="(F)molded type"),VLOOKUP(L176,変１,7,FALSE),IF(AND(BA174=1,F176=60,L174="oil cooled type"),VLOOKUP(L176,変１,12,FALSE),IF(AND(BA174=1,F176=60,L174="(F)molded type"),VLOOKUP(L176,変１,17,FALSE),FALSE)))))</f>
        <v>0</v>
      </c>
      <c r="AO174" s="213">
        <f>IF(ISNA(VLOOKUP(L176,変ＵＳＥＲ,2,FALSE)),0,VLOOKUP(L176,変ＵＳＥＲ,2,FALSE))</f>
        <v>0</v>
      </c>
      <c r="AP174" s="214">
        <f>IF(N174="",0,N174*1000/BA176^2/SQRT(BA174))</f>
        <v>0</v>
      </c>
      <c r="AQ174" s="213" t="b">
        <f>IF(BA174=1,2,IF(BA174=3,SQRT(3),FALSE))</f>
        <v>0</v>
      </c>
      <c r="AR174" s="215" t="str">
        <f>IF(X174="","",IF(X174="600V IV",VLOOKUP(X176,ＩＶ,2,FALSE),IF(X174="600V CV-T",VLOOKUP(X176,ＣＶＴ,2,FALSE),IF(OR(X174="600V CV-1C",X174="600V CV-2C",X174="600V CV-3C",X174="600V CV-4C"),VLOOKUP(X176,ＣＶ２３Ｃ,2,FALSE),VLOOKUP(X176,ＣＵＳＥＲ,2,FALSE)))))</f>
        <v/>
      </c>
      <c r="AS174" s="213" t="str">
        <f>IF(AB177="",AP176,AP176+(AB177/1000))</f>
        <v/>
      </c>
      <c r="AT174" s="216" t="str">
        <f>IF(AU176="",AT176,AU176)</f>
        <v/>
      </c>
      <c r="AU174" s="216" t="str">
        <f>IF(D174="","",IF(AND(D434="",#REF!&lt;&gt;"",AV177=#REF!),#REF!,IF(AND(D434="",#REF!="",#REF!&lt;&gt;"",AV437=#REF!),#REF!,IF(AND(D434="",#REF!="",#REF!="",#REF!&lt;&gt;"",#REF!=#REF!),#REF!,IF(AND(D434="",#REF!="",#REF!="",#REF!="",D438&lt;&gt;"",#REF!=#REF!),AT438,IF(AND(D434="",#REF!="",#REF!="",#REF!="",D438="",#REF!&lt;&gt;"",#REF!=AV442),#REF!,IF(AND(D434="",#REF!="",#REF!="",#REF!="",D438="",#REF!="",D443&lt;&gt;"",#REF!=AV446),AT443,"")))))))</f>
        <v/>
      </c>
      <c r="AV174" s="216" t="str">
        <f>IF(L174="ACG",IF(ISNA(VLOOKUP(L176,ＡＣＧ,2,FALSE)),0,VLOOKUP(L176,ＡＣＧ,2,FALSE)),"")</f>
        <v/>
      </c>
      <c r="AW174" s="217" t="str">
        <f>IF(AT174="","",AT174/((AT174*AP174)^2+(AT175*AP174-1)^2))</f>
        <v/>
      </c>
      <c r="AX174" s="218" t="str">
        <f>IF(BA176=0,"",IF(OR(AX170="",AF174&lt;&gt;""),AF174*SQRT(AS176^2+AS177^2)/SQRT(AT176^2+AT177^2),AX170*SQRT(AS176^2+AS177^2)/SQRT(AT176^2+AT177^2)))</f>
        <v/>
      </c>
      <c r="AY174" s="219">
        <f>IF(N(AY176)=10^30,10^30,IF(N(AY436)=10^30,(N(AY176)*(N(AY436)^2+N(AY437)^2)+N(AY436)*(N(AY176)^2+N(AY177)^2))/((N(AY176)+N(AY436))^2+(N(AY177)+N(AY437))^2),(N(AY176)*(N(AY434)^2+N(AY435)^2)+N(AY434)*(N(AY176)^2+N(AY177)^2))/((N(AY176)+N(AY434))^2+(N(AY177)+N(AY435))^2)))</f>
        <v>1E+30</v>
      </c>
      <c r="AZ174" s="23"/>
      <c r="BA174" s="220">
        <f>IF(AND(F174="",SUM(S174:S177)&lt;&gt;0),BA170,F174)</f>
        <v>0</v>
      </c>
      <c r="BB174" s="221">
        <f t="shared" ref="BB174:BB233" si="4">IF(OR(O174="熱源動力",O174="換気動力",O174="衛生動力",O174="生産動力",O174="動力差込",O174="防災動力"),1,0)</f>
        <v>0</v>
      </c>
      <c r="BC174" s="232">
        <f>IF(OR(E174="",F177="",AND(OR(P174="",Q174="",R174="",T174=""),OR(P175="",Q175="",R175="",T175=""),OR(P176="",Q176="",R176="",T176=""),OR(P177="",Q177="",R177="",T177="")),AND(OR(X174="",X176="",Y176="",Z176=""),OR(AB174="",AB176="",AC176="",AD176=""))),0,1)</f>
        <v>0</v>
      </c>
      <c r="BD174" s="232">
        <f>BC174+BD170</f>
        <v>0</v>
      </c>
    </row>
    <row r="175" spans="1:56" ht="15" customHeight="1">
      <c r="B175" s="85"/>
      <c r="C175" s="271"/>
      <c r="D175" s="409"/>
      <c r="E175" s="362"/>
      <c r="F175" s="410"/>
      <c r="G175" s="266"/>
      <c r="H175" s="266"/>
      <c r="I175" s="266"/>
      <c r="J175" s="266"/>
      <c r="K175" s="273"/>
      <c r="L175" s="411"/>
      <c r="M175" s="197" t="str">
        <f>IF(L174="ACG",SQRT(AV174^2+AV175^2),IF(L176="","",IF(OR(L174="oil cooled type",L174="(F)molded type"),IF(BA174=1,SQRT(AN174^2+AN175^2),IF(BA174=3,SQRT(AN176^2+AN177^2))),SQRT(AO174^2+AO175^2))))</f>
        <v/>
      </c>
      <c r="N175" s="412"/>
      <c r="O175" s="198"/>
      <c r="P175" s="90"/>
      <c r="Q175" s="199"/>
      <c r="R175" s="91"/>
      <c r="S175" s="92" t="str">
        <f>IF(R176="","",IF(Q176="",P176/R176,P176/(Q176*R176)))</f>
        <v/>
      </c>
      <c r="T175" s="200"/>
      <c r="U175" s="201" t="str">
        <f>IF(OR(BA176="",S175=""),"",S175*1000*T175/(SQRT(BA174)*BA176))</f>
        <v/>
      </c>
      <c r="V175" s="255"/>
      <c r="W175" s="248"/>
      <c r="X175" s="258"/>
      <c r="Y175" s="245"/>
      <c r="Z175" s="246"/>
      <c r="AA175" s="240"/>
      <c r="AB175" s="244"/>
      <c r="AC175" s="245"/>
      <c r="AD175" s="246"/>
      <c r="AE175" s="248"/>
      <c r="AF175" s="235" t="str">
        <f>IF(OR(AF174="",AG170&lt;&gt;""),"",AF174*AQ175/SQRT(AT174^2+AT175^2))</f>
        <v/>
      </c>
      <c r="AG175" s="274" t="str">
        <f>IF(AG174="","",100*AG174*AQ175/BA176)</f>
        <v/>
      </c>
      <c r="AH175" s="275"/>
      <c r="AI175" s="260" t="str">
        <f>IF(BA176=0,"",IF(AI170="",AX176/SQRT(AT174^2+AT175^2),IF(AI178="","",IF(AT174&lt;0,-AX174*AQ171/SQRT(AT174^2+AT175^2),AX174*AQ171/SQRT(AT174^2+AT175^2)))))</f>
        <v/>
      </c>
      <c r="AJ175" s="258"/>
      <c r="AK175" s="259"/>
      <c r="AL175" s="187"/>
      <c r="AM175" s="28"/>
      <c r="AN175" s="213" t="b">
        <f>IF(BA174="","",IF(AND(BA174=1,F176=50,L174="oil cooled type"),VLOOKUP(L176,変１,3,FALSE),IF(AND(BA174=1,F176=50,L174="(F)molded type"),VLOOKUP(L176,変１,8,FALSE),IF(AND(BA174=1,F176=60,L174="oil cooled type"),VLOOKUP(L176,変１,13,FALSE),IF(AND(BA174=1,F176=60,L174="(F)molded type"),VLOOKUP(L176,変１,18,FALSE),FALSE)))))</f>
        <v>0</v>
      </c>
      <c r="AO175" s="213">
        <f>IF(ISNA(VLOOKUP(L176,変ＵＳＥＲ,3,FALSE)),0,VLOOKUP(L176,変ＵＳＥＲ,3,FALSE)*BA177/50)</f>
        <v>0</v>
      </c>
      <c r="AP175" s="214">
        <f>IF(W174="",0,W174*1000/BA176^2/SQRT(BA174))</f>
        <v>0</v>
      </c>
      <c r="AQ175" s="213">
        <f>IF(AND(BA174=1,BA175=2),1,IF(AND(BA174=3,BA175=3),1,IF(AND(BA174=1,BA175=3),2,IF(AND(BA174=3,BA175=4)*OR(BB174=1,BB175=1,BB176=1,BB177=1),1,SQRT(3)))))</f>
        <v>1.7320508075688772</v>
      </c>
      <c r="AR175" s="215" t="str">
        <f>IF(X174="","",IF(X174="600V IV",VLOOKUP(X176,ＩＶ,3,FALSE),IF(X174="600V CV-T",VLOOKUP(X176,ＣＶＴ,3,FALSE),IF(OR(X174="600V CV-1C",X174="600V CV-2C",X174="600V CV-3C",X174="600V CV-4C"),VLOOKUP(X176,ＣＶ２３Ｃ,3,FALSE),VLOOKUP(X176,ＣＵＳＥＲ,3,FALSE)))))</f>
        <v/>
      </c>
      <c r="AS175" s="213" t="str">
        <f>IF(AD177="",AP177,AP177+(AD177/1000))</f>
        <v/>
      </c>
      <c r="AT175" s="216" t="str">
        <f>IF(AU177="",AT177,AU177)</f>
        <v/>
      </c>
      <c r="AU175" s="216" t="str">
        <f>IF(D174="","",IF(AND(D434="",#REF!&lt;&gt;"",AV177=#REF!),#REF!,IF(AND(D434="",#REF!="",#REF!&lt;&gt;"",AV437=#REF!),#REF!,IF(AND(D434="",#REF!="",#REF!="",#REF!&lt;&gt;"",#REF!=#REF!),#REF!,IF(AND(D434="",#REF!="",#REF!="",#REF!="",D438&lt;&gt;"",#REF!=#REF!),AT439,IF(AND(D434="",#REF!="",#REF!="",#REF!="",D438="",#REF!&lt;&gt;"",#REF!=AV442),AT440,IF(AND(D434="",#REF!="",#REF!="",#REF!="",D438="",#REF!="",D443&lt;&gt;"",#REF!=AV446),AT444,"")))))))</f>
        <v/>
      </c>
      <c r="AV175" s="215" t="str">
        <f>IF(L174="ACG",IF(ISNA(VLOOKUP(L176,ＡＣＧ,3,FALSE)),0,VLOOKUP(L176,ＡＣＧ,3,FALSE)*BA177/50),"")</f>
        <v/>
      </c>
      <c r="AW175" s="217" t="str">
        <f>IF(AT175="","",(AT175-AP174*(AT174^2+AT175^2))/((AT174*AP174)^2+(AP174*AT175-1)^2))</f>
        <v/>
      </c>
      <c r="AX175" s="218"/>
      <c r="AY175" s="219">
        <f>IF(N(AY177)=10^30,10^30,IF(N(AY437)=10^30,(N(AY177)*(N(AY436)^2+N(AY437)^2)+N(AY437)*(N(AY176)^2+N(AY177)^2))/((N(AY176)+N(AY436))^2+(N(AY177)+N(AY437))^2),(N(AY177)*(N(AY434)^2+N(AY435)^2)+N(AY435)*(N(AY176)^2+N(AY177)^2))/((N(AY176)+N(AY434))^2+(N(AY177)+N(AY435))^2)))</f>
        <v>1E+30</v>
      </c>
      <c r="AZ175" s="23"/>
      <c r="BA175" s="220">
        <f>IF(AND(H174="",SUM(S174:S177)&lt;&gt;0),BA171,H174)</f>
        <v>0</v>
      </c>
      <c r="BB175" s="221">
        <f t="shared" si="4"/>
        <v>0</v>
      </c>
      <c r="BC175" s="232"/>
      <c r="BD175" s="232"/>
    </row>
    <row r="176" spans="1:56" ht="15" customHeight="1">
      <c r="B176" s="85"/>
      <c r="C176" s="271"/>
      <c r="D176" s="409"/>
      <c r="E176" s="362"/>
      <c r="F176" s="413"/>
      <c r="G176" s="414"/>
      <c r="H176" s="414"/>
      <c r="I176" s="414"/>
      <c r="J176" s="414"/>
      <c r="K176" s="415"/>
      <c r="L176" s="416"/>
      <c r="M176" s="275"/>
      <c r="N176" s="412"/>
      <c r="O176" s="198"/>
      <c r="P176" s="93"/>
      <c r="Q176" s="202"/>
      <c r="R176" s="91"/>
      <c r="S176" s="92" t="str">
        <f>IF(R177="","",IF(Q177="",P177/R177,P177/(Q177*R177)))</f>
        <v/>
      </c>
      <c r="T176" s="200"/>
      <c r="U176" s="203" t="str">
        <f>IF(OR(BA176="",S176=""),"",S176*1000*T176/(SQRT(BA174)*BA176))</f>
        <v/>
      </c>
      <c r="V176" s="94" t="str">
        <f>IF(AND(N(U174)=0,N(U175)=0,N(U176)=0,N(U177)=0),"",V174*(P174*R174*T174+P175*R175*T175+P176*R176*T176+P177*R177*T177)/(P174*T174+P175*T175+P176*T176+P177*T177))</f>
        <v/>
      </c>
      <c r="W176" s="276" t="str">
        <f>IF(AND(N(AP176)=0,N(AP177)=0,N(AP175)=0),"",IF(AP177&gt;=0,COS(ATAN(AP177/AP176)),-COS(ATAN(AP177/AP176))))</f>
        <v/>
      </c>
      <c r="X176" s="95"/>
      <c r="Y176" s="204"/>
      <c r="Z176" s="96"/>
      <c r="AA176" s="97"/>
      <c r="AB176" s="98"/>
      <c r="AC176" s="204"/>
      <c r="AD176" s="96"/>
      <c r="AE176" s="99"/>
      <c r="AF176" s="236" t="str">
        <f>IF(OR(AF174="",AG170&lt;&gt;""),"",BA176/SQRT(AW176^2+AW177^2))</f>
        <v/>
      </c>
      <c r="AG176" s="274" t="str">
        <f>IF(AG174="","",100*((BA176/AQ175)-AG174)/(BA176/AQ175))</f>
        <v/>
      </c>
      <c r="AH176" s="275"/>
      <c r="AI176" s="261"/>
      <c r="AJ176" s="262"/>
      <c r="AK176" s="264"/>
      <c r="AL176" s="188"/>
      <c r="AM176" s="28"/>
      <c r="AN176" s="222" t="b">
        <f>IF(BA174="","",IF(AND(BA174=3,F176=50,L174="oil cooled type"),VLOOKUP(L176,変３,2,FALSE),IF(AND(BA174=3,F176=50,L174="(F)molded type"),VLOOKUP(L176,変３,7,FALSE),IF(AND(BA174=3,F176=60,L174="oil cooled type"),VLOOKUP(L176,変３,12,FALSE),IF(AND(BA174=3,F176=60,L174="(F)molded type"),VLOOKUP(L176,変３,17,FALSE),FALSE)))))</f>
        <v>0</v>
      </c>
      <c r="AO176" s="215" t="str">
        <f>IF(AND(L170="",N(AY174)&lt;10^29),AY174,"")</f>
        <v/>
      </c>
      <c r="AP176" s="223" t="str">
        <f>IF(V174="","",IF(AND(N(V176)=0,N(AP175)=0),"",AQ176/((AQ176*AP175)^2+(AP175*AQ177-1)^2)))</f>
        <v/>
      </c>
      <c r="AQ176" s="213">
        <f>IF(N(V176)=0,10^30,V176)</f>
        <v>1E+30</v>
      </c>
      <c r="AR176" s="215" t="str">
        <f>IF(AB174="","",IF(AB174="600V IV",VLOOKUP(AB176,ＩＶ,2,FALSE),IF(AB174="600V CV-T",VLOOKUP(AB176,ＣＶＴ,2,FALSE),IF(OR(AB174="600V CV-1C",AB174="600V CV-2C",AB174="600V CV-3C",AB174="600V CV-4C"),VLOOKUP(AB176,ＣＶ２３Ｃ,2,FALSE),VLOOKUP(AB176,ＣＵＳＥＲ,2,FALSE)))))</f>
        <v/>
      </c>
      <c r="AS176" s="213" t="str">
        <f>IF(OR(AND(AS434="",AS435=""),AND(D174="",D434&lt;&gt;"")),AS174,(AS174*(AT434^2+AT435^2)+AT434*(AS174^2+AS175^2))/((AS174+AT434)^2+(AS175+AT435)^2))</f>
        <v/>
      </c>
      <c r="AT176" s="216" t="str">
        <f>IF(X177="",AS176,N(AS176)+(X177/1000))</f>
        <v/>
      </c>
      <c r="AU176" s="216" t="str">
        <f>IF(AU174="","",(AT176*(AU174^2+AU175^2)+AU174*(AT176^2+AT177^2))/((AT176+AU174)^2+(AT177+AU175)^2))</f>
        <v/>
      </c>
      <c r="AV176" s="216">
        <f>IF(BA176=0,1,0)</f>
        <v>1</v>
      </c>
      <c r="AW176" s="217" t="str">
        <f>IF(AO176="","",AW174+AO176)</f>
        <v/>
      </c>
      <c r="AX176" s="218" t="str">
        <f>IF(AND(AX172="",AW176&lt;&gt;""),BA176*SQRT(AW174^2+AW175^2)/SQRT(AW176^2+AW177^2),IF(BA176&lt;&gt;0,AX172,""))</f>
        <v/>
      </c>
      <c r="AY176" s="224">
        <f>IF(L176="",10^30,SQRT(BA174)*(BA176^2)*(N(AN174)+N(AN176)+N(AO174)+N(AV174))/(100000*L176*M174))</f>
        <v>1E+30</v>
      </c>
      <c r="AZ176" s="225"/>
      <c r="BA176" s="220">
        <f>IF(AND(J174="",SUM(S174:S177)&lt;&gt;0),BA172,J174)</f>
        <v>0</v>
      </c>
      <c r="BB176" s="221">
        <f t="shared" si="4"/>
        <v>0</v>
      </c>
      <c r="BC176" s="232"/>
      <c r="BD176" s="232"/>
    </row>
    <row r="177" spans="1:56" ht="15" customHeight="1">
      <c r="A177" s="85"/>
      <c r="B177" s="85"/>
      <c r="C177" s="271"/>
      <c r="D177" s="417"/>
      <c r="E177" s="418"/>
      <c r="F177" s="419"/>
      <c r="G177" s="270"/>
      <c r="H177" s="270"/>
      <c r="I177" s="270"/>
      <c r="J177" s="270"/>
      <c r="K177" s="268"/>
      <c r="L177" s="251" t="str">
        <f>IF(M174="","",L176*1000*M174/(SQRT(BA174)*BA176))</f>
        <v/>
      </c>
      <c r="M177" s="252"/>
      <c r="N177" s="277"/>
      <c r="O177" s="205"/>
      <c r="P177" s="106"/>
      <c r="Q177" s="206"/>
      <c r="R177" s="107"/>
      <c r="S177" s="108" t="str">
        <f>IF(R177="","",IF(Q177="",P177/R177,P177/(Q177*R177)))</f>
        <v/>
      </c>
      <c r="T177" s="207"/>
      <c r="U177" s="208" t="str">
        <f>IF(OR(BA176="",S177=""),"",S177*1000*T177/(SQRT(BA174)*BA176))</f>
        <v/>
      </c>
      <c r="V177" s="109" t="str">
        <f>IF(AND(N(U174)=0,N(U175)=0,N(U176)=0,N(U177)=0),"",IF(V174&gt;=0,SQRT(ABS(V174^2-V176^2)),-SQRT(V174^2-V176^2)))</f>
        <v/>
      </c>
      <c r="W177" s="277"/>
      <c r="X177" s="278" t="str">
        <f>IF(Y176="","",AQ174*Z176*AR174*((1+0.00393*(F177-20))/1.2751)/Y176)</f>
        <v/>
      </c>
      <c r="Y177" s="270"/>
      <c r="Z177" s="267" t="str">
        <f>IF(Y176="","",(BA177/50)*AQ174*Z176*AR175/Y176)</f>
        <v/>
      </c>
      <c r="AA177" s="252"/>
      <c r="AB177" s="279" t="str">
        <f>IF(AC176="","",AQ174*AD176*AR176*((1+0.00393*(F177-20))/1.2751)/AC176)</f>
        <v/>
      </c>
      <c r="AC177" s="270"/>
      <c r="AD177" s="267" t="str">
        <f>IF(AC176="","",(BA177/50)*AQ174*AD176*AR177/AC176)</f>
        <v/>
      </c>
      <c r="AE177" s="268"/>
      <c r="AF177" s="237" t="str">
        <f>IF(AND(AX174&lt;&gt;"",D174=""),AX174,"")</f>
        <v/>
      </c>
      <c r="AG177" s="269" t="str">
        <f>IF(AP176="","",AP176)</f>
        <v/>
      </c>
      <c r="AH177" s="270"/>
      <c r="AI177" s="238" t="str">
        <f>IF(AP177="","",AP177)</f>
        <v/>
      </c>
      <c r="AJ177" s="263"/>
      <c r="AK177" s="253"/>
      <c r="AL177" s="189"/>
      <c r="AM177" s="28"/>
      <c r="AN177" s="226" t="b">
        <f>IF(BA174="","",IF(AND(BA174=3,F176=50,L174="oil cooled type"),VLOOKUP(L176,変３,3,FALSE),IF(AND(BA174=3,F176=50,L174="(F)molded type"),VLOOKUP(L176,変３,8,FALSE),IF(AND(BA174=3,F176=60,L174="oil cooled type"),VLOOKUP(L176,変３,13,FALSE),IF(AND(BA174=3,F176=60,L174="(F)molded type"),VLOOKUP(L176,変３,18,FALSE),FALSE)))))</f>
        <v>0</v>
      </c>
      <c r="AO177" s="226" t="str">
        <f>IF(AND(L170="",N(AY175)&lt;10^29),AY175,"")</f>
        <v/>
      </c>
      <c r="AP177" s="227" t="str">
        <f>IF(V174="","",IF(AND(N(V177)=0,N(AP175)=0),0,(AQ177-AP175*(AQ176^2+AQ177^2))/((AQ176*AP175)^2+(AP175*AQ177-1)^2)))</f>
        <v/>
      </c>
      <c r="AQ177" s="228">
        <f>IF(N(V177)=0,10^30,V177)</f>
        <v>1E+30</v>
      </c>
      <c r="AR177" s="226" t="str">
        <f>IF(AB174="","",IF(AB174="600V IV",VLOOKUP(AB176,ＩＶ,3,FALSE),IF(AB174="600V CV-T",VLOOKUP(AB176,ＣＶＴ,3,FALSE),IF(OR(AB174="600V CV-1C",AB174="600V CV-2C",AB174="600V CV-3C",AB174="600V CV-4C"),VLOOKUP(AB176,ＣＶ２３Ｃ,3,FALSE),VLOOKUP(AB176,ＣＵＳＥＲ,3,FALSE)))))</f>
        <v/>
      </c>
      <c r="AS177" s="228" t="str">
        <f>IF(OR(AND(AS434="",AS435=""),AND(D174="",D434&lt;&gt;"")),AS175,(AS175*(AT434^2+AT435^2)+AT435*(AS174^2+AS175^2))/((AS174+AT434)^2+(AS175+AT435)^2))</f>
        <v/>
      </c>
      <c r="AT177" s="229" t="str">
        <f>IF(Z177="",AS177,N(AS177)+(Z177/1000))</f>
        <v/>
      </c>
      <c r="AU177" s="229" t="str">
        <f>IF(AU175="","",(AT177*(AU174^2+AU175^2)+AU175*(AT176^2+AT177^2))/((AT176+AU174)^2+(AT177+AU175)^2))</f>
        <v/>
      </c>
      <c r="AV177" s="229">
        <f>AV173+AV176</f>
        <v>40</v>
      </c>
      <c r="AW177" s="228" t="str">
        <f>IF(AO177="","",AW175+AO177)</f>
        <v/>
      </c>
      <c r="AX177" s="230"/>
      <c r="AY177" s="224">
        <f>IF(L176="",10^30,SQRT(BA174)*(BA176^2)*(N(AN175)+N(AN177)+N(AO175)+N(AV175))/(100000*L176*M174))</f>
        <v>1E+30</v>
      </c>
      <c r="AZ177" s="225"/>
      <c r="BA177" s="220">
        <f>IF(AND(F176="",SUM(S174:S177)&lt;&gt;0),BA173,F176)</f>
        <v>0</v>
      </c>
      <c r="BB177" s="221">
        <f t="shared" si="4"/>
        <v>0</v>
      </c>
      <c r="BC177" s="232"/>
      <c r="BD177" s="232"/>
    </row>
    <row r="178" spans="1:56" ht="15" customHeight="1">
      <c r="B178" s="85"/>
      <c r="C178" s="271" t="str">
        <f>IF(BC178=1,"●","・")</f>
        <v>・</v>
      </c>
      <c r="D178" s="402"/>
      <c r="E178" s="403"/>
      <c r="F178" s="404"/>
      <c r="G178" s="265" t="str">
        <f>IF(F178="","","φ")</f>
        <v/>
      </c>
      <c r="H178" s="405"/>
      <c r="I178" s="265" t="str">
        <f>IF(H178="","","W")</f>
        <v/>
      </c>
      <c r="J178" s="405"/>
      <c r="K178" s="272" t="str">
        <f>IF(J178="","","V")</f>
        <v/>
      </c>
      <c r="L178" s="406"/>
      <c r="M178" s="407"/>
      <c r="N178" s="408"/>
      <c r="O178" s="193"/>
      <c r="P178" s="86"/>
      <c r="Q178" s="194"/>
      <c r="R178" s="87"/>
      <c r="S178" s="88" t="str">
        <f>IF(R178="","",IF(Q178="",P178/R178,P178/(Q178*R178)))</f>
        <v/>
      </c>
      <c r="T178" s="195"/>
      <c r="U178" s="196" t="str">
        <f>IF(OR(BA180="",S178=""),"",S178*1000*T178/(SQRT(BA178)*BA180))</f>
        <v/>
      </c>
      <c r="V178" s="254" t="str">
        <f>IF(AND(N(U178)=0,N(U179)=0,N(U180)=0,N(U181)=0),"",BA180/(SUM(U178:U181)))</f>
        <v/>
      </c>
      <c r="W178" s="280"/>
      <c r="X178" s="281"/>
      <c r="Y178" s="242"/>
      <c r="Z178" s="243"/>
      <c r="AA178" s="239"/>
      <c r="AB178" s="241"/>
      <c r="AC178" s="242"/>
      <c r="AD178" s="243"/>
      <c r="AE178" s="247"/>
      <c r="AF178" s="233" t="str">
        <f>IF(OR(AND(AF174="",N(BA176)=0,BA180&lt;&gt;0),D178&lt;&gt;""),AX180/AQ179,"")</f>
        <v/>
      </c>
      <c r="AG178" s="249" t="str">
        <f>IF(BA180=0,"",IF(AD180="",AX178,IF(AND(D178&lt;&gt;"",AU178=""),AX180*SQRT(AP180^2+AP181^2)/SQRT(AS178^2+AS179^2)/AQ179,AX178*SQRT(AP180^2+AP181^2)/SQRT(AS178^2+AS179^2))))</f>
        <v/>
      </c>
      <c r="AH178" s="250"/>
      <c r="AI178" s="234" t="str">
        <f>IF(AG178="","",IF(N(U178)&lt;0,-AX178*AQ179/SQRT(AS178^2+AS179^2),AX178*AQ179/SQRT(AS178^2+AS179^2)))</f>
        <v/>
      </c>
      <c r="AJ178" s="256"/>
      <c r="AK178" s="257"/>
      <c r="AL178" s="186"/>
      <c r="AM178" s="28"/>
      <c r="AN178" s="213" t="b">
        <f>IF(BA178="","",IF(AND(BA178=1,F180=50,L178="oil cooled type"),VLOOKUP(L180,変１,2,FALSE),IF(AND(BA178=1,F180=50,L178="(F)molded type"),VLOOKUP(L180,変１,7,FALSE),IF(AND(BA178=1,F180=60,L178="oil cooled type"),VLOOKUP(L180,変１,12,FALSE),IF(AND(BA178=1,F180=60,L178="(F)molded type"),VLOOKUP(L180,変１,17,FALSE),FALSE)))))</f>
        <v>0</v>
      </c>
      <c r="AO178" s="213">
        <f>IF(ISNA(VLOOKUP(L180,変ＵＳＥＲ,2,FALSE)),0,VLOOKUP(L180,変ＵＳＥＲ,2,FALSE))</f>
        <v>0</v>
      </c>
      <c r="AP178" s="214">
        <f>IF(N178="",0,N178*1000/BA180^2/SQRT(BA178))</f>
        <v>0</v>
      </c>
      <c r="AQ178" s="213" t="b">
        <f>IF(BA178=1,2,IF(BA178=3,SQRT(3),FALSE))</f>
        <v>0</v>
      </c>
      <c r="AR178" s="215" t="str">
        <f>IF(X178="","",IF(X178="600V IV",VLOOKUP(X180,ＩＶ,2,FALSE),IF(X178="600V CV-T",VLOOKUP(X180,ＣＶＴ,2,FALSE),IF(OR(X178="600V CV-1C",X178="600V CV-2C",X178="600V CV-3C",X178="600V CV-4C"),VLOOKUP(X180,ＣＶ２３Ｃ,2,FALSE),VLOOKUP(X180,ＣＵＳＥＲ,2,FALSE)))))</f>
        <v/>
      </c>
      <c r="AS178" s="213" t="str">
        <f>IF(AB181="",AP180,AP180+(AB181/1000))</f>
        <v/>
      </c>
      <c r="AT178" s="216" t="str">
        <f>IF(AU180="",AT180,AU180)</f>
        <v/>
      </c>
      <c r="AU178" s="216" t="str">
        <f>IF(D178="","",IF(AND(D438="",#REF!&lt;&gt;"",AV181=#REF!),#REF!,IF(AND(D438="",#REF!="",#REF!&lt;&gt;"",AV441=#REF!),#REF!,IF(AND(D438="",#REF!="",#REF!="",#REF!&lt;&gt;"",#REF!=#REF!),#REF!,IF(AND(D438="",#REF!="",#REF!="",#REF!="",D442&lt;&gt;"",#REF!=#REF!),AT442,IF(AND(D438="",#REF!="",#REF!="",#REF!="",D442="",#REF!&lt;&gt;"",#REF!=AV446),#REF!,IF(AND(D438="",#REF!="",#REF!="",#REF!="",D442="",#REF!="",D447&lt;&gt;"",#REF!=AV450),AT447,"")))))))</f>
        <v/>
      </c>
      <c r="AV178" s="216" t="str">
        <f>IF(L178="ACG",IF(ISNA(VLOOKUP(L180,ＡＣＧ,2,FALSE)),0,VLOOKUP(L180,ＡＣＧ,2,FALSE)),"")</f>
        <v/>
      </c>
      <c r="AW178" s="217" t="str">
        <f>IF(AT178="","",AT178/((AT178*AP178)^2+(AT179*AP178-1)^2))</f>
        <v/>
      </c>
      <c r="AX178" s="218" t="str">
        <f>IF(BA180=0,"",IF(OR(AX174="",AF178&lt;&gt;""),AF178*SQRT(AS180^2+AS181^2)/SQRT(AT180^2+AT181^2),AX174*SQRT(AS180^2+AS181^2)/SQRT(AT180^2+AT181^2)))</f>
        <v/>
      </c>
      <c r="AY178" s="219">
        <f>IF(N(AY180)=10^30,10^30,IF(N(AY440)=10^30,(N(AY180)*(N(AY440)^2+N(AY441)^2)+N(AY440)*(N(AY180)^2+N(AY181)^2))/((N(AY180)+N(AY440))^2+(N(AY181)+N(AY441))^2),(N(AY180)*(N(AY438)^2+N(AY439)^2)+N(AY438)*(N(AY180)^2+N(AY181)^2))/((N(AY180)+N(AY438))^2+(N(AY181)+N(AY439))^2)))</f>
        <v>1E+30</v>
      </c>
      <c r="AZ178" s="23"/>
      <c r="BA178" s="220">
        <f>IF(AND(F178="",SUM(S178:S181)&lt;&gt;0),BA174,F178)</f>
        <v>0</v>
      </c>
      <c r="BB178" s="221">
        <f t="shared" si="4"/>
        <v>0</v>
      </c>
      <c r="BC178" s="232">
        <f>IF(OR(E178="",F181="",AND(OR(P178="",Q178="",R178="",T178=""),OR(P179="",Q179="",R179="",T179=""),OR(P180="",Q180="",R180="",T180=""),OR(P181="",Q181="",R181="",T181="")),AND(OR(X178="",X180="",Y180="",Z180=""),OR(AB178="",AB180="",AC180="",AD180=""))),0,1)</f>
        <v>0</v>
      </c>
      <c r="BD178" s="232">
        <f>BC178+BD174</f>
        <v>0</v>
      </c>
    </row>
    <row r="179" spans="1:56" ht="15" customHeight="1">
      <c r="B179" s="85"/>
      <c r="C179" s="271"/>
      <c r="D179" s="409"/>
      <c r="E179" s="362"/>
      <c r="F179" s="410"/>
      <c r="G179" s="266"/>
      <c r="H179" s="266"/>
      <c r="I179" s="266"/>
      <c r="J179" s="266"/>
      <c r="K179" s="273"/>
      <c r="L179" s="411"/>
      <c r="M179" s="197" t="str">
        <f>IF(L178="ACG",SQRT(AV178^2+AV179^2),IF(L180="","",IF(OR(L178="oil cooled type",L178="(F)molded type"),IF(BA178=1,SQRT(AN178^2+AN179^2),IF(BA178=3,SQRT(AN180^2+AN181^2))),SQRT(AO178^2+AO179^2))))</f>
        <v/>
      </c>
      <c r="N179" s="412"/>
      <c r="O179" s="198"/>
      <c r="P179" s="90"/>
      <c r="Q179" s="199"/>
      <c r="R179" s="91"/>
      <c r="S179" s="92" t="str">
        <f>IF(R180="","",IF(Q180="",P180/R180,P180/(Q180*R180)))</f>
        <v/>
      </c>
      <c r="T179" s="200"/>
      <c r="U179" s="201" t="str">
        <f>IF(OR(BA180="",S179=""),"",S179*1000*T179/(SQRT(BA178)*BA180))</f>
        <v/>
      </c>
      <c r="V179" s="255"/>
      <c r="W179" s="248"/>
      <c r="X179" s="258"/>
      <c r="Y179" s="245"/>
      <c r="Z179" s="246"/>
      <c r="AA179" s="240"/>
      <c r="AB179" s="244"/>
      <c r="AC179" s="245"/>
      <c r="AD179" s="246"/>
      <c r="AE179" s="248"/>
      <c r="AF179" s="235" t="str">
        <f>IF(OR(AF178="",AG174&lt;&gt;""),"",AF178*AQ179/SQRT(AT178^2+AT179^2))</f>
        <v/>
      </c>
      <c r="AG179" s="274" t="str">
        <f>IF(AG178="","",100*AG178*AQ179/BA180)</f>
        <v/>
      </c>
      <c r="AH179" s="275"/>
      <c r="AI179" s="260" t="str">
        <f>IF(BA180=0,"",IF(AI174="",AX180/SQRT(AT178^2+AT179^2),IF(AI182="","",IF(AT178&lt;0,-AX178*AQ175/SQRT(AT178^2+AT179^2),AX178*AQ175/SQRT(AT178^2+AT179^2)))))</f>
        <v/>
      </c>
      <c r="AJ179" s="258"/>
      <c r="AK179" s="259"/>
      <c r="AL179" s="187"/>
      <c r="AM179" s="28"/>
      <c r="AN179" s="213" t="b">
        <f>IF(BA178="","",IF(AND(BA178=1,F180=50,L178="oil cooled type"),VLOOKUP(L180,変１,3,FALSE),IF(AND(BA178=1,F180=50,L178="(F)molded type"),VLOOKUP(L180,変１,8,FALSE),IF(AND(BA178=1,F180=60,L178="oil cooled type"),VLOOKUP(L180,変１,13,FALSE),IF(AND(BA178=1,F180=60,L178="(F)molded type"),VLOOKUP(L180,変１,18,FALSE),FALSE)))))</f>
        <v>0</v>
      </c>
      <c r="AO179" s="213">
        <f>IF(ISNA(VLOOKUP(L180,変ＵＳＥＲ,3,FALSE)),0,VLOOKUP(L180,変ＵＳＥＲ,3,FALSE)*BA181/50)</f>
        <v>0</v>
      </c>
      <c r="AP179" s="214">
        <f>IF(W178="",0,W178*1000/BA180^2/SQRT(BA178))</f>
        <v>0</v>
      </c>
      <c r="AQ179" s="213">
        <f>IF(AND(BA178=1,BA179=2),1,IF(AND(BA178=3,BA179=3),1,IF(AND(BA178=1,BA179=3),2,IF(AND(BA178=3,BA179=4)*OR(BB178=1,BB179=1,BB180=1,BB181=1),1,SQRT(3)))))</f>
        <v>1.7320508075688772</v>
      </c>
      <c r="AR179" s="215" t="str">
        <f>IF(X178="","",IF(X178="600V IV",VLOOKUP(X180,ＩＶ,3,FALSE),IF(X178="600V CV-T",VLOOKUP(X180,ＣＶＴ,3,FALSE),IF(OR(X178="600V CV-1C",X178="600V CV-2C",X178="600V CV-3C",X178="600V CV-4C"),VLOOKUP(X180,ＣＶ２３Ｃ,3,FALSE),VLOOKUP(X180,ＣＵＳＥＲ,3,FALSE)))))</f>
        <v/>
      </c>
      <c r="AS179" s="213" t="str">
        <f>IF(AD181="",AP181,AP181+(AD181/1000))</f>
        <v/>
      </c>
      <c r="AT179" s="216" t="str">
        <f>IF(AU181="",AT181,AU181)</f>
        <v/>
      </c>
      <c r="AU179" s="216" t="str">
        <f>IF(D178="","",IF(AND(D438="",#REF!&lt;&gt;"",AV181=#REF!),#REF!,IF(AND(D438="",#REF!="",#REF!&lt;&gt;"",AV441=#REF!),#REF!,IF(AND(D438="",#REF!="",#REF!="",#REF!&lt;&gt;"",#REF!=#REF!),#REF!,IF(AND(D438="",#REF!="",#REF!="",#REF!="",D442&lt;&gt;"",#REF!=#REF!),AT443,IF(AND(D438="",#REF!="",#REF!="",#REF!="",D442="",#REF!&lt;&gt;"",#REF!=AV446),AT444,IF(AND(D438="",#REF!="",#REF!="",#REF!="",D442="",#REF!="",D447&lt;&gt;"",#REF!=AV450),AT448,"")))))))</f>
        <v/>
      </c>
      <c r="AV179" s="215" t="str">
        <f>IF(L178="ACG",IF(ISNA(VLOOKUP(L180,ＡＣＧ,3,FALSE)),0,VLOOKUP(L180,ＡＣＧ,3,FALSE)*BA181/50),"")</f>
        <v/>
      </c>
      <c r="AW179" s="217" t="str">
        <f>IF(AT179="","",(AT179-AP178*(AT178^2+AT179^2))/((AT178*AP178)^2+(AP178*AT179-1)^2))</f>
        <v/>
      </c>
      <c r="AX179" s="218"/>
      <c r="AY179" s="219">
        <f>IF(N(AY181)=10^30,10^30,IF(N(AY441)=10^30,(N(AY181)*(N(AY440)^2+N(AY441)^2)+N(AY441)*(N(AY180)^2+N(AY181)^2))/((N(AY180)+N(AY440))^2+(N(AY181)+N(AY441))^2),(N(AY181)*(N(AY438)^2+N(AY439)^2)+N(AY439)*(N(AY180)^2+N(AY181)^2))/((N(AY180)+N(AY438))^2+(N(AY181)+N(AY439))^2)))</f>
        <v>1E+30</v>
      </c>
      <c r="AZ179" s="23"/>
      <c r="BA179" s="220">
        <f>IF(AND(H178="",SUM(S178:S181)&lt;&gt;0),BA175,H178)</f>
        <v>0</v>
      </c>
      <c r="BB179" s="221">
        <f t="shared" si="4"/>
        <v>0</v>
      </c>
      <c r="BC179" s="232"/>
      <c r="BD179" s="232"/>
    </row>
    <row r="180" spans="1:56" ht="15" customHeight="1">
      <c r="B180" s="85"/>
      <c r="C180" s="271"/>
      <c r="D180" s="409"/>
      <c r="E180" s="362"/>
      <c r="F180" s="413"/>
      <c r="G180" s="414"/>
      <c r="H180" s="414"/>
      <c r="I180" s="414"/>
      <c r="J180" s="414"/>
      <c r="K180" s="415"/>
      <c r="L180" s="416"/>
      <c r="M180" s="275"/>
      <c r="N180" s="412"/>
      <c r="O180" s="198"/>
      <c r="P180" s="93"/>
      <c r="Q180" s="202"/>
      <c r="R180" s="91"/>
      <c r="S180" s="92" t="str">
        <f>IF(R181="","",IF(Q181="",P181/R181,P181/(Q181*R181)))</f>
        <v/>
      </c>
      <c r="T180" s="200"/>
      <c r="U180" s="203" t="str">
        <f>IF(OR(BA180="",S180=""),"",S180*1000*T180/(SQRT(BA178)*BA180))</f>
        <v/>
      </c>
      <c r="V180" s="94" t="str">
        <f>IF(AND(N(U178)=0,N(U179)=0,N(U180)=0,N(U181)=0),"",V178*(P178*R178*T178+P179*R179*T179+P180*R180*T180+P181*R181*T181)/(P178*T178+P179*T179+P180*T180+P181*T181))</f>
        <v/>
      </c>
      <c r="W180" s="276" t="str">
        <f>IF(AND(N(AP180)=0,N(AP181)=0,N(AP179)=0),"",IF(AP181&gt;=0,COS(ATAN(AP181/AP180)),-COS(ATAN(AP181/AP180))))</f>
        <v/>
      </c>
      <c r="X180" s="95"/>
      <c r="Y180" s="204"/>
      <c r="Z180" s="96"/>
      <c r="AA180" s="97"/>
      <c r="AB180" s="98"/>
      <c r="AC180" s="204"/>
      <c r="AD180" s="96"/>
      <c r="AE180" s="99"/>
      <c r="AF180" s="236" t="str">
        <f>IF(OR(AF178="",AG174&lt;&gt;""),"",BA180/SQRT(AW180^2+AW181^2))</f>
        <v/>
      </c>
      <c r="AG180" s="274" t="str">
        <f>IF(AG178="","",100*((BA180/AQ179)-AG178)/(BA180/AQ179))</f>
        <v/>
      </c>
      <c r="AH180" s="275"/>
      <c r="AI180" s="261"/>
      <c r="AJ180" s="262"/>
      <c r="AK180" s="264"/>
      <c r="AL180" s="188"/>
      <c r="AM180" s="28"/>
      <c r="AN180" s="222" t="b">
        <f>IF(BA178="","",IF(AND(BA178=3,F180=50,L178="oil cooled type"),VLOOKUP(L180,変３,2,FALSE),IF(AND(BA178=3,F180=50,L178="(F)molded type"),VLOOKUP(L180,変３,7,FALSE),IF(AND(BA178=3,F180=60,L178="oil cooled type"),VLOOKUP(L180,変３,12,FALSE),IF(AND(BA178=3,F180=60,L178="(F)molded type"),VLOOKUP(L180,変３,17,FALSE),FALSE)))))</f>
        <v>0</v>
      </c>
      <c r="AO180" s="215" t="str">
        <f>IF(AND(L174="",N(AY178)&lt;10^29),AY178,"")</f>
        <v/>
      </c>
      <c r="AP180" s="223" t="str">
        <f>IF(V178="","",IF(AND(N(V180)=0,N(AP179)=0),"",AQ180/((AQ180*AP179)^2+(AP179*AQ181-1)^2)))</f>
        <v/>
      </c>
      <c r="AQ180" s="213">
        <f>IF(N(V180)=0,10^30,V180)</f>
        <v>1E+30</v>
      </c>
      <c r="AR180" s="215" t="str">
        <f>IF(AB178="","",IF(AB178="600V IV",VLOOKUP(AB180,ＩＶ,2,FALSE),IF(AB178="600V CV-T",VLOOKUP(AB180,ＣＶＴ,2,FALSE),IF(OR(AB178="600V CV-1C",AB178="600V CV-2C",AB178="600V CV-3C",AB178="600V CV-4C"),VLOOKUP(AB180,ＣＶ２３Ｃ,2,FALSE),VLOOKUP(AB180,ＣＵＳＥＲ,2,FALSE)))))</f>
        <v/>
      </c>
      <c r="AS180" s="213" t="str">
        <f>IF(OR(AND(AS438="",AS439=""),AND(D178="",D438&lt;&gt;"")),AS178,(AS178*(AT438^2+AT439^2)+AT438*(AS178^2+AS179^2))/((AS178+AT438)^2+(AS179+AT439)^2))</f>
        <v/>
      </c>
      <c r="AT180" s="216" t="str">
        <f>IF(X181="",AS180,N(AS180)+(X181/1000))</f>
        <v/>
      </c>
      <c r="AU180" s="216" t="str">
        <f>IF(AU178="","",(AT180*(AU178^2+AU179^2)+AU178*(AT180^2+AT181^2))/((AT180+AU178)^2+(AT181+AU179)^2))</f>
        <v/>
      </c>
      <c r="AV180" s="216">
        <f>IF(BA180=0,1,0)</f>
        <v>1</v>
      </c>
      <c r="AW180" s="217" t="str">
        <f>IF(AO180="","",AW178+AO180)</f>
        <v/>
      </c>
      <c r="AX180" s="218" t="str">
        <f>IF(AND(AX176="",AW180&lt;&gt;""),BA180*SQRT(AW178^2+AW179^2)/SQRT(AW180^2+AW181^2),IF(BA180&lt;&gt;0,AX176,""))</f>
        <v/>
      </c>
      <c r="AY180" s="224">
        <f>IF(L180="",10^30,SQRT(BA178)*(BA180^2)*(N(AN178)+N(AN180)+N(AO178)+N(AV178))/(100000*L180*M178))</f>
        <v>1E+30</v>
      </c>
      <c r="AZ180" s="225"/>
      <c r="BA180" s="220">
        <f>IF(AND(J178="",SUM(S178:S181)&lt;&gt;0),BA176,J178)</f>
        <v>0</v>
      </c>
      <c r="BB180" s="221">
        <f t="shared" si="4"/>
        <v>0</v>
      </c>
      <c r="BC180" s="232"/>
      <c r="BD180" s="232"/>
    </row>
    <row r="181" spans="1:56" ht="15" customHeight="1">
      <c r="A181" s="85"/>
      <c r="B181" s="85"/>
      <c r="C181" s="271"/>
      <c r="D181" s="417"/>
      <c r="E181" s="418"/>
      <c r="F181" s="419"/>
      <c r="G181" s="270"/>
      <c r="H181" s="270"/>
      <c r="I181" s="270"/>
      <c r="J181" s="270"/>
      <c r="K181" s="268"/>
      <c r="L181" s="251" t="str">
        <f>IF(M178="","",L180*1000*M178/(SQRT(BA178)*BA180))</f>
        <v/>
      </c>
      <c r="M181" s="252"/>
      <c r="N181" s="277"/>
      <c r="O181" s="205"/>
      <c r="P181" s="106"/>
      <c r="Q181" s="206"/>
      <c r="R181" s="107"/>
      <c r="S181" s="108" t="str">
        <f>IF(R181="","",IF(Q181="",P181/R181,P181/(Q181*R181)))</f>
        <v/>
      </c>
      <c r="T181" s="207"/>
      <c r="U181" s="208" t="str">
        <f>IF(OR(BA180="",S181=""),"",S181*1000*T181/(SQRT(BA178)*BA180))</f>
        <v/>
      </c>
      <c r="V181" s="109" t="str">
        <f>IF(AND(N(U178)=0,N(U179)=0,N(U180)=0,N(U181)=0),"",IF(V178&gt;=0,SQRT(ABS(V178^2-V180^2)),-SQRT(V178^2-V180^2)))</f>
        <v/>
      </c>
      <c r="W181" s="277"/>
      <c r="X181" s="278" t="str">
        <f>IF(Y180="","",AQ178*Z180*AR178*((1+0.00393*(F181-20))/1.2751)/Y180)</f>
        <v/>
      </c>
      <c r="Y181" s="270"/>
      <c r="Z181" s="267" t="str">
        <f>IF(Y180="","",(BA181/50)*AQ178*Z180*AR179/Y180)</f>
        <v/>
      </c>
      <c r="AA181" s="252"/>
      <c r="AB181" s="279" t="str">
        <f>IF(AC180="","",AQ178*AD180*AR180*((1+0.00393*(F181-20))/1.2751)/AC180)</f>
        <v/>
      </c>
      <c r="AC181" s="270"/>
      <c r="AD181" s="267" t="str">
        <f>IF(AC180="","",(BA181/50)*AQ178*AD180*AR181/AC180)</f>
        <v/>
      </c>
      <c r="AE181" s="268"/>
      <c r="AF181" s="237" t="str">
        <f>IF(AND(AX178&lt;&gt;"",D178=""),AX178,"")</f>
        <v/>
      </c>
      <c r="AG181" s="269" t="str">
        <f>IF(AP180="","",AP180)</f>
        <v/>
      </c>
      <c r="AH181" s="270"/>
      <c r="AI181" s="238" t="str">
        <f>IF(AP181="","",AP181)</f>
        <v/>
      </c>
      <c r="AJ181" s="263"/>
      <c r="AK181" s="253"/>
      <c r="AL181" s="189"/>
      <c r="AM181" s="28"/>
      <c r="AN181" s="226" t="b">
        <f>IF(BA178="","",IF(AND(BA178=3,F180=50,L178="oil cooled type"),VLOOKUP(L180,変３,3,FALSE),IF(AND(BA178=3,F180=50,L178="(F)molded type"),VLOOKUP(L180,変３,8,FALSE),IF(AND(BA178=3,F180=60,L178="oil cooled type"),VLOOKUP(L180,変３,13,FALSE),IF(AND(BA178=3,F180=60,L178="(F)molded type"),VLOOKUP(L180,変３,18,FALSE),FALSE)))))</f>
        <v>0</v>
      </c>
      <c r="AO181" s="226" t="str">
        <f>IF(AND(L174="",N(AY179)&lt;10^29),AY179,"")</f>
        <v/>
      </c>
      <c r="AP181" s="227" t="str">
        <f>IF(V178="","",IF(AND(N(V181)=0,N(AP179)=0),0,(AQ181-AP179*(AQ180^2+AQ181^2))/((AQ180*AP179)^2+(AP179*AQ181-1)^2)))</f>
        <v/>
      </c>
      <c r="AQ181" s="228">
        <f>IF(N(V181)=0,10^30,V181)</f>
        <v>1E+30</v>
      </c>
      <c r="AR181" s="226" t="str">
        <f>IF(AB178="","",IF(AB178="600V IV",VLOOKUP(AB180,ＩＶ,3,FALSE),IF(AB178="600V CV-T",VLOOKUP(AB180,ＣＶＴ,3,FALSE),IF(OR(AB178="600V CV-1C",AB178="600V CV-2C",AB178="600V CV-3C",AB178="600V CV-4C"),VLOOKUP(AB180,ＣＶ２３Ｃ,3,FALSE),VLOOKUP(AB180,ＣＵＳＥＲ,3,FALSE)))))</f>
        <v/>
      </c>
      <c r="AS181" s="228" t="str">
        <f>IF(OR(AND(AS438="",AS439=""),AND(D178="",D438&lt;&gt;"")),AS179,(AS179*(AT438^2+AT439^2)+AT439*(AS178^2+AS179^2))/((AS178+AT438)^2+(AS179+AT439)^2))</f>
        <v/>
      </c>
      <c r="AT181" s="229" t="str">
        <f>IF(Z181="",AS181,N(AS181)+(Z181/1000))</f>
        <v/>
      </c>
      <c r="AU181" s="229" t="str">
        <f>IF(AU179="","",(AT181*(AU178^2+AU179^2)+AU179*(AT180^2+AT181^2))/((AT180+AU178)^2+(AT181+AU179)^2))</f>
        <v/>
      </c>
      <c r="AV181" s="229">
        <f>AV177+AV180</f>
        <v>41</v>
      </c>
      <c r="AW181" s="228" t="str">
        <f>IF(AO181="","",AW179+AO181)</f>
        <v/>
      </c>
      <c r="AX181" s="230"/>
      <c r="AY181" s="224">
        <f>IF(L180="",10^30,SQRT(BA178)*(BA180^2)*(N(AN179)+N(AN181)+N(AO179)+N(AV179))/(100000*L180*M178))</f>
        <v>1E+30</v>
      </c>
      <c r="AZ181" s="225"/>
      <c r="BA181" s="220">
        <f>IF(AND(F180="",SUM(S178:S181)&lt;&gt;0),BA177,F180)</f>
        <v>0</v>
      </c>
      <c r="BB181" s="221">
        <f t="shared" si="4"/>
        <v>0</v>
      </c>
      <c r="BC181" s="232"/>
      <c r="BD181" s="232"/>
    </row>
    <row r="182" spans="1:56" ht="15" customHeight="1">
      <c r="B182" s="85"/>
      <c r="C182" s="271" t="str">
        <f>IF(BC182=1,"●","・")</f>
        <v>・</v>
      </c>
      <c r="D182" s="402"/>
      <c r="E182" s="403"/>
      <c r="F182" s="404"/>
      <c r="G182" s="265" t="str">
        <f>IF(F182="","","φ")</f>
        <v/>
      </c>
      <c r="H182" s="405"/>
      <c r="I182" s="265" t="str">
        <f>IF(H182="","","W")</f>
        <v/>
      </c>
      <c r="J182" s="405"/>
      <c r="K182" s="272" t="str">
        <f>IF(J182="","","V")</f>
        <v/>
      </c>
      <c r="L182" s="406"/>
      <c r="M182" s="407"/>
      <c r="N182" s="408"/>
      <c r="O182" s="193"/>
      <c r="P182" s="86"/>
      <c r="Q182" s="194"/>
      <c r="R182" s="87"/>
      <c r="S182" s="88" t="str">
        <f>IF(R182="","",IF(Q182="",P182/R182,P182/(Q182*R182)))</f>
        <v/>
      </c>
      <c r="T182" s="195"/>
      <c r="U182" s="196" t="str">
        <f>IF(OR(BA184="",S182=""),"",S182*1000*T182/(SQRT(BA182)*BA184))</f>
        <v/>
      </c>
      <c r="V182" s="254" t="str">
        <f>IF(AND(N(U182)=0,N(U183)=0,N(U184)=0,N(U185)=0),"",BA184/(SUM(U182:U185)))</f>
        <v/>
      </c>
      <c r="W182" s="280"/>
      <c r="X182" s="281"/>
      <c r="Y182" s="242"/>
      <c r="Z182" s="243"/>
      <c r="AA182" s="239"/>
      <c r="AB182" s="241"/>
      <c r="AC182" s="242"/>
      <c r="AD182" s="243"/>
      <c r="AE182" s="247"/>
      <c r="AF182" s="233" t="str">
        <f>IF(OR(AND(AF178="",N(BA180)=0,BA184&lt;&gt;0),D182&lt;&gt;""),AX184/AQ183,"")</f>
        <v/>
      </c>
      <c r="AG182" s="249" t="str">
        <f>IF(BA184=0,"",IF(AD184="",AX182,IF(AND(D182&lt;&gt;"",AU182=""),AX184*SQRT(AP184^2+AP185^2)/SQRT(AS182^2+AS183^2)/AQ183,AX182*SQRT(AP184^2+AP185^2)/SQRT(AS182^2+AS183^2))))</f>
        <v/>
      </c>
      <c r="AH182" s="250"/>
      <c r="AI182" s="234" t="str">
        <f>IF(AG182="","",IF(N(U182)&lt;0,-AX182*AQ183/SQRT(AS182^2+AS183^2),AX182*AQ183/SQRT(AS182^2+AS183^2)))</f>
        <v/>
      </c>
      <c r="AJ182" s="256"/>
      <c r="AK182" s="257"/>
      <c r="AL182" s="186"/>
      <c r="AM182" s="28"/>
      <c r="AN182" s="213" t="b">
        <f>IF(BA182="","",IF(AND(BA182=1,F184=50,L182="oil cooled type"),VLOOKUP(L184,変１,2,FALSE),IF(AND(BA182=1,F184=50,L182="(F)molded type"),VLOOKUP(L184,変１,7,FALSE),IF(AND(BA182=1,F184=60,L182="oil cooled type"),VLOOKUP(L184,変１,12,FALSE),IF(AND(BA182=1,F184=60,L182="(F)molded type"),VLOOKUP(L184,変１,17,FALSE),FALSE)))))</f>
        <v>0</v>
      </c>
      <c r="AO182" s="213">
        <f>IF(ISNA(VLOOKUP(L184,変ＵＳＥＲ,2,FALSE)),0,VLOOKUP(L184,変ＵＳＥＲ,2,FALSE))</f>
        <v>0</v>
      </c>
      <c r="AP182" s="214">
        <f>IF(N182="",0,N182*1000/BA184^2/SQRT(BA182))</f>
        <v>0</v>
      </c>
      <c r="AQ182" s="213" t="b">
        <f>IF(BA182=1,2,IF(BA182=3,SQRT(3),FALSE))</f>
        <v>0</v>
      </c>
      <c r="AR182" s="215" t="str">
        <f>IF(X182="","",IF(X182="600V IV",VLOOKUP(X184,ＩＶ,2,FALSE),IF(X182="600V CV-T",VLOOKUP(X184,ＣＶＴ,2,FALSE),IF(OR(X182="600V CV-1C",X182="600V CV-2C",X182="600V CV-3C",X182="600V CV-4C"),VLOOKUP(X184,ＣＶ２３Ｃ,2,FALSE),VLOOKUP(X184,ＣＵＳＥＲ,2,FALSE)))))</f>
        <v/>
      </c>
      <c r="AS182" s="213" t="str">
        <f>IF(AB185="",AP184,AP184+(AB185/1000))</f>
        <v/>
      </c>
      <c r="AT182" s="216" t="str">
        <f>IF(AU184="",AT184,AU184)</f>
        <v/>
      </c>
      <c r="AU182" s="216" t="str">
        <f>IF(D182="","",IF(AND(D442="",#REF!&lt;&gt;"",AV185=#REF!),#REF!,IF(AND(D442="",#REF!="",#REF!&lt;&gt;"",AV445=#REF!),#REF!,IF(AND(D442="",#REF!="",#REF!="",#REF!&lt;&gt;"",#REF!=#REF!),#REF!,IF(AND(D442="",#REF!="",#REF!="",#REF!="",D446&lt;&gt;"",#REF!=#REF!),AT446,IF(AND(D442="",#REF!="",#REF!="",#REF!="",D446="",#REF!&lt;&gt;"",#REF!=AV450),#REF!,IF(AND(D442="",#REF!="",#REF!="",#REF!="",D446="",#REF!="",D451&lt;&gt;"",#REF!=AV454),AT451,"")))))))</f>
        <v/>
      </c>
      <c r="AV182" s="216" t="str">
        <f>IF(L182="ACG",IF(ISNA(VLOOKUP(L184,ＡＣＧ,2,FALSE)),0,VLOOKUP(L184,ＡＣＧ,2,FALSE)),"")</f>
        <v/>
      </c>
      <c r="AW182" s="217" t="str">
        <f>IF(AT182="","",AT182/((AT182*AP182)^2+(AT183*AP182-1)^2))</f>
        <v/>
      </c>
      <c r="AX182" s="218" t="str">
        <f>IF(BA184=0,"",IF(OR(AX178="",AF182&lt;&gt;""),AF182*SQRT(AS184^2+AS185^2)/SQRT(AT184^2+AT185^2),AX178*SQRT(AS184^2+AS185^2)/SQRT(AT184^2+AT185^2)))</f>
        <v/>
      </c>
      <c r="AY182" s="219">
        <f>IF(N(AY184)=10^30,10^30,IF(N(AY444)=10^30,(N(AY184)*(N(AY444)^2+N(AY445)^2)+N(AY444)*(N(AY184)^2+N(AY185)^2))/((N(AY184)+N(AY444))^2+(N(AY185)+N(AY445))^2),(N(AY184)*(N(AY442)^2+N(AY443)^2)+N(AY442)*(N(AY184)^2+N(AY185)^2))/((N(AY184)+N(AY442))^2+(N(AY185)+N(AY443))^2)))</f>
        <v>1E+30</v>
      </c>
      <c r="AZ182" s="23"/>
      <c r="BA182" s="220">
        <f>IF(AND(F182="",SUM(S182:S185)&lt;&gt;0),BA178,F182)</f>
        <v>0</v>
      </c>
      <c r="BB182" s="221">
        <f t="shared" si="4"/>
        <v>0</v>
      </c>
      <c r="BC182" s="232">
        <f>IF(OR(E182="",F185="",AND(OR(P182="",Q182="",R182="",T182=""),OR(P183="",Q183="",R183="",T183=""),OR(P184="",Q184="",R184="",T184=""),OR(P185="",Q185="",R185="",T185="")),AND(OR(X182="",X184="",Y184="",Z184=""),OR(AB182="",AB184="",AC184="",AD184=""))),0,1)</f>
        <v>0</v>
      </c>
      <c r="BD182" s="232">
        <f>BC182+BD178</f>
        <v>0</v>
      </c>
    </row>
    <row r="183" spans="1:56" ht="15" customHeight="1">
      <c r="B183" s="85"/>
      <c r="C183" s="271"/>
      <c r="D183" s="409"/>
      <c r="E183" s="362"/>
      <c r="F183" s="410"/>
      <c r="G183" s="266"/>
      <c r="H183" s="266"/>
      <c r="I183" s="266"/>
      <c r="J183" s="266"/>
      <c r="K183" s="273"/>
      <c r="L183" s="411"/>
      <c r="M183" s="197" t="str">
        <f>IF(L182="ACG",SQRT(AV182^2+AV183^2),IF(L184="","",IF(OR(L182="oil cooled type",L182="(F)molded type"),IF(BA182=1,SQRT(AN182^2+AN183^2),IF(BA182=3,SQRT(AN184^2+AN185^2))),SQRT(AO182^2+AO183^2))))</f>
        <v/>
      </c>
      <c r="N183" s="412"/>
      <c r="O183" s="198"/>
      <c r="P183" s="90"/>
      <c r="Q183" s="199"/>
      <c r="R183" s="91"/>
      <c r="S183" s="92" t="str">
        <f>IF(R184="","",IF(Q184="",P184/R184,P184/(Q184*R184)))</f>
        <v/>
      </c>
      <c r="T183" s="200"/>
      <c r="U183" s="201" t="str">
        <f>IF(OR(BA184="",S183=""),"",S183*1000*T183/(SQRT(BA182)*BA184))</f>
        <v/>
      </c>
      <c r="V183" s="255"/>
      <c r="W183" s="248"/>
      <c r="X183" s="258"/>
      <c r="Y183" s="245"/>
      <c r="Z183" s="246"/>
      <c r="AA183" s="240"/>
      <c r="AB183" s="244"/>
      <c r="AC183" s="245"/>
      <c r="AD183" s="246"/>
      <c r="AE183" s="248"/>
      <c r="AF183" s="235" t="str">
        <f>IF(OR(AF182="",AG178&lt;&gt;""),"",AF182*AQ183/SQRT(AT182^2+AT183^2))</f>
        <v/>
      </c>
      <c r="AG183" s="274" t="str">
        <f>IF(AG182="","",100*AG182*AQ183/BA184)</f>
        <v/>
      </c>
      <c r="AH183" s="275"/>
      <c r="AI183" s="260" t="str">
        <f>IF(BA184=0,"",IF(AI178="",AX184/SQRT(AT182^2+AT183^2),IF(AI186="","",IF(AT182&lt;0,-AX182*AQ179/SQRT(AT182^2+AT183^2),AX182*AQ179/SQRT(AT182^2+AT183^2)))))</f>
        <v/>
      </c>
      <c r="AJ183" s="258"/>
      <c r="AK183" s="259"/>
      <c r="AL183" s="187"/>
      <c r="AM183" s="28"/>
      <c r="AN183" s="213" t="b">
        <f>IF(BA182="","",IF(AND(BA182=1,F184=50,L182="oil cooled type"),VLOOKUP(L184,変１,3,FALSE),IF(AND(BA182=1,F184=50,L182="(F)molded type"),VLOOKUP(L184,変１,8,FALSE),IF(AND(BA182=1,F184=60,L182="oil cooled type"),VLOOKUP(L184,変１,13,FALSE),IF(AND(BA182=1,F184=60,L182="(F)molded type"),VLOOKUP(L184,変１,18,FALSE),FALSE)))))</f>
        <v>0</v>
      </c>
      <c r="AO183" s="213">
        <f>IF(ISNA(VLOOKUP(L184,変ＵＳＥＲ,3,FALSE)),0,VLOOKUP(L184,変ＵＳＥＲ,3,FALSE)*BA185/50)</f>
        <v>0</v>
      </c>
      <c r="AP183" s="214">
        <f>IF(W182="",0,W182*1000/BA184^2/SQRT(BA182))</f>
        <v>0</v>
      </c>
      <c r="AQ183" s="213">
        <f>IF(AND(BA182=1,BA183=2),1,IF(AND(BA182=3,BA183=3),1,IF(AND(BA182=1,BA183=3),2,IF(AND(BA182=3,BA183=4)*OR(BB182=1,BB183=1,BB184=1,BB185=1),1,SQRT(3)))))</f>
        <v>1.7320508075688772</v>
      </c>
      <c r="AR183" s="215" t="str">
        <f>IF(X182="","",IF(X182="600V IV",VLOOKUP(X184,ＩＶ,3,FALSE),IF(X182="600V CV-T",VLOOKUP(X184,ＣＶＴ,3,FALSE),IF(OR(X182="600V CV-1C",X182="600V CV-2C",X182="600V CV-3C",X182="600V CV-4C"),VLOOKUP(X184,ＣＶ２３Ｃ,3,FALSE),VLOOKUP(X184,ＣＵＳＥＲ,3,FALSE)))))</f>
        <v/>
      </c>
      <c r="AS183" s="213" t="str">
        <f>IF(AD185="",AP185,AP185+(AD185/1000))</f>
        <v/>
      </c>
      <c r="AT183" s="216" t="str">
        <f>IF(AU185="",AT185,AU185)</f>
        <v/>
      </c>
      <c r="AU183" s="216" t="str">
        <f>IF(D182="","",IF(AND(D442="",#REF!&lt;&gt;"",AV185=#REF!),#REF!,IF(AND(D442="",#REF!="",#REF!&lt;&gt;"",AV445=#REF!),#REF!,IF(AND(D442="",#REF!="",#REF!="",#REF!&lt;&gt;"",#REF!=#REF!),#REF!,IF(AND(D442="",#REF!="",#REF!="",#REF!="",D446&lt;&gt;"",#REF!=#REF!),AT447,IF(AND(D442="",#REF!="",#REF!="",#REF!="",D446="",#REF!&lt;&gt;"",#REF!=AV450),AT448,IF(AND(D442="",#REF!="",#REF!="",#REF!="",D446="",#REF!="",D451&lt;&gt;"",#REF!=AV454),AT452,"")))))))</f>
        <v/>
      </c>
      <c r="AV183" s="215" t="str">
        <f>IF(L182="ACG",IF(ISNA(VLOOKUP(L184,ＡＣＧ,3,FALSE)),0,VLOOKUP(L184,ＡＣＧ,3,FALSE)*BA185/50),"")</f>
        <v/>
      </c>
      <c r="AW183" s="217" t="str">
        <f>IF(AT183="","",(AT183-AP182*(AT182^2+AT183^2))/((AT182*AP182)^2+(AP182*AT183-1)^2))</f>
        <v/>
      </c>
      <c r="AX183" s="218"/>
      <c r="AY183" s="219">
        <f>IF(N(AY185)=10^30,10^30,IF(N(AY445)=10^30,(N(AY185)*(N(AY444)^2+N(AY445)^2)+N(AY445)*(N(AY184)^2+N(AY185)^2))/((N(AY184)+N(AY444))^2+(N(AY185)+N(AY445))^2),(N(AY185)*(N(AY442)^2+N(AY443)^2)+N(AY443)*(N(AY184)^2+N(AY185)^2))/((N(AY184)+N(AY442))^2+(N(AY185)+N(AY443))^2)))</f>
        <v>1E+30</v>
      </c>
      <c r="AZ183" s="23"/>
      <c r="BA183" s="220">
        <f>IF(AND(H182="",SUM(S182:S185)&lt;&gt;0),BA179,H182)</f>
        <v>0</v>
      </c>
      <c r="BB183" s="221">
        <f t="shared" si="4"/>
        <v>0</v>
      </c>
      <c r="BC183" s="232"/>
      <c r="BD183" s="232"/>
    </row>
    <row r="184" spans="1:56" ht="15" customHeight="1">
      <c r="B184" s="85"/>
      <c r="C184" s="271"/>
      <c r="D184" s="409"/>
      <c r="E184" s="362"/>
      <c r="F184" s="413"/>
      <c r="G184" s="414"/>
      <c r="H184" s="414"/>
      <c r="I184" s="414"/>
      <c r="J184" s="414"/>
      <c r="K184" s="415"/>
      <c r="L184" s="416"/>
      <c r="M184" s="275"/>
      <c r="N184" s="412"/>
      <c r="O184" s="198"/>
      <c r="P184" s="93"/>
      <c r="Q184" s="202"/>
      <c r="R184" s="91"/>
      <c r="S184" s="92" t="str">
        <f>IF(R185="","",IF(Q185="",P185/R185,P185/(Q185*R185)))</f>
        <v/>
      </c>
      <c r="T184" s="200"/>
      <c r="U184" s="203" t="str">
        <f>IF(OR(BA184="",S184=""),"",S184*1000*T184/(SQRT(BA182)*BA184))</f>
        <v/>
      </c>
      <c r="V184" s="94" t="str">
        <f>IF(AND(N(U182)=0,N(U183)=0,N(U184)=0,N(U185)=0),"",V182*(P182*R182*T182+P183*R183*T183+P184*R184*T184+P185*R185*T185)/(P182*T182+P183*T183+P184*T184+P185*T185))</f>
        <v/>
      </c>
      <c r="W184" s="276" t="str">
        <f>IF(AND(N(AP184)=0,N(AP185)=0,N(AP183)=0),"",IF(AP185&gt;=0,COS(ATAN(AP185/AP184)),-COS(ATAN(AP185/AP184))))</f>
        <v/>
      </c>
      <c r="X184" s="95"/>
      <c r="Y184" s="204"/>
      <c r="Z184" s="96"/>
      <c r="AA184" s="97"/>
      <c r="AB184" s="98"/>
      <c r="AC184" s="204"/>
      <c r="AD184" s="96"/>
      <c r="AE184" s="99"/>
      <c r="AF184" s="236" t="str">
        <f>IF(OR(AF182="",AG178&lt;&gt;""),"",BA184/SQRT(AW184^2+AW185^2))</f>
        <v/>
      </c>
      <c r="AG184" s="274" t="str">
        <f>IF(AG182="","",100*((BA184/AQ183)-AG182)/(BA184/AQ183))</f>
        <v/>
      </c>
      <c r="AH184" s="275"/>
      <c r="AI184" s="261"/>
      <c r="AJ184" s="262"/>
      <c r="AK184" s="264"/>
      <c r="AL184" s="188"/>
      <c r="AM184" s="28"/>
      <c r="AN184" s="222" t="b">
        <f>IF(BA182="","",IF(AND(BA182=3,F184=50,L182="oil cooled type"),VLOOKUP(L184,変３,2,FALSE),IF(AND(BA182=3,F184=50,L182="(F)molded type"),VLOOKUP(L184,変３,7,FALSE),IF(AND(BA182=3,F184=60,L182="oil cooled type"),VLOOKUP(L184,変３,12,FALSE),IF(AND(BA182=3,F184=60,L182="(F)molded type"),VLOOKUP(L184,変３,17,FALSE),FALSE)))))</f>
        <v>0</v>
      </c>
      <c r="AO184" s="215" t="str">
        <f>IF(AND(L178="",N(AY182)&lt;10^29),AY182,"")</f>
        <v/>
      </c>
      <c r="AP184" s="223" t="str">
        <f>IF(V182="","",IF(AND(N(V184)=0,N(AP183)=0),"",AQ184/((AQ184*AP183)^2+(AP183*AQ185-1)^2)))</f>
        <v/>
      </c>
      <c r="AQ184" s="213">
        <f>IF(N(V184)=0,10^30,V184)</f>
        <v>1E+30</v>
      </c>
      <c r="AR184" s="215" t="str">
        <f>IF(AB182="","",IF(AB182="600V IV",VLOOKUP(AB184,ＩＶ,2,FALSE),IF(AB182="600V CV-T",VLOOKUP(AB184,ＣＶＴ,2,FALSE),IF(OR(AB182="600V CV-1C",AB182="600V CV-2C",AB182="600V CV-3C",AB182="600V CV-4C"),VLOOKUP(AB184,ＣＶ２３Ｃ,2,FALSE),VLOOKUP(AB184,ＣＵＳＥＲ,2,FALSE)))))</f>
        <v/>
      </c>
      <c r="AS184" s="213" t="str">
        <f>IF(OR(AND(AS442="",AS443=""),AND(D182="",D442&lt;&gt;"")),AS182,(AS182*(AT442^2+AT443^2)+AT442*(AS182^2+AS183^2))/((AS182+AT442)^2+(AS183+AT443)^2))</f>
        <v/>
      </c>
      <c r="AT184" s="216" t="str">
        <f>IF(X185="",AS184,N(AS184)+(X185/1000))</f>
        <v/>
      </c>
      <c r="AU184" s="216" t="str">
        <f>IF(AU182="","",(AT184*(AU182^2+AU183^2)+AU182*(AT184^2+AT185^2))/((AT184+AU182)^2+(AT185+AU183)^2))</f>
        <v/>
      </c>
      <c r="AV184" s="216">
        <f>IF(BA184=0,1,0)</f>
        <v>1</v>
      </c>
      <c r="AW184" s="217" t="str">
        <f>IF(AO184="","",AW182+AO184)</f>
        <v/>
      </c>
      <c r="AX184" s="218" t="str">
        <f>IF(AND(AX180="",AW184&lt;&gt;""),BA184*SQRT(AW182^2+AW183^2)/SQRT(AW184^2+AW185^2),IF(BA184&lt;&gt;0,AX180,""))</f>
        <v/>
      </c>
      <c r="AY184" s="224">
        <f>IF(L184="",10^30,SQRT(BA182)*(BA184^2)*(N(AN182)+N(AN184)+N(AO182)+N(AV182))/(100000*L184*M182))</f>
        <v>1E+30</v>
      </c>
      <c r="AZ184" s="225"/>
      <c r="BA184" s="220">
        <f>IF(AND(J182="",SUM(S182:S185)&lt;&gt;0),BA180,J182)</f>
        <v>0</v>
      </c>
      <c r="BB184" s="221">
        <f t="shared" si="4"/>
        <v>0</v>
      </c>
      <c r="BC184" s="232"/>
      <c r="BD184" s="232"/>
    </row>
    <row r="185" spans="1:56" ht="15" customHeight="1">
      <c r="A185" s="85"/>
      <c r="B185" s="85"/>
      <c r="C185" s="271"/>
      <c r="D185" s="417"/>
      <c r="E185" s="418"/>
      <c r="F185" s="419"/>
      <c r="G185" s="270"/>
      <c r="H185" s="270"/>
      <c r="I185" s="270"/>
      <c r="J185" s="270"/>
      <c r="K185" s="268"/>
      <c r="L185" s="251" t="str">
        <f>IF(M182="","",L184*1000*M182/(SQRT(BA182)*BA184))</f>
        <v/>
      </c>
      <c r="M185" s="252"/>
      <c r="N185" s="277"/>
      <c r="O185" s="205"/>
      <c r="P185" s="106"/>
      <c r="Q185" s="206"/>
      <c r="R185" s="107"/>
      <c r="S185" s="108" t="str">
        <f>IF(R185="","",IF(Q185="",P185/R185,P185/(Q185*R185)))</f>
        <v/>
      </c>
      <c r="T185" s="207"/>
      <c r="U185" s="208" t="str">
        <f>IF(OR(BA184="",S185=""),"",S185*1000*T185/(SQRT(BA182)*BA184))</f>
        <v/>
      </c>
      <c r="V185" s="109" t="str">
        <f>IF(AND(N(U182)=0,N(U183)=0,N(U184)=0,N(U185)=0),"",IF(V182&gt;=0,SQRT(ABS(V182^2-V184^2)),-SQRT(V182^2-V184^2)))</f>
        <v/>
      </c>
      <c r="W185" s="277"/>
      <c r="X185" s="278" t="str">
        <f>IF(Y184="","",AQ182*Z184*AR182*((1+0.00393*(F185-20))/1.2751)/Y184)</f>
        <v/>
      </c>
      <c r="Y185" s="270"/>
      <c r="Z185" s="267" t="str">
        <f>IF(Y184="","",(BA185/50)*AQ182*Z184*AR183/Y184)</f>
        <v/>
      </c>
      <c r="AA185" s="252"/>
      <c r="AB185" s="279" t="str">
        <f>IF(AC184="","",AQ182*AD184*AR184*((1+0.00393*(F185-20))/1.2751)/AC184)</f>
        <v/>
      </c>
      <c r="AC185" s="270"/>
      <c r="AD185" s="267" t="str">
        <f>IF(AC184="","",(BA185/50)*AQ182*AD184*AR185/AC184)</f>
        <v/>
      </c>
      <c r="AE185" s="268"/>
      <c r="AF185" s="237" t="str">
        <f>IF(AND(AX182&lt;&gt;"",D182=""),AX182,"")</f>
        <v/>
      </c>
      <c r="AG185" s="269" t="str">
        <f>IF(AP184="","",AP184)</f>
        <v/>
      </c>
      <c r="AH185" s="270"/>
      <c r="AI185" s="238" t="str">
        <f>IF(AP185="","",AP185)</f>
        <v/>
      </c>
      <c r="AJ185" s="263"/>
      <c r="AK185" s="253"/>
      <c r="AL185" s="189"/>
      <c r="AM185" s="28"/>
      <c r="AN185" s="226" t="b">
        <f>IF(BA182="","",IF(AND(BA182=3,F184=50,L182="oil cooled type"),VLOOKUP(L184,変３,3,FALSE),IF(AND(BA182=3,F184=50,L182="(F)molded type"),VLOOKUP(L184,変３,8,FALSE),IF(AND(BA182=3,F184=60,L182="oil cooled type"),VLOOKUP(L184,変３,13,FALSE),IF(AND(BA182=3,F184=60,L182="(F)molded type"),VLOOKUP(L184,変３,18,FALSE),FALSE)))))</f>
        <v>0</v>
      </c>
      <c r="AO185" s="226" t="str">
        <f>IF(AND(L178="",N(AY183)&lt;10^29),AY183,"")</f>
        <v/>
      </c>
      <c r="AP185" s="227" t="str">
        <f>IF(V182="","",IF(AND(N(V185)=0,N(AP183)=0),0,(AQ185-AP183*(AQ184^2+AQ185^2))/((AQ184*AP183)^2+(AP183*AQ185-1)^2)))</f>
        <v/>
      </c>
      <c r="AQ185" s="228">
        <f>IF(N(V185)=0,10^30,V185)</f>
        <v>1E+30</v>
      </c>
      <c r="AR185" s="226" t="str">
        <f>IF(AB182="","",IF(AB182="600V IV",VLOOKUP(AB184,ＩＶ,3,FALSE),IF(AB182="600V CV-T",VLOOKUP(AB184,ＣＶＴ,3,FALSE),IF(OR(AB182="600V CV-1C",AB182="600V CV-2C",AB182="600V CV-3C",AB182="600V CV-4C"),VLOOKUP(AB184,ＣＶ２３Ｃ,3,FALSE),VLOOKUP(AB184,ＣＵＳＥＲ,3,FALSE)))))</f>
        <v/>
      </c>
      <c r="AS185" s="228" t="str">
        <f>IF(OR(AND(AS442="",AS443=""),AND(D182="",D442&lt;&gt;"")),AS183,(AS183*(AT442^2+AT443^2)+AT443*(AS182^2+AS183^2))/((AS182+AT442)^2+(AS183+AT443)^2))</f>
        <v/>
      </c>
      <c r="AT185" s="229" t="str">
        <f>IF(Z185="",AS185,N(AS185)+(Z185/1000))</f>
        <v/>
      </c>
      <c r="AU185" s="229" t="str">
        <f>IF(AU183="","",(AT185*(AU182^2+AU183^2)+AU183*(AT184^2+AT185^2))/((AT184+AU182)^2+(AT185+AU183)^2))</f>
        <v/>
      </c>
      <c r="AV185" s="229">
        <f>AV181+AV184</f>
        <v>42</v>
      </c>
      <c r="AW185" s="228" t="str">
        <f>IF(AO185="","",AW183+AO185)</f>
        <v/>
      </c>
      <c r="AX185" s="230"/>
      <c r="AY185" s="224">
        <f>IF(L184="",10^30,SQRT(BA182)*(BA184^2)*(N(AN183)+N(AN185)+N(AO183)+N(AV183))/(100000*L184*M182))</f>
        <v>1E+30</v>
      </c>
      <c r="AZ185" s="225"/>
      <c r="BA185" s="220">
        <f>IF(AND(F184="",SUM(S182:S185)&lt;&gt;0),BA181,F184)</f>
        <v>0</v>
      </c>
      <c r="BB185" s="221">
        <f t="shared" si="4"/>
        <v>0</v>
      </c>
      <c r="BC185" s="232"/>
      <c r="BD185" s="232"/>
    </row>
    <row r="186" spans="1:56" ht="15" customHeight="1">
      <c r="B186" s="85"/>
      <c r="C186" s="271" t="str">
        <f>IF(BC186=1,"●","・")</f>
        <v>・</v>
      </c>
      <c r="D186" s="402"/>
      <c r="E186" s="403"/>
      <c r="F186" s="404"/>
      <c r="G186" s="265" t="str">
        <f>IF(F186="","","φ")</f>
        <v/>
      </c>
      <c r="H186" s="405"/>
      <c r="I186" s="265" t="str">
        <f>IF(H186="","","W")</f>
        <v/>
      </c>
      <c r="J186" s="405"/>
      <c r="K186" s="272" t="str">
        <f>IF(J186="","","V")</f>
        <v/>
      </c>
      <c r="L186" s="406"/>
      <c r="M186" s="407"/>
      <c r="N186" s="408"/>
      <c r="O186" s="193"/>
      <c r="P186" s="86"/>
      <c r="Q186" s="194"/>
      <c r="R186" s="87"/>
      <c r="S186" s="88" t="str">
        <f>IF(R186="","",IF(Q186="",P186/R186,P186/(Q186*R186)))</f>
        <v/>
      </c>
      <c r="T186" s="195"/>
      <c r="U186" s="196" t="str">
        <f>IF(OR(BA188="",S186=""),"",S186*1000*T186/(SQRT(BA186)*BA188))</f>
        <v/>
      </c>
      <c r="V186" s="254" t="str">
        <f>IF(AND(N(U186)=0,N(U187)=0,N(U188)=0,N(U189)=0),"",BA188/(SUM(U186:U189)))</f>
        <v/>
      </c>
      <c r="W186" s="280"/>
      <c r="X186" s="281"/>
      <c r="Y186" s="242"/>
      <c r="Z186" s="243"/>
      <c r="AA186" s="239"/>
      <c r="AB186" s="241"/>
      <c r="AC186" s="242"/>
      <c r="AD186" s="243"/>
      <c r="AE186" s="247"/>
      <c r="AF186" s="233" t="str">
        <f>IF(OR(AND(AF182="",N(BA184)=0,BA188&lt;&gt;0),D186&lt;&gt;""),AX188/AQ187,"")</f>
        <v/>
      </c>
      <c r="AG186" s="249" t="str">
        <f>IF(BA188=0,"",IF(AD188="",AX186,IF(AND(D186&lt;&gt;"",AU186=""),AX188*SQRT(AP188^2+AP189^2)/SQRT(AS186^2+AS187^2)/AQ187,AX186*SQRT(AP188^2+AP189^2)/SQRT(AS186^2+AS187^2))))</f>
        <v/>
      </c>
      <c r="AH186" s="250"/>
      <c r="AI186" s="234" t="str">
        <f>IF(AG186="","",IF(N(U186)&lt;0,-AX186*AQ187/SQRT(AS186^2+AS187^2),AX186*AQ187/SQRT(AS186^2+AS187^2)))</f>
        <v/>
      </c>
      <c r="AJ186" s="256"/>
      <c r="AK186" s="257"/>
      <c r="AL186" s="186"/>
      <c r="AM186" s="28"/>
      <c r="AN186" s="213" t="b">
        <f>IF(BA186="","",IF(AND(BA186=1,F188=50,L186="oil cooled type"),VLOOKUP(L188,変１,2,FALSE),IF(AND(BA186=1,F188=50,L186="(F)molded type"),VLOOKUP(L188,変１,7,FALSE),IF(AND(BA186=1,F188=60,L186="oil cooled type"),VLOOKUP(L188,変１,12,FALSE),IF(AND(BA186=1,F188=60,L186="(F)molded type"),VLOOKUP(L188,変１,17,FALSE),FALSE)))))</f>
        <v>0</v>
      </c>
      <c r="AO186" s="213">
        <f>IF(ISNA(VLOOKUP(L188,変ＵＳＥＲ,2,FALSE)),0,VLOOKUP(L188,変ＵＳＥＲ,2,FALSE))</f>
        <v>0</v>
      </c>
      <c r="AP186" s="214">
        <f>IF(N186="",0,N186*1000/BA188^2/SQRT(BA186))</f>
        <v>0</v>
      </c>
      <c r="AQ186" s="213" t="b">
        <f>IF(BA186=1,2,IF(BA186=3,SQRT(3),FALSE))</f>
        <v>0</v>
      </c>
      <c r="AR186" s="215" t="str">
        <f>IF(X186="","",IF(X186="600V IV",VLOOKUP(X188,ＩＶ,2,FALSE),IF(X186="600V CV-T",VLOOKUP(X188,ＣＶＴ,2,FALSE),IF(OR(X186="600V CV-1C",X186="600V CV-2C",X186="600V CV-3C",X186="600V CV-4C"),VLOOKUP(X188,ＣＶ２３Ｃ,2,FALSE),VLOOKUP(X188,ＣＵＳＥＲ,2,FALSE)))))</f>
        <v/>
      </c>
      <c r="AS186" s="213" t="str">
        <f>IF(AB189="",AP188,AP188+(AB189/1000))</f>
        <v/>
      </c>
      <c r="AT186" s="216" t="str">
        <f>IF(AU188="",AT188,AU188)</f>
        <v/>
      </c>
      <c r="AU186" s="216" t="str">
        <f>IF(D186="","",IF(AND(D446="",#REF!&lt;&gt;"",AV189=#REF!),#REF!,IF(AND(D446="",#REF!="",#REF!&lt;&gt;"",AV449=#REF!),#REF!,IF(AND(D446="",#REF!="",#REF!="",#REF!&lt;&gt;"",#REF!=#REF!),#REF!,IF(AND(D446="",#REF!="",#REF!="",#REF!="",D450&lt;&gt;"",#REF!=#REF!),AT450,IF(AND(D446="",#REF!="",#REF!="",#REF!="",D450="",#REF!&lt;&gt;"",#REF!=AV454),#REF!,IF(AND(D446="",#REF!="",#REF!="",#REF!="",D450="",#REF!="",D455&lt;&gt;"",#REF!=AV458),AT455,"")))))))</f>
        <v/>
      </c>
      <c r="AV186" s="216" t="str">
        <f>IF(L186="ACG",IF(ISNA(VLOOKUP(L188,ＡＣＧ,2,FALSE)),0,VLOOKUP(L188,ＡＣＧ,2,FALSE)),"")</f>
        <v/>
      </c>
      <c r="AW186" s="217" t="str">
        <f>IF(AT186="","",AT186/((AT186*AP186)^2+(AT187*AP186-1)^2))</f>
        <v/>
      </c>
      <c r="AX186" s="218" t="str">
        <f>IF(BA188=0,"",IF(OR(AX182="",AF186&lt;&gt;""),AF186*SQRT(AS188^2+AS189^2)/SQRT(AT188^2+AT189^2),AX182*SQRT(AS188^2+AS189^2)/SQRT(AT188^2+AT189^2)))</f>
        <v/>
      </c>
      <c r="AY186" s="219">
        <f>IF(N(AY188)=10^30,10^30,IF(N(AY448)=10^30,(N(AY188)*(N(AY448)^2+N(AY449)^2)+N(AY448)*(N(AY188)^2+N(AY189)^2))/((N(AY188)+N(AY448))^2+(N(AY189)+N(AY449))^2),(N(AY188)*(N(AY446)^2+N(AY447)^2)+N(AY446)*(N(AY188)^2+N(AY189)^2))/((N(AY188)+N(AY446))^2+(N(AY189)+N(AY447))^2)))</f>
        <v>1E+30</v>
      </c>
      <c r="AZ186" s="23"/>
      <c r="BA186" s="220">
        <f>IF(AND(F186="",SUM(S186:S189)&lt;&gt;0),BA182,F186)</f>
        <v>0</v>
      </c>
      <c r="BB186" s="221">
        <f t="shared" si="4"/>
        <v>0</v>
      </c>
      <c r="BC186" s="232">
        <f>IF(OR(E186="",F189="",AND(OR(P186="",Q186="",R186="",T186=""),OR(P187="",Q187="",R187="",T187=""),OR(P188="",Q188="",R188="",T188=""),OR(P189="",Q189="",R189="",T189="")),AND(OR(X186="",X188="",Y188="",Z188=""),OR(AB186="",AB188="",AC188="",AD188=""))),0,1)</f>
        <v>0</v>
      </c>
      <c r="BD186" s="232">
        <f>BC186+BD182</f>
        <v>0</v>
      </c>
    </row>
    <row r="187" spans="1:56" ht="15" customHeight="1">
      <c r="B187" s="85"/>
      <c r="C187" s="271"/>
      <c r="D187" s="409"/>
      <c r="E187" s="362"/>
      <c r="F187" s="410"/>
      <c r="G187" s="266"/>
      <c r="H187" s="266"/>
      <c r="I187" s="266"/>
      <c r="J187" s="266"/>
      <c r="K187" s="273"/>
      <c r="L187" s="411"/>
      <c r="M187" s="197" t="str">
        <f>IF(L186="ACG",SQRT(AV186^2+AV187^2),IF(L188="","",IF(OR(L186="oil cooled type",L186="(F)molded type"),IF(BA186=1,SQRT(AN186^2+AN187^2),IF(BA186=3,SQRT(AN188^2+AN189^2))),SQRT(AO186^2+AO187^2))))</f>
        <v/>
      </c>
      <c r="N187" s="412"/>
      <c r="O187" s="198"/>
      <c r="P187" s="90"/>
      <c r="Q187" s="199"/>
      <c r="R187" s="91"/>
      <c r="S187" s="92" t="str">
        <f>IF(R188="","",IF(Q188="",P188/R188,P188/(Q188*R188)))</f>
        <v/>
      </c>
      <c r="T187" s="200"/>
      <c r="U187" s="201" t="str">
        <f>IF(OR(BA188="",S187=""),"",S187*1000*T187/(SQRT(BA186)*BA188))</f>
        <v/>
      </c>
      <c r="V187" s="255"/>
      <c r="W187" s="248"/>
      <c r="X187" s="258"/>
      <c r="Y187" s="245"/>
      <c r="Z187" s="246"/>
      <c r="AA187" s="240"/>
      <c r="AB187" s="244"/>
      <c r="AC187" s="245"/>
      <c r="AD187" s="246"/>
      <c r="AE187" s="248"/>
      <c r="AF187" s="235" t="str">
        <f>IF(OR(AF186="",AG182&lt;&gt;""),"",AF186*AQ187/SQRT(AT186^2+AT187^2))</f>
        <v/>
      </c>
      <c r="AG187" s="274" t="str">
        <f>IF(AG186="","",100*AG186*AQ187/BA188)</f>
        <v/>
      </c>
      <c r="AH187" s="275"/>
      <c r="AI187" s="260" t="str">
        <f>IF(BA188=0,"",IF(AI182="",AX188/SQRT(AT186^2+AT187^2),IF(AI190="","",IF(AT186&lt;0,-AX186*AQ183/SQRT(AT186^2+AT187^2),AX186*AQ183/SQRT(AT186^2+AT187^2)))))</f>
        <v/>
      </c>
      <c r="AJ187" s="258"/>
      <c r="AK187" s="259"/>
      <c r="AL187" s="187"/>
      <c r="AM187" s="28"/>
      <c r="AN187" s="213" t="b">
        <f>IF(BA186="","",IF(AND(BA186=1,F188=50,L186="oil cooled type"),VLOOKUP(L188,変１,3,FALSE),IF(AND(BA186=1,F188=50,L186="(F)molded type"),VLOOKUP(L188,変１,8,FALSE),IF(AND(BA186=1,F188=60,L186="oil cooled type"),VLOOKUP(L188,変１,13,FALSE),IF(AND(BA186=1,F188=60,L186="(F)molded type"),VLOOKUP(L188,変１,18,FALSE),FALSE)))))</f>
        <v>0</v>
      </c>
      <c r="AO187" s="213">
        <f>IF(ISNA(VLOOKUP(L188,変ＵＳＥＲ,3,FALSE)),0,VLOOKUP(L188,変ＵＳＥＲ,3,FALSE)*BA189/50)</f>
        <v>0</v>
      </c>
      <c r="AP187" s="214">
        <f>IF(W186="",0,W186*1000/BA188^2/SQRT(BA186))</f>
        <v>0</v>
      </c>
      <c r="AQ187" s="213">
        <f>IF(AND(BA186=1,BA187=2),1,IF(AND(BA186=3,BA187=3),1,IF(AND(BA186=1,BA187=3),2,IF(AND(BA186=3,BA187=4)*OR(BB186=1,BB187=1,BB188=1,BB189=1),1,SQRT(3)))))</f>
        <v>1.7320508075688772</v>
      </c>
      <c r="AR187" s="215" t="str">
        <f>IF(X186="","",IF(X186="600V IV",VLOOKUP(X188,ＩＶ,3,FALSE),IF(X186="600V CV-T",VLOOKUP(X188,ＣＶＴ,3,FALSE),IF(OR(X186="600V CV-1C",X186="600V CV-2C",X186="600V CV-3C",X186="600V CV-4C"),VLOOKUP(X188,ＣＶ２３Ｃ,3,FALSE),VLOOKUP(X188,ＣＵＳＥＲ,3,FALSE)))))</f>
        <v/>
      </c>
      <c r="AS187" s="213" t="str">
        <f>IF(AD189="",AP189,AP189+(AD189/1000))</f>
        <v/>
      </c>
      <c r="AT187" s="216" t="str">
        <f>IF(AU189="",AT189,AU189)</f>
        <v/>
      </c>
      <c r="AU187" s="216" t="str">
        <f>IF(D186="","",IF(AND(D446="",#REF!&lt;&gt;"",AV189=#REF!),#REF!,IF(AND(D446="",#REF!="",#REF!&lt;&gt;"",AV449=#REF!),#REF!,IF(AND(D446="",#REF!="",#REF!="",#REF!&lt;&gt;"",#REF!=#REF!),#REF!,IF(AND(D446="",#REF!="",#REF!="",#REF!="",D450&lt;&gt;"",#REF!=#REF!),AT451,IF(AND(D446="",#REF!="",#REF!="",#REF!="",D450="",#REF!&lt;&gt;"",#REF!=AV454),AT452,IF(AND(D446="",#REF!="",#REF!="",#REF!="",D450="",#REF!="",D455&lt;&gt;"",#REF!=AV458),AT456,"")))))))</f>
        <v/>
      </c>
      <c r="AV187" s="215" t="str">
        <f>IF(L186="ACG",IF(ISNA(VLOOKUP(L188,ＡＣＧ,3,FALSE)),0,VLOOKUP(L188,ＡＣＧ,3,FALSE)*BA189/50),"")</f>
        <v/>
      </c>
      <c r="AW187" s="217" t="str">
        <f>IF(AT187="","",(AT187-AP186*(AT186^2+AT187^2))/((AT186*AP186)^2+(AP186*AT187-1)^2))</f>
        <v/>
      </c>
      <c r="AX187" s="218"/>
      <c r="AY187" s="219">
        <f>IF(N(AY189)=10^30,10^30,IF(N(AY449)=10^30,(N(AY189)*(N(AY448)^2+N(AY449)^2)+N(AY449)*(N(AY188)^2+N(AY189)^2))/((N(AY188)+N(AY448))^2+(N(AY189)+N(AY449))^2),(N(AY189)*(N(AY446)^2+N(AY447)^2)+N(AY447)*(N(AY188)^2+N(AY189)^2))/((N(AY188)+N(AY446))^2+(N(AY189)+N(AY447))^2)))</f>
        <v>1E+30</v>
      </c>
      <c r="AZ187" s="23"/>
      <c r="BA187" s="220">
        <f>IF(AND(H186="",SUM(S186:S189)&lt;&gt;0),BA183,H186)</f>
        <v>0</v>
      </c>
      <c r="BB187" s="221">
        <f t="shared" si="4"/>
        <v>0</v>
      </c>
      <c r="BC187" s="232"/>
      <c r="BD187" s="232"/>
    </row>
    <row r="188" spans="1:56" ht="15" customHeight="1">
      <c r="B188" s="85"/>
      <c r="C188" s="271"/>
      <c r="D188" s="409"/>
      <c r="E188" s="362"/>
      <c r="F188" s="413"/>
      <c r="G188" s="414"/>
      <c r="H188" s="414"/>
      <c r="I188" s="414"/>
      <c r="J188" s="414"/>
      <c r="K188" s="415"/>
      <c r="L188" s="416"/>
      <c r="M188" s="275"/>
      <c r="N188" s="412"/>
      <c r="O188" s="198"/>
      <c r="P188" s="93"/>
      <c r="Q188" s="202"/>
      <c r="R188" s="91"/>
      <c r="S188" s="92" t="str">
        <f>IF(R189="","",IF(Q189="",P189/R189,P189/(Q189*R189)))</f>
        <v/>
      </c>
      <c r="T188" s="200"/>
      <c r="U188" s="203" t="str">
        <f>IF(OR(BA188="",S188=""),"",S188*1000*T188/(SQRT(BA186)*BA188))</f>
        <v/>
      </c>
      <c r="V188" s="94" t="str">
        <f>IF(AND(N(U186)=0,N(U187)=0,N(U188)=0,N(U189)=0),"",V186*(P186*R186*T186+P187*R187*T187+P188*R188*T188+P189*R189*T189)/(P186*T186+P187*T187+P188*T188+P189*T189))</f>
        <v/>
      </c>
      <c r="W188" s="276" t="str">
        <f>IF(AND(N(AP188)=0,N(AP189)=0,N(AP187)=0),"",IF(AP189&gt;=0,COS(ATAN(AP189/AP188)),-COS(ATAN(AP189/AP188))))</f>
        <v/>
      </c>
      <c r="X188" s="95"/>
      <c r="Y188" s="204"/>
      <c r="Z188" s="96"/>
      <c r="AA188" s="97"/>
      <c r="AB188" s="98"/>
      <c r="AC188" s="204"/>
      <c r="AD188" s="96"/>
      <c r="AE188" s="99"/>
      <c r="AF188" s="236" t="str">
        <f>IF(OR(AF186="",AG182&lt;&gt;""),"",BA188/SQRT(AW188^2+AW189^2))</f>
        <v/>
      </c>
      <c r="AG188" s="274" t="str">
        <f>IF(AG186="","",100*((BA188/AQ187)-AG186)/(BA188/AQ187))</f>
        <v/>
      </c>
      <c r="AH188" s="275"/>
      <c r="AI188" s="261"/>
      <c r="AJ188" s="262"/>
      <c r="AK188" s="264"/>
      <c r="AL188" s="188"/>
      <c r="AM188" s="28"/>
      <c r="AN188" s="222" t="b">
        <f>IF(BA186="","",IF(AND(BA186=3,F188=50,L186="oil cooled type"),VLOOKUP(L188,変３,2,FALSE),IF(AND(BA186=3,F188=50,L186="(F)molded type"),VLOOKUP(L188,変３,7,FALSE),IF(AND(BA186=3,F188=60,L186="oil cooled type"),VLOOKUP(L188,変３,12,FALSE),IF(AND(BA186=3,F188=60,L186="(F)molded type"),VLOOKUP(L188,変３,17,FALSE),FALSE)))))</f>
        <v>0</v>
      </c>
      <c r="AO188" s="215" t="str">
        <f>IF(AND(L182="",N(AY186)&lt;10^29),AY186,"")</f>
        <v/>
      </c>
      <c r="AP188" s="223" t="str">
        <f>IF(V186="","",IF(AND(N(V188)=0,N(AP187)=0),"",AQ188/((AQ188*AP187)^2+(AP187*AQ189-1)^2)))</f>
        <v/>
      </c>
      <c r="AQ188" s="213">
        <f>IF(N(V188)=0,10^30,V188)</f>
        <v>1E+30</v>
      </c>
      <c r="AR188" s="215" t="str">
        <f>IF(AB186="","",IF(AB186="600V IV",VLOOKUP(AB188,ＩＶ,2,FALSE),IF(AB186="600V CV-T",VLOOKUP(AB188,ＣＶＴ,2,FALSE),IF(OR(AB186="600V CV-1C",AB186="600V CV-2C",AB186="600V CV-3C",AB186="600V CV-4C"),VLOOKUP(AB188,ＣＶ２３Ｃ,2,FALSE),VLOOKUP(AB188,ＣＵＳＥＲ,2,FALSE)))))</f>
        <v/>
      </c>
      <c r="AS188" s="213" t="str">
        <f>IF(OR(AND(AS446="",AS447=""),AND(D186="",D446&lt;&gt;"")),AS186,(AS186*(AT446^2+AT447^2)+AT446*(AS186^2+AS187^2))/((AS186+AT446)^2+(AS187+AT447)^2))</f>
        <v/>
      </c>
      <c r="AT188" s="216" t="str">
        <f>IF(X189="",AS188,N(AS188)+(X189/1000))</f>
        <v/>
      </c>
      <c r="AU188" s="216" t="str">
        <f>IF(AU186="","",(AT188*(AU186^2+AU187^2)+AU186*(AT188^2+AT189^2))/((AT188+AU186)^2+(AT189+AU187)^2))</f>
        <v/>
      </c>
      <c r="AV188" s="216">
        <f>IF(BA188=0,1,0)</f>
        <v>1</v>
      </c>
      <c r="AW188" s="217" t="str">
        <f>IF(AO188="","",AW186+AO188)</f>
        <v/>
      </c>
      <c r="AX188" s="218" t="str">
        <f>IF(AND(AX184="",AW188&lt;&gt;""),BA188*SQRT(AW186^2+AW187^2)/SQRT(AW188^2+AW189^2),IF(BA188&lt;&gt;0,AX184,""))</f>
        <v/>
      </c>
      <c r="AY188" s="224">
        <f>IF(L188="",10^30,SQRT(BA186)*(BA188^2)*(N(AN186)+N(AN188)+N(AO186)+N(AV186))/(100000*L188*M186))</f>
        <v>1E+30</v>
      </c>
      <c r="AZ188" s="225"/>
      <c r="BA188" s="220">
        <f>IF(AND(J186="",SUM(S186:S189)&lt;&gt;0),BA184,J186)</f>
        <v>0</v>
      </c>
      <c r="BB188" s="221">
        <f t="shared" si="4"/>
        <v>0</v>
      </c>
      <c r="BC188" s="232"/>
      <c r="BD188" s="232"/>
    </row>
    <row r="189" spans="1:56" ht="15" customHeight="1">
      <c r="A189" s="85"/>
      <c r="B189" s="85"/>
      <c r="C189" s="271"/>
      <c r="D189" s="417"/>
      <c r="E189" s="418"/>
      <c r="F189" s="419"/>
      <c r="G189" s="270"/>
      <c r="H189" s="270"/>
      <c r="I189" s="270"/>
      <c r="J189" s="270"/>
      <c r="K189" s="268"/>
      <c r="L189" s="251" t="str">
        <f>IF(M186="","",L188*1000*M186/(SQRT(BA186)*BA188))</f>
        <v/>
      </c>
      <c r="M189" s="252"/>
      <c r="N189" s="277"/>
      <c r="O189" s="205"/>
      <c r="P189" s="106"/>
      <c r="Q189" s="206"/>
      <c r="R189" s="107"/>
      <c r="S189" s="108" t="str">
        <f>IF(R189="","",IF(Q189="",P189/R189,P189/(Q189*R189)))</f>
        <v/>
      </c>
      <c r="T189" s="207"/>
      <c r="U189" s="208" t="str">
        <f>IF(OR(BA188="",S189=""),"",S189*1000*T189/(SQRT(BA186)*BA188))</f>
        <v/>
      </c>
      <c r="V189" s="109" t="str">
        <f>IF(AND(N(U186)=0,N(U187)=0,N(U188)=0,N(U189)=0),"",IF(V186&gt;=0,SQRT(ABS(V186^2-V188^2)),-SQRT(V186^2-V188^2)))</f>
        <v/>
      </c>
      <c r="W189" s="277"/>
      <c r="X189" s="278" t="str">
        <f>IF(Y188="","",AQ186*Z188*AR186*((1+0.00393*(F189-20))/1.2751)/Y188)</f>
        <v/>
      </c>
      <c r="Y189" s="270"/>
      <c r="Z189" s="267" t="str">
        <f>IF(Y188="","",(BA189/50)*AQ186*Z188*AR187/Y188)</f>
        <v/>
      </c>
      <c r="AA189" s="252"/>
      <c r="AB189" s="279" t="str">
        <f>IF(AC188="","",AQ186*AD188*AR188*((1+0.00393*(F189-20))/1.2751)/AC188)</f>
        <v/>
      </c>
      <c r="AC189" s="270"/>
      <c r="AD189" s="267" t="str">
        <f>IF(AC188="","",(BA189/50)*AQ186*AD188*AR189/AC188)</f>
        <v/>
      </c>
      <c r="AE189" s="268"/>
      <c r="AF189" s="237" t="str">
        <f>IF(AND(AX186&lt;&gt;"",D186=""),AX186,"")</f>
        <v/>
      </c>
      <c r="AG189" s="269" t="str">
        <f>IF(AP188="","",AP188)</f>
        <v/>
      </c>
      <c r="AH189" s="270"/>
      <c r="AI189" s="238" t="str">
        <f>IF(AP189="","",AP189)</f>
        <v/>
      </c>
      <c r="AJ189" s="263"/>
      <c r="AK189" s="253"/>
      <c r="AL189" s="189"/>
      <c r="AM189" s="28"/>
      <c r="AN189" s="226" t="b">
        <f>IF(BA186="","",IF(AND(BA186=3,F188=50,L186="oil cooled type"),VLOOKUP(L188,変３,3,FALSE),IF(AND(BA186=3,F188=50,L186="(F)molded type"),VLOOKUP(L188,変３,8,FALSE),IF(AND(BA186=3,F188=60,L186="oil cooled type"),VLOOKUP(L188,変３,13,FALSE),IF(AND(BA186=3,F188=60,L186="(F)molded type"),VLOOKUP(L188,変３,18,FALSE),FALSE)))))</f>
        <v>0</v>
      </c>
      <c r="AO189" s="226" t="str">
        <f>IF(AND(L182="",N(AY187)&lt;10^29),AY187,"")</f>
        <v/>
      </c>
      <c r="AP189" s="227" t="str">
        <f>IF(V186="","",IF(AND(N(V189)=0,N(AP187)=0),0,(AQ189-AP187*(AQ188^2+AQ189^2))/((AQ188*AP187)^2+(AP187*AQ189-1)^2)))</f>
        <v/>
      </c>
      <c r="AQ189" s="228">
        <f>IF(N(V189)=0,10^30,V189)</f>
        <v>1E+30</v>
      </c>
      <c r="AR189" s="226" t="str">
        <f>IF(AB186="","",IF(AB186="600V IV",VLOOKUP(AB188,ＩＶ,3,FALSE),IF(AB186="600V CV-T",VLOOKUP(AB188,ＣＶＴ,3,FALSE),IF(OR(AB186="600V CV-1C",AB186="600V CV-2C",AB186="600V CV-3C",AB186="600V CV-4C"),VLOOKUP(AB188,ＣＶ２３Ｃ,3,FALSE),VLOOKUP(AB188,ＣＵＳＥＲ,3,FALSE)))))</f>
        <v/>
      </c>
      <c r="AS189" s="228" t="str">
        <f>IF(OR(AND(AS446="",AS447=""),AND(D186="",D446&lt;&gt;"")),AS187,(AS187*(AT446^2+AT447^2)+AT447*(AS186^2+AS187^2))/((AS186+AT446)^2+(AS187+AT447)^2))</f>
        <v/>
      </c>
      <c r="AT189" s="229" t="str">
        <f>IF(Z189="",AS189,N(AS189)+(Z189/1000))</f>
        <v/>
      </c>
      <c r="AU189" s="229" t="str">
        <f>IF(AU187="","",(AT189*(AU186^2+AU187^2)+AU187*(AT188^2+AT189^2))/((AT188+AU186)^2+(AT189+AU187)^2))</f>
        <v/>
      </c>
      <c r="AV189" s="229">
        <f>AV185+AV188</f>
        <v>43</v>
      </c>
      <c r="AW189" s="228" t="str">
        <f>IF(AO189="","",AW187+AO189)</f>
        <v/>
      </c>
      <c r="AX189" s="230"/>
      <c r="AY189" s="224">
        <f>IF(L188="",10^30,SQRT(BA186)*(BA188^2)*(N(AN187)+N(AN189)+N(AO187)+N(AV187))/(100000*L188*M186))</f>
        <v>1E+30</v>
      </c>
      <c r="AZ189" s="225"/>
      <c r="BA189" s="220">
        <f>IF(AND(F188="",SUM(S186:S189)&lt;&gt;0),BA185,F188)</f>
        <v>0</v>
      </c>
      <c r="BB189" s="221">
        <f t="shared" si="4"/>
        <v>0</v>
      </c>
      <c r="BC189" s="232"/>
      <c r="BD189" s="232"/>
    </row>
    <row r="190" spans="1:56" ht="15" customHeight="1">
      <c r="B190" s="85"/>
      <c r="C190" s="271" t="str">
        <f>IF(BC190=1,"●","・")</f>
        <v>・</v>
      </c>
      <c r="D190" s="402"/>
      <c r="E190" s="403"/>
      <c r="F190" s="404"/>
      <c r="G190" s="265" t="str">
        <f>IF(F190="","","φ")</f>
        <v/>
      </c>
      <c r="H190" s="405"/>
      <c r="I190" s="265" t="str">
        <f>IF(H190="","","W")</f>
        <v/>
      </c>
      <c r="J190" s="405"/>
      <c r="K190" s="272" t="str">
        <f>IF(J190="","","V")</f>
        <v/>
      </c>
      <c r="L190" s="406"/>
      <c r="M190" s="407"/>
      <c r="N190" s="408"/>
      <c r="O190" s="193"/>
      <c r="P190" s="86"/>
      <c r="Q190" s="194"/>
      <c r="R190" s="87"/>
      <c r="S190" s="88" t="str">
        <f>IF(R190="","",IF(Q190="",P190/R190,P190/(Q190*R190)))</f>
        <v/>
      </c>
      <c r="T190" s="195"/>
      <c r="U190" s="196" t="str">
        <f>IF(OR(BA192="",S190=""),"",S190*1000*T190/(SQRT(BA190)*BA192))</f>
        <v/>
      </c>
      <c r="V190" s="254" t="str">
        <f>IF(AND(N(U190)=0,N(U191)=0,N(U192)=0,N(U193)=0),"",BA192/(SUM(U190:U193)))</f>
        <v/>
      </c>
      <c r="W190" s="280"/>
      <c r="X190" s="281"/>
      <c r="Y190" s="242"/>
      <c r="Z190" s="243"/>
      <c r="AA190" s="239"/>
      <c r="AB190" s="241"/>
      <c r="AC190" s="242"/>
      <c r="AD190" s="243"/>
      <c r="AE190" s="247"/>
      <c r="AF190" s="233" t="str">
        <f>IF(OR(AND(AF186="",N(BA188)=0,BA192&lt;&gt;0),D190&lt;&gt;""),AX192/AQ191,"")</f>
        <v/>
      </c>
      <c r="AG190" s="249" t="str">
        <f>IF(BA192=0,"",IF(AD192="",AX190,IF(AND(D190&lt;&gt;"",AU190=""),AX192*SQRT(AP192^2+AP193^2)/SQRT(AS190^2+AS191^2)/AQ191,AX190*SQRT(AP192^2+AP193^2)/SQRT(AS190^2+AS191^2))))</f>
        <v/>
      </c>
      <c r="AH190" s="250"/>
      <c r="AI190" s="234" t="str">
        <f>IF(AG190="","",IF(N(U190)&lt;0,-AX190*AQ191/SQRT(AS190^2+AS191^2),AX190*AQ191/SQRT(AS190^2+AS191^2)))</f>
        <v/>
      </c>
      <c r="AJ190" s="256"/>
      <c r="AK190" s="257"/>
      <c r="AL190" s="186"/>
      <c r="AM190" s="28"/>
      <c r="AN190" s="213" t="b">
        <f>IF(BA190="","",IF(AND(BA190=1,F192=50,L190="oil cooled type"),VLOOKUP(L192,変１,2,FALSE),IF(AND(BA190=1,F192=50,L190="(F)molded type"),VLOOKUP(L192,変１,7,FALSE),IF(AND(BA190=1,F192=60,L190="oil cooled type"),VLOOKUP(L192,変１,12,FALSE),IF(AND(BA190=1,F192=60,L190="(F)molded type"),VLOOKUP(L192,変１,17,FALSE),FALSE)))))</f>
        <v>0</v>
      </c>
      <c r="AO190" s="213">
        <f>IF(ISNA(VLOOKUP(L192,変ＵＳＥＲ,2,FALSE)),0,VLOOKUP(L192,変ＵＳＥＲ,2,FALSE))</f>
        <v>0</v>
      </c>
      <c r="AP190" s="214">
        <f>IF(N190="",0,N190*1000/BA192^2/SQRT(BA190))</f>
        <v>0</v>
      </c>
      <c r="AQ190" s="213" t="b">
        <f>IF(BA190=1,2,IF(BA190=3,SQRT(3),FALSE))</f>
        <v>0</v>
      </c>
      <c r="AR190" s="215" t="str">
        <f>IF(X190="","",IF(X190="600V IV",VLOOKUP(X192,ＩＶ,2,FALSE),IF(X190="600V CV-T",VLOOKUP(X192,ＣＶＴ,2,FALSE),IF(OR(X190="600V CV-1C",X190="600V CV-2C",X190="600V CV-3C",X190="600V CV-4C"),VLOOKUP(X192,ＣＶ２３Ｃ,2,FALSE),VLOOKUP(X192,ＣＵＳＥＲ,2,FALSE)))))</f>
        <v/>
      </c>
      <c r="AS190" s="213" t="str">
        <f>IF(AB193="",AP192,AP192+(AB193/1000))</f>
        <v/>
      </c>
      <c r="AT190" s="216" t="str">
        <f>IF(AU192="",AT192,AU192)</f>
        <v/>
      </c>
      <c r="AU190" s="216" t="str">
        <f>IF(D190="","",IF(AND(D450="",#REF!&lt;&gt;"",AV193=#REF!),#REF!,IF(AND(D450="",#REF!="",#REF!&lt;&gt;"",AV453=#REF!),#REF!,IF(AND(D450="",#REF!="",#REF!="",#REF!&lt;&gt;"",#REF!=#REF!),#REF!,IF(AND(D450="",#REF!="",#REF!="",#REF!="",D454&lt;&gt;"",#REF!=#REF!),AT454,IF(AND(D450="",#REF!="",#REF!="",#REF!="",D454="",#REF!&lt;&gt;"",#REF!=AV458),#REF!,IF(AND(D450="",#REF!="",#REF!="",#REF!="",D454="",#REF!="",D459&lt;&gt;"",#REF!=AV462),AT459,"")))))))</f>
        <v/>
      </c>
      <c r="AV190" s="216" t="str">
        <f>IF(L190="ACG",IF(ISNA(VLOOKUP(L192,ＡＣＧ,2,FALSE)),0,VLOOKUP(L192,ＡＣＧ,2,FALSE)),"")</f>
        <v/>
      </c>
      <c r="AW190" s="217" t="str">
        <f>IF(AT190="","",AT190/((AT190*AP190)^2+(AT191*AP190-1)^2))</f>
        <v/>
      </c>
      <c r="AX190" s="218" t="str">
        <f>IF(BA192=0,"",IF(OR(AX186="",AF190&lt;&gt;""),AF190*SQRT(AS192^2+AS193^2)/SQRT(AT192^2+AT193^2),AX186*SQRT(AS192^2+AS193^2)/SQRT(AT192^2+AT193^2)))</f>
        <v/>
      </c>
      <c r="AY190" s="219">
        <f>IF(N(AY192)=10^30,10^30,IF(N(AY452)=10^30,(N(AY192)*(N(AY452)^2+N(AY453)^2)+N(AY452)*(N(AY192)^2+N(AY193)^2))/((N(AY192)+N(AY452))^2+(N(AY193)+N(AY453))^2),(N(AY192)*(N(AY450)^2+N(AY451)^2)+N(AY450)*(N(AY192)^2+N(AY193)^2))/((N(AY192)+N(AY450))^2+(N(AY193)+N(AY451))^2)))</f>
        <v>1E+30</v>
      </c>
      <c r="AZ190" s="23"/>
      <c r="BA190" s="220">
        <f>IF(AND(F190="",SUM(S190:S193)&lt;&gt;0),BA186,F190)</f>
        <v>0</v>
      </c>
      <c r="BB190" s="221">
        <f t="shared" si="4"/>
        <v>0</v>
      </c>
      <c r="BC190" s="232">
        <f>IF(OR(E190="",F193="",AND(OR(P190="",Q190="",R190="",T190=""),OR(P191="",Q191="",R191="",T191=""),OR(P192="",Q192="",R192="",T192=""),OR(P193="",Q193="",R193="",T193="")),AND(OR(X190="",X192="",Y192="",Z192=""),OR(AB190="",AB192="",AC192="",AD192=""))),0,1)</f>
        <v>0</v>
      </c>
      <c r="BD190" s="232">
        <f>BC190+BD186</f>
        <v>0</v>
      </c>
    </row>
    <row r="191" spans="1:56" ht="15" customHeight="1">
      <c r="B191" s="85"/>
      <c r="C191" s="271"/>
      <c r="D191" s="409"/>
      <c r="E191" s="362"/>
      <c r="F191" s="410"/>
      <c r="G191" s="266"/>
      <c r="H191" s="266"/>
      <c r="I191" s="266"/>
      <c r="J191" s="266"/>
      <c r="K191" s="273"/>
      <c r="L191" s="411"/>
      <c r="M191" s="197" t="str">
        <f>IF(L190="ACG",SQRT(AV190^2+AV191^2),IF(L192="","",IF(OR(L190="oil cooled type",L190="(F)molded type"),IF(BA190=1,SQRT(AN190^2+AN191^2),IF(BA190=3,SQRT(AN192^2+AN193^2))),SQRT(AO190^2+AO191^2))))</f>
        <v/>
      </c>
      <c r="N191" s="412"/>
      <c r="O191" s="198"/>
      <c r="P191" s="90"/>
      <c r="Q191" s="199"/>
      <c r="R191" s="91"/>
      <c r="S191" s="92" t="str">
        <f>IF(R192="","",IF(Q192="",P192/R192,P192/(Q192*R192)))</f>
        <v/>
      </c>
      <c r="T191" s="200"/>
      <c r="U191" s="201" t="str">
        <f>IF(OR(BA192="",S191=""),"",S191*1000*T191/(SQRT(BA190)*BA192))</f>
        <v/>
      </c>
      <c r="V191" s="255"/>
      <c r="W191" s="248"/>
      <c r="X191" s="258"/>
      <c r="Y191" s="245"/>
      <c r="Z191" s="246"/>
      <c r="AA191" s="240"/>
      <c r="AB191" s="244"/>
      <c r="AC191" s="245"/>
      <c r="AD191" s="246"/>
      <c r="AE191" s="248"/>
      <c r="AF191" s="235" t="str">
        <f>IF(OR(AF190="",AG186&lt;&gt;""),"",AF190*AQ191/SQRT(AT190^2+AT191^2))</f>
        <v/>
      </c>
      <c r="AG191" s="274" t="str">
        <f>IF(AG190="","",100*AG190*AQ191/BA192)</f>
        <v/>
      </c>
      <c r="AH191" s="275"/>
      <c r="AI191" s="260" t="str">
        <f>IF(BA192=0,"",IF(AI186="",AX192/SQRT(AT190^2+AT191^2),IF(AI194="","",IF(AT190&lt;0,-AX190*AQ187/SQRT(AT190^2+AT191^2),AX190*AQ187/SQRT(AT190^2+AT191^2)))))</f>
        <v/>
      </c>
      <c r="AJ191" s="258"/>
      <c r="AK191" s="259"/>
      <c r="AL191" s="187"/>
      <c r="AM191" s="28"/>
      <c r="AN191" s="213" t="b">
        <f>IF(BA190="","",IF(AND(BA190=1,F192=50,L190="oil cooled type"),VLOOKUP(L192,変１,3,FALSE),IF(AND(BA190=1,F192=50,L190="(F)molded type"),VLOOKUP(L192,変１,8,FALSE),IF(AND(BA190=1,F192=60,L190="oil cooled type"),VLOOKUP(L192,変１,13,FALSE),IF(AND(BA190=1,F192=60,L190="(F)molded type"),VLOOKUP(L192,変１,18,FALSE),FALSE)))))</f>
        <v>0</v>
      </c>
      <c r="AO191" s="213">
        <f>IF(ISNA(VLOOKUP(L192,変ＵＳＥＲ,3,FALSE)),0,VLOOKUP(L192,変ＵＳＥＲ,3,FALSE)*BA193/50)</f>
        <v>0</v>
      </c>
      <c r="AP191" s="214">
        <f>IF(W190="",0,W190*1000/BA192^2/SQRT(BA190))</f>
        <v>0</v>
      </c>
      <c r="AQ191" s="213">
        <f>IF(AND(BA190=1,BA191=2),1,IF(AND(BA190=3,BA191=3),1,IF(AND(BA190=1,BA191=3),2,IF(AND(BA190=3,BA191=4)*OR(BB190=1,BB191=1,BB192=1,BB193=1),1,SQRT(3)))))</f>
        <v>1.7320508075688772</v>
      </c>
      <c r="AR191" s="215" t="str">
        <f>IF(X190="","",IF(X190="600V IV",VLOOKUP(X192,ＩＶ,3,FALSE),IF(X190="600V CV-T",VLOOKUP(X192,ＣＶＴ,3,FALSE),IF(OR(X190="600V CV-1C",X190="600V CV-2C",X190="600V CV-3C",X190="600V CV-4C"),VLOOKUP(X192,ＣＶ２３Ｃ,3,FALSE),VLOOKUP(X192,ＣＵＳＥＲ,3,FALSE)))))</f>
        <v/>
      </c>
      <c r="AS191" s="213" t="str">
        <f>IF(AD193="",AP193,AP193+(AD193/1000))</f>
        <v/>
      </c>
      <c r="AT191" s="216" t="str">
        <f>IF(AU193="",AT193,AU193)</f>
        <v/>
      </c>
      <c r="AU191" s="216" t="str">
        <f>IF(D190="","",IF(AND(D450="",#REF!&lt;&gt;"",AV193=#REF!),#REF!,IF(AND(D450="",#REF!="",#REF!&lt;&gt;"",AV453=#REF!),#REF!,IF(AND(D450="",#REF!="",#REF!="",#REF!&lt;&gt;"",#REF!=#REF!),#REF!,IF(AND(D450="",#REF!="",#REF!="",#REF!="",D454&lt;&gt;"",#REF!=#REF!),AT455,IF(AND(D450="",#REF!="",#REF!="",#REF!="",D454="",#REF!&lt;&gt;"",#REF!=AV458),AT456,IF(AND(D450="",#REF!="",#REF!="",#REF!="",D454="",#REF!="",D459&lt;&gt;"",#REF!=AV462),AT460,"")))))))</f>
        <v/>
      </c>
      <c r="AV191" s="215" t="str">
        <f>IF(L190="ACG",IF(ISNA(VLOOKUP(L192,ＡＣＧ,3,FALSE)),0,VLOOKUP(L192,ＡＣＧ,3,FALSE)*BA193/50),"")</f>
        <v/>
      </c>
      <c r="AW191" s="217" t="str">
        <f>IF(AT191="","",(AT191-AP190*(AT190^2+AT191^2))/((AT190*AP190)^2+(AP190*AT191-1)^2))</f>
        <v/>
      </c>
      <c r="AX191" s="218"/>
      <c r="AY191" s="219">
        <f>IF(N(AY193)=10^30,10^30,IF(N(AY453)=10^30,(N(AY193)*(N(AY452)^2+N(AY453)^2)+N(AY453)*(N(AY192)^2+N(AY193)^2))/((N(AY192)+N(AY452))^2+(N(AY193)+N(AY453))^2),(N(AY193)*(N(AY450)^2+N(AY451)^2)+N(AY451)*(N(AY192)^2+N(AY193)^2))/((N(AY192)+N(AY450))^2+(N(AY193)+N(AY451))^2)))</f>
        <v>1E+30</v>
      </c>
      <c r="AZ191" s="23"/>
      <c r="BA191" s="220">
        <f>IF(AND(H190="",SUM(S190:S193)&lt;&gt;0),BA187,H190)</f>
        <v>0</v>
      </c>
      <c r="BB191" s="221">
        <f t="shared" si="4"/>
        <v>0</v>
      </c>
      <c r="BC191" s="232"/>
      <c r="BD191" s="232"/>
    </row>
    <row r="192" spans="1:56" ht="15" customHeight="1">
      <c r="B192" s="85"/>
      <c r="C192" s="271"/>
      <c r="D192" s="409"/>
      <c r="E192" s="362"/>
      <c r="F192" s="413"/>
      <c r="G192" s="414"/>
      <c r="H192" s="414"/>
      <c r="I192" s="414"/>
      <c r="J192" s="414"/>
      <c r="K192" s="415"/>
      <c r="L192" s="416"/>
      <c r="M192" s="275"/>
      <c r="N192" s="412"/>
      <c r="O192" s="198"/>
      <c r="P192" s="93"/>
      <c r="Q192" s="202"/>
      <c r="R192" s="91"/>
      <c r="S192" s="92" t="str">
        <f>IF(R193="","",IF(Q193="",P193/R193,P193/(Q193*R193)))</f>
        <v/>
      </c>
      <c r="T192" s="200"/>
      <c r="U192" s="203" t="str">
        <f>IF(OR(BA192="",S192=""),"",S192*1000*T192/(SQRT(BA190)*BA192))</f>
        <v/>
      </c>
      <c r="V192" s="94" t="str">
        <f>IF(AND(N(U190)=0,N(U191)=0,N(U192)=0,N(U193)=0),"",V190*(P190*R190*T190+P191*R191*T191+P192*R192*T192+P193*R193*T193)/(P190*T190+P191*T191+P192*T192+P193*T193))</f>
        <v/>
      </c>
      <c r="W192" s="276" t="str">
        <f>IF(AND(N(AP192)=0,N(AP193)=0,N(AP191)=0),"",IF(AP193&gt;=0,COS(ATAN(AP193/AP192)),-COS(ATAN(AP193/AP192))))</f>
        <v/>
      </c>
      <c r="X192" s="95"/>
      <c r="Y192" s="204"/>
      <c r="Z192" s="96"/>
      <c r="AA192" s="97"/>
      <c r="AB192" s="98"/>
      <c r="AC192" s="204"/>
      <c r="AD192" s="96"/>
      <c r="AE192" s="99"/>
      <c r="AF192" s="236" t="str">
        <f>IF(OR(AF190="",AG186&lt;&gt;""),"",BA192/SQRT(AW192^2+AW193^2))</f>
        <v/>
      </c>
      <c r="AG192" s="274" t="str">
        <f>IF(AG190="","",100*((BA192/AQ191)-AG190)/(BA192/AQ191))</f>
        <v/>
      </c>
      <c r="AH192" s="275"/>
      <c r="AI192" s="261"/>
      <c r="AJ192" s="262"/>
      <c r="AK192" s="264"/>
      <c r="AL192" s="188"/>
      <c r="AM192" s="28"/>
      <c r="AN192" s="222" t="b">
        <f>IF(BA190="","",IF(AND(BA190=3,F192=50,L190="oil cooled type"),VLOOKUP(L192,変３,2,FALSE),IF(AND(BA190=3,F192=50,L190="(F)molded type"),VLOOKUP(L192,変３,7,FALSE),IF(AND(BA190=3,F192=60,L190="oil cooled type"),VLOOKUP(L192,変３,12,FALSE),IF(AND(BA190=3,F192=60,L190="(F)molded type"),VLOOKUP(L192,変３,17,FALSE),FALSE)))))</f>
        <v>0</v>
      </c>
      <c r="AO192" s="215" t="str">
        <f>IF(AND(L186="",N(AY190)&lt;10^29),AY190,"")</f>
        <v/>
      </c>
      <c r="AP192" s="223" t="str">
        <f>IF(V190="","",IF(AND(N(V192)=0,N(AP191)=0),"",AQ192/((AQ192*AP191)^2+(AP191*AQ193-1)^2)))</f>
        <v/>
      </c>
      <c r="AQ192" s="213">
        <f>IF(N(V192)=0,10^30,V192)</f>
        <v>1E+30</v>
      </c>
      <c r="AR192" s="215" t="str">
        <f>IF(AB190="","",IF(AB190="600V IV",VLOOKUP(AB192,ＩＶ,2,FALSE),IF(AB190="600V CV-T",VLOOKUP(AB192,ＣＶＴ,2,FALSE),IF(OR(AB190="600V CV-1C",AB190="600V CV-2C",AB190="600V CV-3C",AB190="600V CV-4C"),VLOOKUP(AB192,ＣＶ２３Ｃ,2,FALSE),VLOOKUP(AB192,ＣＵＳＥＲ,2,FALSE)))))</f>
        <v/>
      </c>
      <c r="AS192" s="213" t="str">
        <f>IF(OR(AND(AS450="",AS451=""),AND(D190="",D450&lt;&gt;"")),AS190,(AS190*(AT450^2+AT451^2)+AT450*(AS190^2+AS191^2))/((AS190+AT450)^2+(AS191+AT451)^2))</f>
        <v/>
      </c>
      <c r="AT192" s="216" t="str">
        <f>IF(X193="",AS192,N(AS192)+(X193/1000))</f>
        <v/>
      </c>
      <c r="AU192" s="216" t="str">
        <f>IF(AU190="","",(AT192*(AU190^2+AU191^2)+AU190*(AT192^2+AT193^2))/((AT192+AU190)^2+(AT193+AU191)^2))</f>
        <v/>
      </c>
      <c r="AV192" s="216">
        <f>IF(BA192=0,1,0)</f>
        <v>1</v>
      </c>
      <c r="AW192" s="217" t="str">
        <f>IF(AO192="","",AW190+AO192)</f>
        <v/>
      </c>
      <c r="AX192" s="218" t="str">
        <f>IF(AND(AX188="",AW192&lt;&gt;""),BA192*SQRT(AW190^2+AW191^2)/SQRT(AW192^2+AW193^2),IF(BA192&lt;&gt;0,AX188,""))</f>
        <v/>
      </c>
      <c r="AY192" s="224">
        <f>IF(L192="",10^30,SQRT(BA190)*(BA192^2)*(N(AN190)+N(AN192)+N(AO190)+N(AV190))/(100000*L192*M190))</f>
        <v>1E+30</v>
      </c>
      <c r="AZ192" s="225"/>
      <c r="BA192" s="220">
        <f>IF(AND(J190="",SUM(S190:S193)&lt;&gt;0),BA188,J190)</f>
        <v>0</v>
      </c>
      <c r="BB192" s="221">
        <f t="shared" si="4"/>
        <v>0</v>
      </c>
      <c r="BC192" s="232"/>
      <c r="BD192" s="232"/>
    </row>
    <row r="193" spans="1:56" ht="15" customHeight="1">
      <c r="A193" s="85"/>
      <c r="B193" s="85"/>
      <c r="C193" s="271"/>
      <c r="D193" s="417"/>
      <c r="E193" s="418"/>
      <c r="F193" s="419"/>
      <c r="G193" s="270"/>
      <c r="H193" s="270"/>
      <c r="I193" s="270"/>
      <c r="J193" s="270"/>
      <c r="K193" s="268"/>
      <c r="L193" s="251" t="str">
        <f>IF(M190="","",L192*1000*M190/(SQRT(BA190)*BA192))</f>
        <v/>
      </c>
      <c r="M193" s="252"/>
      <c r="N193" s="277"/>
      <c r="O193" s="205"/>
      <c r="P193" s="106"/>
      <c r="Q193" s="206"/>
      <c r="R193" s="107"/>
      <c r="S193" s="108" t="str">
        <f>IF(R193="","",IF(Q193="",P193/R193,P193/(Q193*R193)))</f>
        <v/>
      </c>
      <c r="T193" s="207"/>
      <c r="U193" s="208" t="str">
        <f>IF(OR(BA192="",S193=""),"",S193*1000*T193/(SQRT(BA190)*BA192))</f>
        <v/>
      </c>
      <c r="V193" s="109" t="str">
        <f>IF(AND(N(U190)=0,N(U191)=0,N(U192)=0,N(U193)=0),"",IF(V190&gt;=0,SQRT(ABS(V190^2-V192^2)),-SQRT(V190^2-V192^2)))</f>
        <v/>
      </c>
      <c r="W193" s="277"/>
      <c r="X193" s="278" t="str">
        <f>IF(Y192="","",AQ190*Z192*AR190*((1+0.00393*(F193-20))/1.2751)/Y192)</f>
        <v/>
      </c>
      <c r="Y193" s="270"/>
      <c r="Z193" s="267" t="str">
        <f>IF(Y192="","",(BA193/50)*AQ190*Z192*AR191/Y192)</f>
        <v/>
      </c>
      <c r="AA193" s="252"/>
      <c r="AB193" s="279" t="str">
        <f>IF(AC192="","",AQ190*AD192*AR192*((1+0.00393*(F193-20))/1.2751)/AC192)</f>
        <v/>
      </c>
      <c r="AC193" s="270"/>
      <c r="AD193" s="267" t="str">
        <f>IF(AC192="","",(BA193/50)*AQ190*AD192*AR193/AC192)</f>
        <v/>
      </c>
      <c r="AE193" s="268"/>
      <c r="AF193" s="237" t="str">
        <f>IF(AND(AX190&lt;&gt;"",D190=""),AX190,"")</f>
        <v/>
      </c>
      <c r="AG193" s="269" t="str">
        <f>IF(AP192="","",AP192)</f>
        <v/>
      </c>
      <c r="AH193" s="270"/>
      <c r="AI193" s="238" t="str">
        <f>IF(AP193="","",AP193)</f>
        <v/>
      </c>
      <c r="AJ193" s="263"/>
      <c r="AK193" s="253"/>
      <c r="AL193" s="189"/>
      <c r="AM193" s="28"/>
      <c r="AN193" s="226" t="b">
        <f>IF(BA190="","",IF(AND(BA190=3,F192=50,L190="oil cooled type"),VLOOKUP(L192,変３,3,FALSE),IF(AND(BA190=3,F192=50,L190="(F)molded type"),VLOOKUP(L192,変３,8,FALSE),IF(AND(BA190=3,F192=60,L190="oil cooled type"),VLOOKUP(L192,変３,13,FALSE),IF(AND(BA190=3,F192=60,L190="(F)molded type"),VLOOKUP(L192,変３,18,FALSE),FALSE)))))</f>
        <v>0</v>
      </c>
      <c r="AO193" s="226" t="str">
        <f>IF(AND(L186="",N(AY191)&lt;10^29),AY191,"")</f>
        <v/>
      </c>
      <c r="AP193" s="227" t="str">
        <f>IF(V190="","",IF(AND(N(V193)=0,N(AP191)=0),0,(AQ193-AP191*(AQ192^2+AQ193^2))/((AQ192*AP191)^2+(AP191*AQ193-1)^2)))</f>
        <v/>
      </c>
      <c r="AQ193" s="228">
        <f>IF(N(V193)=0,10^30,V193)</f>
        <v>1E+30</v>
      </c>
      <c r="AR193" s="226" t="str">
        <f>IF(AB190="","",IF(AB190="600V IV",VLOOKUP(AB192,ＩＶ,3,FALSE),IF(AB190="600V CV-T",VLOOKUP(AB192,ＣＶＴ,3,FALSE),IF(OR(AB190="600V CV-1C",AB190="600V CV-2C",AB190="600V CV-3C",AB190="600V CV-4C"),VLOOKUP(AB192,ＣＶ２３Ｃ,3,FALSE),VLOOKUP(AB192,ＣＵＳＥＲ,3,FALSE)))))</f>
        <v/>
      </c>
      <c r="AS193" s="228" t="str">
        <f>IF(OR(AND(AS450="",AS451=""),AND(D190="",D450&lt;&gt;"")),AS191,(AS191*(AT450^2+AT451^2)+AT451*(AS190^2+AS191^2))/((AS190+AT450)^2+(AS191+AT451)^2))</f>
        <v/>
      </c>
      <c r="AT193" s="229" t="str">
        <f>IF(Z193="",AS193,N(AS193)+(Z193/1000))</f>
        <v/>
      </c>
      <c r="AU193" s="229" t="str">
        <f>IF(AU191="","",(AT193*(AU190^2+AU191^2)+AU191*(AT192^2+AT193^2))/((AT192+AU190)^2+(AT193+AU191)^2))</f>
        <v/>
      </c>
      <c r="AV193" s="229">
        <f>AV189+AV192</f>
        <v>44</v>
      </c>
      <c r="AW193" s="228" t="str">
        <f>IF(AO193="","",AW191+AO193)</f>
        <v/>
      </c>
      <c r="AX193" s="230"/>
      <c r="AY193" s="224">
        <f>IF(L192="",10^30,SQRT(BA190)*(BA192^2)*(N(AN191)+N(AN193)+N(AO191)+N(AV191))/(100000*L192*M190))</f>
        <v>1E+30</v>
      </c>
      <c r="AZ193" s="225"/>
      <c r="BA193" s="220">
        <f>IF(AND(F192="",SUM(S190:S193)&lt;&gt;0),BA189,F192)</f>
        <v>0</v>
      </c>
      <c r="BB193" s="221">
        <f t="shared" si="4"/>
        <v>0</v>
      </c>
      <c r="BC193" s="232"/>
      <c r="BD193" s="232"/>
    </row>
    <row r="194" spans="1:56" ht="15" customHeight="1">
      <c r="B194" s="85"/>
      <c r="C194" s="271" t="str">
        <f>IF(BC194=1,"●","・")</f>
        <v>・</v>
      </c>
      <c r="D194" s="402"/>
      <c r="E194" s="403"/>
      <c r="F194" s="404"/>
      <c r="G194" s="265" t="str">
        <f>IF(F194="","","φ")</f>
        <v/>
      </c>
      <c r="H194" s="405"/>
      <c r="I194" s="265" t="str">
        <f>IF(H194="","","W")</f>
        <v/>
      </c>
      <c r="J194" s="405"/>
      <c r="K194" s="272" t="str">
        <f>IF(J194="","","V")</f>
        <v/>
      </c>
      <c r="L194" s="406"/>
      <c r="M194" s="407"/>
      <c r="N194" s="408"/>
      <c r="O194" s="193"/>
      <c r="P194" s="86"/>
      <c r="Q194" s="194"/>
      <c r="R194" s="87"/>
      <c r="S194" s="88" t="str">
        <f>IF(R194="","",IF(Q194="",P194/R194,P194/(Q194*R194)))</f>
        <v/>
      </c>
      <c r="T194" s="195"/>
      <c r="U194" s="196" t="str">
        <f>IF(OR(BA196="",S194=""),"",S194*1000*T194/(SQRT(BA194)*BA196))</f>
        <v/>
      </c>
      <c r="V194" s="254" t="str">
        <f>IF(AND(N(U194)=0,N(U195)=0,N(U196)=0,N(U197)=0),"",BA196/(SUM(U194:U197)))</f>
        <v/>
      </c>
      <c r="W194" s="280"/>
      <c r="X194" s="281"/>
      <c r="Y194" s="242"/>
      <c r="Z194" s="243"/>
      <c r="AA194" s="239"/>
      <c r="AB194" s="241"/>
      <c r="AC194" s="242"/>
      <c r="AD194" s="243"/>
      <c r="AE194" s="247"/>
      <c r="AF194" s="233" t="str">
        <f>IF(OR(AND(AF190="",N(BA192)=0,BA196&lt;&gt;0),D194&lt;&gt;""),AX196/AQ195,"")</f>
        <v/>
      </c>
      <c r="AG194" s="249" t="str">
        <f>IF(BA196=0,"",IF(AD196="",AX194,IF(AND(D194&lt;&gt;"",AU194=""),AX196*SQRT(AP196^2+AP197^2)/SQRT(AS194^2+AS195^2)/AQ195,AX194*SQRT(AP196^2+AP197^2)/SQRT(AS194^2+AS195^2))))</f>
        <v/>
      </c>
      <c r="AH194" s="250"/>
      <c r="AI194" s="234" t="str">
        <f>IF(AG194="","",IF(N(U194)&lt;0,-AX194*AQ195/SQRT(AS194^2+AS195^2),AX194*AQ195/SQRT(AS194^2+AS195^2)))</f>
        <v/>
      </c>
      <c r="AJ194" s="256"/>
      <c r="AK194" s="257"/>
      <c r="AL194" s="186"/>
      <c r="AM194" s="28"/>
      <c r="AN194" s="213" t="b">
        <f>IF(BA194="","",IF(AND(BA194=1,F196=50,L194="oil cooled type"),VLOOKUP(L196,変１,2,FALSE),IF(AND(BA194=1,F196=50,L194="(F)molded type"),VLOOKUP(L196,変１,7,FALSE),IF(AND(BA194=1,F196=60,L194="oil cooled type"),VLOOKUP(L196,変１,12,FALSE),IF(AND(BA194=1,F196=60,L194="(F)molded type"),VLOOKUP(L196,変１,17,FALSE),FALSE)))))</f>
        <v>0</v>
      </c>
      <c r="AO194" s="213">
        <f>IF(ISNA(VLOOKUP(L196,変ＵＳＥＲ,2,FALSE)),0,VLOOKUP(L196,変ＵＳＥＲ,2,FALSE))</f>
        <v>0</v>
      </c>
      <c r="AP194" s="214">
        <f>IF(N194="",0,N194*1000/BA196^2/SQRT(BA194))</f>
        <v>0</v>
      </c>
      <c r="AQ194" s="213" t="b">
        <f>IF(BA194=1,2,IF(BA194=3,SQRT(3),FALSE))</f>
        <v>0</v>
      </c>
      <c r="AR194" s="215" t="str">
        <f>IF(X194="","",IF(X194="600V IV",VLOOKUP(X196,ＩＶ,2,FALSE),IF(X194="600V CV-T",VLOOKUP(X196,ＣＶＴ,2,FALSE),IF(OR(X194="600V CV-1C",X194="600V CV-2C",X194="600V CV-3C",X194="600V CV-4C"),VLOOKUP(X196,ＣＶ２３Ｃ,2,FALSE),VLOOKUP(X196,ＣＵＳＥＲ,2,FALSE)))))</f>
        <v/>
      </c>
      <c r="AS194" s="213" t="str">
        <f>IF(AB197="",AP196,AP196+(AB197/1000))</f>
        <v/>
      </c>
      <c r="AT194" s="216" t="str">
        <f>IF(AU196="",AT196,AU196)</f>
        <v/>
      </c>
      <c r="AU194" s="216" t="str">
        <f>IF(D194="","",IF(AND(D454="",#REF!&lt;&gt;"",AV197=#REF!),#REF!,IF(AND(D454="",#REF!="",#REF!&lt;&gt;"",AV457=#REF!),#REF!,IF(AND(D454="",#REF!="",#REF!="",#REF!&lt;&gt;"",#REF!=#REF!),#REF!,IF(AND(D454="",#REF!="",#REF!="",#REF!="",D458&lt;&gt;"",#REF!=#REF!),AT458,IF(AND(D454="",#REF!="",#REF!="",#REF!="",D458="",#REF!&lt;&gt;"",#REF!=AV462),#REF!,IF(AND(D454="",#REF!="",#REF!="",#REF!="",D458="",#REF!="",D463&lt;&gt;"",#REF!=AV466),AT463,"")))))))</f>
        <v/>
      </c>
      <c r="AV194" s="216" t="str">
        <f>IF(L194="ACG",IF(ISNA(VLOOKUP(L196,ＡＣＧ,2,FALSE)),0,VLOOKUP(L196,ＡＣＧ,2,FALSE)),"")</f>
        <v/>
      </c>
      <c r="AW194" s="217" t="str">
        <f>IF(AT194="","",AT194/((AT194*AP194)^2+(AT195*AP194-1)^2))</f>
        <v/>
      </c>
      <c r="AX194" s="218" t="str">
        <f>IF(BA196=0,"",IF(OR(AX190="",AF194&lt;&gt;""),AF194*SQRT(AS196^2+AS197^2)/SQRT(AT196^2+AT197^2),AX190*SQRT(AS196^2+AS197^2)/SQRT(AT196^2+AT197^2)))</f>
        <v/>
      </c>
      <c r="AY194" s="219">
        <f>IF(N(AY196)=10^30,10^30,IF(N(AY456)=10^30,(N(AY196)*(N(AY456)^2+N(AY457)^2)+N(AY456)*(N(AY196)^2+N(AY197)^2))/((N(AY196)+N(AY456))^2+(N(AY197)+N(AY457))^2),(N(AY196)*(N(AY454)^2+N(AY455)^2)+N(AY454)*(N(AY196)^2+N(AY197)^2))/((N(AY196)+N(AY454))^2+(N(AY197)+N(AY455))^2)))</f>
        <v>1E+30</v>
      </c>
      <c r="AZ194" s="23"/>
      <c r="BA194" s="220">
        <f>IF(AND(F194="",SUM(S194:S197)&lt;&gt;0),BA190,F194)</f>
        <v>0</v>
      </c>
      <c r="BB194" s="221">
        <f t="shared" si="4"/>
        <v>0</v>
      </c>
      <c r="BC194" s="232">
        <f>IF(OR(E194="",F197="",AND(OR(P194="",Q194="",R194="",T194=""),OR(P195="",Q195="",R195="",T195=""),OR(P196="",Q196="",R196="",T196=""),OR(P197="",Q197="",R197="",T197="")),AND(OR(X194="",X196="",Y196="",Z196=""),OR(AB194="",AB196="",AC196="",AD196=""))),0,1)</f>
        <v>0</v>
      </c>
      <c r="BD194" s="232">
        <f>BC194+BD190</f>
        <v>0</v>
      </c>
    </row>
    <row r="195" spans="1:56" ht="15" customHeight="1">
      <c r="B195" s="85"/>
      <c r="C195" s="271"/>
      <c r="D195" s="409"/>
      <c r="E195" s="362"/>
      <c r="F195" s="410"/>
      <c r="G195" s="266"/>
      <c r="H195" s="266"/>
      <c r="I195" s="266"/>
      <c r="J195" s="266"/>
      <c r="K195" s="273"/>
      <c r="L195" s="411"/>
      <c r="M195" s="197" t="str">
        <f>IF(L194="ACG",SQRT(AV194^2+AV195^2),IF(L196="","",IF(OR(L194="oil cooled type",L194="(F)molded type"),IF(BA194=1,SQRT(AN194^2+AN195^2),IF(BA194=3,SQRT(AN196^2+AN197^2))),SQRT(AO194^2+AO195^2))))</f>
        <v/>
      </c>
      <c r="N195" s="412"/>
      <c r="O195" s="198"/>
      <c r="P195" s="90"/>
      <c r="Q195" s="199"/>
      <c r="R195" s="91"/>
      <c r="S195" s="92" t="str">
        <f>IF(R196="","",IF(Q196="",P196/R196,P196/(Q196*R196)))</f>
        <v/>
      </c>
      <c r="T195" s="200"/>
      <c r="U195" s="201" t="str">
        <f>IF(OR(BA196="",S195=""),"",S195*1000*T195/(SQRT(BA194)*BA196))</f>
        <v/>
      </c>
      <c r="V195" s="255"/>
      <c r="W195" s="248"/>
      <c r="X195" s="258"/>
      <c r="Y195" s="245"/>
      <c r="Z195" s="246"/>
      <c r="AA195" s="240"/>
      <c r="AB195" s="244"/>
      <c r="AC195" s="245"/>
      <c r="AD195" s="246"/>
      <c r="AE195" s="248"/>
      <c r="AF195" s="235" t="str">
        <f>IF(OR(AF194="",AG190&lt;&gt;""),"",AF194*AQ195/SQRT(AT194^2+AT195^2))</f>
        <v/>
      </c>
      <c r="AG195" s="274" t="str">
        <f>IF(AG194="","",100*AG194*AQ195/BA196)</f>
        <v/>
      </c>
      <c r="AH195" s="275"/>
      <c r="AI195" s="260" t="str">
        <f>IF(BA196=0,"",IF(AI190="",AX196/SQRT(AT194^2+AT195^2),IF(AI198="","",IF(AT194&lt;0,-AX194*AQ191/SQRT(AT194^2+AT195^2),AX194*AQ191/SQRT(AT194^2+AT195^2)))))</f>
        <v/>
      </c>
      <c r="AJ195" s="258"/>
      <c r="AK195" s="259"/>
      <c r="AL195" s="187"/>
      <c r="AM195" s="28"/>
      <c r="AN195" s="213" t="b">
        <f>IF(BA194="","",IF(AND(BA194=1,F196=50,L194="oil cooled type"),VLOOKUP(L196,変１,3,FALSE),IF(AND(BA194=1,F196=50,L194="(F)molded type"),VLOOKUP(L196,変１,8,FALSE),IF(AND(BA194=1,F196=60,L194="oil cooled type"),VLOOKUP(L196,変１,13,FALSE),IF(AND(BA194=1,F196=60,L194="(F)molded type"),VLOOKUP(L196,変１,18,FALSE),FALSE)))))</f>
        <v>0</v>
      </c>
      <c r="AO195" s="213">
        <f>IF(ISNA(VLOOKUP(L196,変ＵＳＥＲ,3,FALSE)),0,VLOOKUP(L196,変ＵＳＥＲ,3,FALSE)*BA197/50)</f>
        <v>0</v>
      </c>
      <c r="AP195" s="214">
        <f>IF(W194="",0,W194*1000/BA196^2/SQRT(BA194))</f>
        <v>0</v>
      </c>
      <c r="AQ195" s="213">
        <f>IF(AND(BA194=1,BA195=2),1,IF(AND(BA194=3,BA195=3),1,IF(AND(BA194=1,BA195=3),2,IF(AND(BA194=3,BA195=4)*OR(BB194=1,BB195=1,BB196=1,BB197=1),1,SQRT(3)))))</f>
        <v>1.7320508075688772</v>
      </c>
      <c r="AR195" s="215" t="str">
        <f>IF(X194="","",IF(X194="600V IV",VLOOKUP(X196,ＩＶ,3,FALSE),IF(X194="600V CV-T",VLOOKUP(X196,ＣＶＴ,3,FALSE),IF(OR(X194="600V CV-1C",X194="600V CV-2C",X194="600V CV-3C",X194="600V CV-4C"),VLOOKUP(X196,ＣＶ２３Ｃ,3,FALSE),VLOOKUP(X196,ＣＵＳＥＲ,3,FALSE)))))</f>
        <v/>
      </c>
      <c r="AS195" s="213" t="str">
        <f>IF(AD197="",AP197,AP197+(AD197/1000))</f>
        <v/>
      </c>
      <c r="AT195" s="216" t="str">
        <f>IF(AU197="",AT197,AU197)</f>
        <v/>
      </c>
      <c r="AU195" s="216" t="str">
        <f>IF(D194="","",IF(AND(D454="",#REF!&lt;&gt;"",AV197=#REF!),#REF!,IF(AND(D454="",#REF!="",#REF!&lt;&gt;"",AV457=#REF!),#REF!,IF(AND(D454="",#REF!="",#REF!="",#REF!&lt;&gt;"",#REF!=#REF!),#REF!,IF(AND(D454="",#REF!="",#REF!="",#REF!="",D458&lt;&gt;"",#REF!=#REF!),AT459,IF(AND(D454="",#REF!="",#REF!="",#REF!="",D458="",#REF!&lt;&gt;"",#REF!=AV462),AT460,IF(AND(D454="",#REF!="",#REF!="",#REF!="",D458="",#REF!="",D463&lt;&gt;"",#REF!=AV466),AT464,"")))))))</f>
        <v/>
      </c>
      <c r="AV195" s="215" t="str">
        <f>IF(L194="ACG",IF(ISNA(VLOOKUP(L196,ＡＣＧ,3,FALSE)),0,VLOOKUP(L196,ＡＣＧ,3,FALSE)*BA197/50),"")</f>
        <v/>
      </c>
      <c r="AW195" s="217" t="str">
        <f>IF(AT195="","",(AT195-AP194*(AT194^2+AT195^2))/((AT194*AP194)^2+(AP194*AT195-1)^2))</f>
        <v/>
      </c>
      <c r="AX195" s="218"/>
      <c r="AY195" s="219">
        <f>IF(N(AY197)=10^30,10^30,IF(N(AY457)=10^30,(N(AY197)*(N(AY456)^2+N(AY457)^2)+N(AY457)*(N(AY196)^2+N(AY197)^2))/((N(AY196)+N(AY456))^2+(N(AY197)+N(AY457))^2),(N(AY197)*(N(AY454)^2+N(AY455)^2)+N(AY455)*(N(AY196)^2+N(AY197)^2))/((N(AY196)+N(AY454))^2+(N(AY197)+N(AY455))^2)))</f>
        <v>1E+30</v>
      </c>
      <c r="AZ195" s="23"/>
      <c r="BA195" s="220">
        <f>IF(AND(H194="",SUM(S194:S197)&lt;&gt;0),BA191,H194)</f>
        <v>0</v>
      </c>
      <c r="BB195" s="221">
        <f t="shared" si="4"/>
        <v>0</v>
      </c>
      <c r="BC195" s="232"/>
      <c r="BD195" s="232"/>
    </row>
    <row r="196" spans="1:56" ht="15" customHeight="1">
      <c r="B196" s="85"/>
      <c r="C196" s="271"/>
      <c r="D196" s="409"/>
      <c r="E196" s="362"/>
      <c r="F196" s="413"/>
      <c r="G196" s="414"/>
      <c r="H196" s="414"/>
      <c r="I196" s="414"/>
      <c r="J196" s="414"/>
      <c r="K196" s="415"/>
      <c r="L196" s="416"/>
      <c r="M196" s="275"/>
      <c r="N196" s="412"/>
      <c r="O196" s="198"/>
      <c r="P196" s="93"/>
      <c r="Q196" s="202"/>
      <c r="R196" s="91"/>
      <c r="S196" s="92" t="str">
        <f>IF(R197="","",IF(Q197="",P197/R197,P197/(Q197*R197)))</f>
        <v/>
      </c>
      <c r="T196" s="200"/>
      <c r="U196" s="203" t="str">
        <f>IF(OR(BA196="",S196=""),"",S196*1000*T196/(SQRT(BA194)*BA196))</f>
        <v/>
      </c>
      <c r="V196" s="94" t="str">
        <f>IF(AND(N(U194)=0,N(U195)=0,N(U196)=0,N(U197)=0),"",V194*(P194*R194*T194+P195*R195*T195+P196*R196*T196+P197*R197*T197)/(P194*T194+P195*T195+P196*T196+P197*T197))</f>
        <v/>
      </c>
      <c r="W196" s="276" t="str">
        <f>IF(AND(N(AP196)=0,N(AP197)=0,N(AP195)=0),"",IF(AP197&gt;=0,COS(ATAN(AP197/AP196)),-COS(ATAN(AP197/AP196))))</f>
        <v/>
      </c>
      <c r="X196" s="95"/>
      <c r="Y196" s="204"/>
      <c r="Z196" s="96"/>
      <c r="AA196" s="97"/>
      <c r="AB196" s="98"/>
      <c r="AC196" s="204"/>
      <c r="AD196" s="96"/>
      <c r="AE196" s="99"/>
      <c r="AF196" s="236" t="str">
        <f>IF(OR(AF194="",AG190&lt;&gt;""),"",BA196/SQRT(AW196^2+AW197^2))</f>
        <v/>
      </c>
      <c r="AG196" s="274" t="str">
        <f>IF(AG194="","",100*((BA196/AQ195)-AG194)/(BA196/AQ195))</f>
        <v/>
      </c>
      <c r="AH196" s="275"/>
      <c r="AI196" s="261"/>
      <c r="AJ196" s="262"/>
      <c r="AK196" s="264"/>
      <c r="AL196" s="188"/>
      <c r="AM196" s="28"/>
      <c r="AN196" s="222" t="b">
        <f>IF(BA194="","",IF(AND(BA194=3,F196=50,L194="oil cooled type"),VLOOKUP(L196,変３,2,FALSE),IF(AND(BA194=3,F196=50,L194="(F)molded type"),VLOOKUP(L196,変３,7,FALSE),IF(AND(BA194=3,F196=60,L194="oil cooled type"),VLOOKUP(L196,変３,12,FALSE),IF(AND(BA194=3,F196=60,L194="(F)molded type"),VLOOKUP(L196,変３,17,FALSE),FALSE)))))</f>
        <v>0</v>
      </c>
      <c r="AO196" s="215" t="str">
        <f>IF(AND(L190="",N(AY194)&lt;10^29),AY194,"")</f>
        <v/>
      </c>
      <c r="AP196" s="223" t="str">
        <f>IF(V194="","",IF(AND(N(V196)=0,N(AP195)=0),"",AQ196/((AQ196*AP195)^2+(AP195*AQ197-1)^2)))</f>
        <v/>
      </c>
      <c r="AQ196" s="213">
        <f>IF(N(V196)=0,10^30,V196)</f>
        <v>1E+30</v>
      </c>
      <c r="AR196" s="215" t="str">
        <f>IF(AB194="","",IF(AB194="600V IV",VLOOKUP(AB196,ＩＶ,2,FALSE),IF(AB194="600V CV-T",VLOOKUP(AB196,ＣＶＴ,2,FALSE),IF(OR(AB194="600V CV-1C",AB194="600V CV-2C",AB194="600V CV-3C",AB194="600V CV-4C"),VLOOKUP(AB196,ＣＶ２３Ｃ,2,FALSE),VLOOKUP(AB196,ＣＵＳＥＲ,2,FALSE)))))</f>
        <v/>
      </c>
      <c r="AS196" s="213" t="str">
        <f>IF(OR(AND(AS454="",AS455=""),AND(D194="",D454&lt;&gt;"")),AS194,(AS194*(AT454^2+AT455^2)+AT454*(AS194^2+AS195^2))/((AS194+AT454)^2+(AS195+AT455)^2))</f>
        <v/>
      </c>
      <c r="AT196" s="216" t="str">
        <f>IF(X197="",AS196,N(AS196)+(X197/1000))</f>
        <v/>
      </c>
      <c r="AU196" s="216" t="str">
        <f>IF(AU194="","",(AT196*(AU194^2+AU195^2)+AU194*(AT196^2+AT197^2))/((AT196+AU194)^2+(AT197+AU195)^2))</f>
        <v/>
      </c>
      <c r="AV196" s="216">
        <f>IF(BA196=0,1,0)</f>
        <v>1</v>
      </c>
      <c r="AW196" s="217" t="str">
        <f>IF(AO196="","",AW194+AO196)</f>
        <v/>
      </c>
      <c r="AX196" s="218" t="str">
        <f>IF(AND(AX192="",AW196&lt;&gt;""),BA196*SQRT(AW194^2+AW195^2)/SQRT(AW196^2+AW197^2),IF(BA196&lt;&gt;0,AX192,""))</f>
        <v/>
      </c>
      <c r="AY196" s="224">
        <f>IF(L196="",10^30,SQRT(BA194)*(BA196^2)*(N(AN194)+N(AN196)+N(AO194)+N(AV194))/(100000*L196*M194))</f>
        <v>1E+30</v>
      </c>
      <c r="AZ196" s="225"/>
      <c r="BA196" s="220">
        <f>IF(AND(J194="",SUM(S194:S197)&lt;&gt;0),BA192,J194)</f>
        <v>0</v>
      </c>
      <c r="BB196" s="221">
        <f t="shared" si="4"/>
        <v>0</v>
      </c>
      <c r="BC196" s="232"/>
      <c r="BD196" s="232"/>
    </row>
    <row r="197" spans="1:56" ht="15" customHeight="1">
      <c r="A197" s="85"/>
      <c r="B197" s="85"/>
      <c r="C197" s="271"/>
      <c r="D197" s="417"/>
      <c r="E197" s="418"/>
      <c r="F197" s="419"/>
      <c r="G197" s="270"/>
      <c r="H197" s="270"/>
      <c r="I197" s="270"/>
      <c r="J197" s="270"/>
      <c r="K197" s="268"/>
      <c r="L197" s="251" t="str">
        <f>IF(M194="","",L196*1000*M194/(SQRT(BA194)*BA196))</f>
        <v/>
      </c>
      <c r="M197" s="252"/>
      <c r="N197" s="277"/>
      <c r="O197" s="205"/>
      <c r="P197" s="106"/>
      <c r="Q197" s="206"/>
      <c r="R197" s="107"/>
      <c r="S197" s="108" t="str">
        <f>IF(R197="","",IF(Q197="",P197/R197,P197/(Q197*R197)))</f>
        <v/>
      </c>
      <c r="T197" s="207"/>
      <c r="U197" s="208" t="str">
        <f>IF(OR(BA196="",S197=""),"",S197*1000*T197/(SQRT(BA194)*BA196))</f>
        <v/>
      </c>
      <c r="V197" s="109" t="str">
        <f>IF(AND(N(U194)=0,N(U195)=0,N(U196)=0,N(U197)=0),"",IF(V194&gt;=0,SQRT(ABS(V194^2-V196^2)),-SQRT(V194^2-V196^2)))</f>
        <v/>
      </c>
      <c r="W197" s="277"/>
      <c r="X197" s="278" t="str">
        <f>IF(Y196="","",AQ194*Z196*AR194*((1+0.00393*(F197-20))/1.2751)/Y196)</f>
        <v/>
      </c>
      <c r="Y197" s="270"/>
      <c r="Z197" s="267" t="str">
        <f>IF(Y196="","",(BA197/50)*AQ194*Z196*AR195/Y196)</f>
        <v/>
      </c>
      <c r="AA197" s="252"/>
      <c r="AB197" s="279" t="str">
        <f>IF(AC196="","",AQ194*AD196*AR196*((1+0.00393*(F197-20))/1.2751)/AC196)</f>
        <v/>
      </c>
      <c r="AC197" s="270"/>
      <c r="AD197" s="267" t="str">
        <f>IF(AC196="","",(BA197/50)*AQ194*AD196*AR197/AC196)</f>
        <v/>
      </c>
      <c r="AE197" s="268"/>
      <c r="AF197" s="237" t="str">
        <f>IF(AND(AX194&lt;&gt;"",D194=""),AX194,"")</f>
        <v/>
      </c>
      <c r="AG197" s="269" t="str">
        <f>IF(AP196="","",AP196)</f>
        <v/>
      </c>
      <c r="AH197" s="270"/>
      <c r="AI197" s="238" t="str">
        <f>IF(AP197="","",AP197)</f>
        <v/>
      </c>
      <c r="AJ197" s="263"/>
      <c r="AK197" s="253"/>
      <c r="AL197" s="189"/>
      <c r="AM197" s="28"/>
      <c r="AN197" s="226" t="b">
        <f>IF(BA194="","",IF(AND(BA194=3,F196=50,L194="oil cooled type"),VLOOKUP(L196,変３,3,FALSE),IF(AND(BA194=3,F196=50,L194="(F)molded type"),VLOOKUP(L196,変３,8,FALSE),IF(AND(BA194=3,F196=60,L194="oil cooled type"),VLOOKUP(L196,変３,13,FALSE),IF(AND(BA194=3,F196=60,L194="(F)molded type"),VLOOKUP(L196,変３,18,FALSE),FALSE)))))</f>
        <v>0</v>
      </c>
      <c r="AO197" s="226" t="str">
        <f>IF(AND(L190="",N(AY195)&lt;10^29),AY195,"")</f>
        <v/>
      </c>
      <c r="AP197" s="227" t="str">
        <f>IF(V194="","",IF(AND(N(V197)=0,N(AP195)=0),0,(AQ197-AP195*(AQ196^2+AQ197^2))/((AQ196*AP195)^2+(AP195*AQ197-1)^2)))</f>
        <v/>
      </c>
      <c r="AQ197" s="228">
        <f>IF(N(V197)=0,10^30,V197)</f>
        <v>1E+30</v>
      </c>
      <c r="AR197" s="226" t="str">
        <f>IF(AB194="","",IF(AB194="600V IV",VLOOKUP(AB196,ＩＶ,3,FALSE),IF(AB194="600V CV-T",VLOOKUP(AB196,ＣＶＴ,3,FALSE),IF(OR(AB194="600V CV-1C",AB194="600V CV-2C",AB194="600V CV-3C",AB194="600V CV-4C"),VLOOKUP(AB196,ＣＶ２３Ｃ,3,FALSE),VLOOKUP(AB196,ＣＵＳＥＲ,3,FALSE)))))</f>
        <v/>
      </c>
      <c r="AS197" s="228" t="str">
        <f>IF(OR(AND(AS454="",AS455=""),AND(D194="",D454&lt;&gt;"")),AS195,(AS195*(AT454^2+AT455^2)+AT455*(AS194^2+AS195^2))/((AS194+AT454)^2+(AS195+AT455)^2))</f>
        <v/>
      </c>
      <c r="AT197" s="229" t="str">
        <f>IF(Z197="",AS197,N(AS197)+(Z197/1000))</f>
        <v/>
      </c>
      <c r="AU197" s="229" t="str">
        <f>IF(AU195="","",(AT197*(AU194^2+AU195^2)+AU195*(AT196^2+AT197^2))/((AT196+AU194)^2+(AT197+AU195)^2))</f>
        <v/>
      </c>
      <c r="AV197" s="229">
        <f>AV193+AV196</f>
        <v>45</v>
      </c>
      <c r="AW197" s="228" t="str">
        <f>IF(AO197="","",AW195+AO197)</f>
        <v/>
      </c>
      <c r="AX197" s="230"/>
      <c r="AY197" s="224">
        <f>IF(L196="",10^30,SQRT(BA194)*(BA196^2)*(N(AN195)+N(AN197)+N(AO195)+N(AV195))/(100000*L196*M194))</f>
        <v>1E+30</v>
      </c>
      <c r="AZ197" s="225"/>
      <c r="BA197" s="220">
        <f>IF(AND(F196="",SUM(S194:S197)&lt;&gt;0),BA193,F196)</f>
        <v>0</v>
      </c>
      <c r="BB197" s="221">
        <f t="shared" si="4"/>
        <v>0</v>
      </c>
      <c r="BC197" s="232"/>
      <c r="BD197" s="232"/>
    </row>
    <row r="198" spans="1:56" ht="15" customHeight="1">
      <c r="B198" s="85"/>
      <c r="C198" s="271" t="str">
        <f>IF(BC198=1,"●","・")</f>
        <v>・</v>
      </c>
      <c r="D198" s="402"/>
      <c r="E198" s="403"/>
      <c r="F198" s="404"/>
      <c r="G198" s="265" t="str">
        <f>IF(F198="","","φ")</f>
        <v/>
      </c>
      <c r="H198" s="405"/>
      <c r="I198" s="265" t="str">
        <f>IF(H198="","","W")</f>
        <v/>
      </c>
      <c r="J198" s="405"/>
      <c r="K198" s="272" t="str">
        <f>IF(J198="","","V")</f>
        <v/>
      </c>
      <c r="L198" s="406"/>
      <c r="M198" s="407"/>
      <c r="N198" s="408"/>
      <c r="O198" s="193"/>
      <c r="P198" s="86"/>
      <c r="Q198" s="194"/>
      <c r="R198" s="87"/>
      <c r="S198" s="88" t="str">
        <f>IF(R198="","",IF(Q198="",P198/R198,P198/(Q198*R198)))</f>
        <v/>
      </c>
      <c r="T198" s="195"/>
      <c r="U198" s="196" t="str">
        <f>IF(OR(BA200="",S198=""),"",S198*1000*T198/(SQRT(BA198)*BA200))</f>
        <v/>
      </c>
      <c r="V198" s="254" t="str">
        <f>IF(AND(N(U198)=0,N(U199)=0,N(U200)=0,N(U201)=0),"",BA200/(SUM(U198:U201)))</f>
        <v/>
      </c>
      <c r="W198" s="280"/>
      <c r="X198" s="281"/>
      <c r="Y198" s="242"/>
      <c r="Z198" s="243"/>
      <c r="AA198" s="239"/>
      <c r="AB198" s="241"/>
      <c r="AC198" s="242"/>
      <c r="AD198" s="243"/>
      <c r="AE198" s="247"/>
      <c r="AF198" s="233" t="str">
        <f>IF(OR(AND(AF194="",N(BA196)=0,BA200&lt;&gt;0),D198&lt;&gt;""),AX200/AQ199,"")</f>
        <v/>
      </c>
      <c r="AG198" s="249" t="str">
        <f>IF(BA200=0,"",IF(AD200="",AX198,IF(AND(D198&lt;&gt;"",AU198=""),AX200*SQRT(AP200^2+AP201^2)/SQRT(AS198^2+AS199^2)/AQ199,AX198*SQRT(AP200^2+AP201^2)/SQRT(AS198^2+AS199^2))))</f>
        <v/>
      </c>
      <c r="AH198" s="250"/>
      <c r="AI198" s="234" t="str">
        <f>IF(AG198="","",IF(N(U198)&lt;0,-AX198*AQ199/SQRT(AS198^2+AS199^2),AX198*AQ199/SQRT(AS198^2+AS199^2)))</f>
        <v/>
      </c>
      <c r="AJ198" s="256"/>
      <c r="AK198" s="257"/>
      <c r="AL198" s="186"/>
      <c r="AM198" s="28"/>
      <c r="AN198" s="213" t="b">
        <f>IF(BA198="","",IF(AND(BA198=1,F200=50,L198="oil cooled type"),VLOOKUP(L200,変１,2,FALSE),IF(AND(BA198=1,F200=50,L198="(F)molded type"),VLOOKUP(L200,変１,7,FALSE),IF(AND(BA198=1,F200=60,L198="oil cooled type"),VLOOKUP(L200,変１,12,FALSE),IF(AND(BA198=1,F200=60,L198="(F)molded type"),VLOOKUP(L200,変１,17,FALSE),FALSE)))))</f>
        <v>0</v>
      </c>
      <c r="AO198" s="213">
        <f>IF(ISNA(VLOOKUP(L200,変ＵＳＥＲ,2,FALSE)),0,VLOOKUP(L200,変ＵＳＥＲ,2,FALSE))</f>
        <v>0</v>
      </c>
      <c r="AP198" s="214">
        <f>IF(N198="",0,N198*1000/BA200^2/SQRT(BA198))</f>
        <v>0</v>
      </c>
      <c r="AQ198" s="213" t="b">
        <f>IF(BA198=1,2,IF(BA198=3,SQRT(3),FALSE))</f>
        <v>0</v>
      </c>
      <c r="AR198" s="215" t="str">
        <f>IF(X198="","",IF(X198="600V IV",VLOOKUP(X200,ＩＶ,2,FALSE),IF(X198="600V CV-T",VLOOKUP(X200,ＣＶＴ,2,FALSE),IF(OR(X198="600V CV-1C",X198="600V CV-2C",X198="600V CV-3C",X198="600V CV-4C"),VLOOKUP(X200,ＣＶ２３Ｃ,2,FALSE),VLOOKUP(X200,ＣＵＳＥＲ,2,FALSE)))))</f>
        <v/>
      </c>
      <c r="AS198" s="213" t="str">
        <f>IF(AB201="",AP200,AP200+(AB201/1000))</f>
        <v/>
      </c>
      <c r="AT198" s="216" t="str">
        <f>IF(AU200="",AT200,AU200)</f>
        <v/>
      </c>
      <c r="AU198" s="216" t="str">
        <f>IF(D198="","",IF(AND(D458="",#REF!&lt;&gt;"",AV201=#REF!),#REF!,IF(AND(D458="",#REF!="",#REF!&lt;&gt;"",AV461=#REF!),#REF!,IF(AND(D458="",#REF!="",#REF!="",#REF!&lt;&gt;"",#REF!=#REF!),#REF!,IF(AND(D458="",#REF!="",#REF!="",#REF!="",D462&lt;&gt;"",#REF!=#REF!),AT462,IF(AND(D458="",#REF!="",#REF!="",#REF!="",D462="",#REF!&lt;&gt;"",#REF!=AV466),#REF!,IF(AND(D458="",#REF!="",#REF!="",#REF!="",D462="",#REF!="",D467&lt;&gt;"",#REF!=AV470),AT467,"")))))))</f>
        <v/>
      </c>
      <c r="AV198" s="216" t="str">
        <f>IF(L198="ACG",IF(ISNA(VLOOKUP(L200,ＡＣＧ,2,FALSE)),0,VLOOKUP(L200,ＡＣＧ,2,FALSE)),"")</f>
        <v/>
      </c>
      <c r="AW198" s="217" t="str">
        <f>IF(AT198="","",AT198/((AT198*AP198)^2+(AT199*AP198-1)^2))</f>
        <v/>
      </c>
      <c r="AX198" s="218" t="str">
        <f>IF(BA200=0,"",IF(OR(AX194="",AF198&lt;&gt;""),AF198*SQRT(AS200^2+AS201^2)/SQRT(AT200^2+AT201^2),AX194*SQRT(AS200^2+AS201^2)/SQRT(AT200^2+AT201^2)))</f>
        <v/>
      </c>
      <c r="AY198" s="219">
        <f>IF(N(AY200)=10^30,10^30,IF(N(AY460)=10^30,(N(AY200)*(N(AY460)^2+N(AY461)^2)+N(AY460)*(N(AY200)^2+N(AY201)^2))/((N(AY200)+N(AY460))^2+(N(AY201)+N(AY461))^2),(N(AY200)*(N(AY458)^2+N(AY459)^2)+N(AY458)*(N(AY200)^2+N(AY201)^2))/((N(AY200)+N(AY458))^2+(N(AY201)+N(AY459))^2)))</f>
        <v>1E+30</v>
      </c>
      <c r="AZ198" s="23"/>
      <c r="BA198" s="220">
        <f>IF(AND(F198="",SUM(S198:S201)&lt;&gt;0),BA194,F198)</f>
        <v>0</v>
      </c>
      <c r="BB198" s="221">
        <f t="shared" si="4"/>
        <v>0</v>
      </c>
      <c r="BC198" s="232">
        <f>IF(OR(E198="",F201="",AND(OR(P198="",Q198="",R198="",T198=""),OR(P199="",Q199="",R199="",T199=""),OR(P200="",Q200="",R200="",T200=""),OR(P201="",Q201="",R201="",T201="")),AND(OR(X198="",X200="",Y200="",Z200=""),OR(AB198="",AB200="",AC200="",AD200=""))),0,1)</f>
        <v>0</v>
      </c>
      <c r="BD198" s="232">
        <f>BC198+BD194</f>
        <v>0</v>
      </c>
    </row>
    <row r="199" spans="1:56" ht="15" customHeight="1">
      <c r="B199" s="85"/>
      <c r="C199" s="271"/>
      <c r="D199" s="409"/>
      <c r="E199" s="362"/>
      <c r="F199" s="410"/>
      <c r="G199" s="266"/>
      <c r="H199" s="266"/>
      <c r="I199" s="266"/>
      <c r="J199" s="266"/>
      <c r="K199" s="273"/>
      <c r="L199" s="411"/>
      <c r="M199" s="197" t="str">
        <f>IF(L198="ACG",SQRT(AV198^2+AV199^2),IF(L200="","",IF(OR(L198="oil cooled type",L198="(F)molded type"),IF(BA198=1,SQRT(AN198^2+AN199^2),IF(BA198=3,SQRT(AN200^2+AN201^2))),SQRT(AO198^2+AO199^2))))</f>
        <v/>
      </c>
      <c r="N199" s="412"/>
      <c r="O199" s="198"/>
      <c r="P199" s="90"/>
      <c r="Q199" s="199"/>
      <c r="R199" s="91"/>
      <c r="S199" s="92" t="str">
        <f>IF(R200="","",IF(Q200="",P200/R200,P200/(Q200*R200)))</f>
        <v/>
      </c>
      <c r="T199" s="200"/>
      <c r="U199" s="201" t="str">
        <f>IF(OR(BA200="",S199=""),"",S199*1000*T199/(SQRT(BA198)*BA200))</f>
        <v/>
      </c>
      <c r="V199" s="255"/>
      <c r="W199" s="248"/>
      <c r="X199" s="258"/>
      <c r="Y199" s="245"/>
      <c r="Z199" s="246"/>
      <c r="AA199" s="240"/>
      <c r="AB199" s="244"/>
      <c r="AC199" s="245"/>
      <c r="AD199" s="246"/>
      <c r="AE199" s="248"/>
      <c r="AF199" s="235" t="str">
        <f>IF(OR(AF198="",AG194&lt;&gt;""),"",AF198*AQ199/SQRT(AT198^2+AT199^2))</f>
        <v/>
      </c>
      <c r="AG199" s="274" t="str">
        <f>IF(AG198="","",100*AG198*AQ199/BA200)</f>
        <v/>
      </c>
      <c r="AH199" s="275"/>
      <c r="AI199" s="260" t="str">
        <f>IF(BA200=0,"",IF(AI194="",AX200/SQRT(AT198^2+AT199^2),IF(AI202="","",IF(AT198&lt;0,-AX198*AQ195/SQRT(AT198^2+AT199^2),AX198*AQ195/SQRT(AT198^2+AT199^2)))))</f>
        <v/>
      </c>
      <c r="AJ199" s="258"/>
      <c r="AK199" s="259"/>
      <c r="AL199" s="187"/>
      <c r="AM199" s="28"/>
      <c r="AN199" s="213" t="b">
        <f>IF(BA198="","",IF(AND(BA198=1,F200=50,L198="oil cooled type"),VLOOKUP(L200,変１,3,FALSE),IF(AND(BA198=1,F200=50,L198="(F)molded type"),VLOOKUP(L200,変１,8,FALSE),IF(AND(BA198=1,F200=60,L198="oil cooled type"),VLOOKUP(L200,変１,13,FALSE),IF(AND(BA198=1,F200=60,L198="(F)molded type"),VLOOKUP(L200,変１,18,FALSE),FALSE)))))</f>
        <v>0</v>
      </c>
      <c r="AO199" s="213">
        <f>IF(ISNA(VLOOKUP(L200,変ＵＳＥＲ,3,FALSE)),0,VLOOKUP(L200,変ＵＳＥＲ,3,FALSE)*BA201/50)</f>
        <v>0</v>
      </c>
      <c r="AP199" s="214">
        <f>IF(W198="",0,W198*1000/BA200^2/SQRT(BA198))</f>
        <v>0</v>
      </c>
      <c r="AQ199" s="213">
        <f>IF(AND(BA198=1,BA199=2),1,IF(AND(BA198=3,BA199=3),1,IF(AND(BA198=1,BA199=3),2,IF(AND(BA198=3,BA199=4)*OR(BB198=1,BB199=1,BB200=1,BB201=1),1,SQRT(3)))))</f>
        <v>1.7320508075688772</v>
      </c>
      <c r="AR199" s="215" t="str">
        <f>IF(X198="","",IF(X198="600V IV",VLOOKUP(X200,ＩＶ,3,FALSE),IF(X198="600V CV-T",VLOOKUP(X200,ＣＶＴ,3,FALSE),IF(OR(X198="600V CV-1C",X198="600V CV-2C",X198="600V CV-3C",X198="600V CV-4C"),VLOOKUP(X200,ＣＶ２３Ｃ,3,FALSE),VLOOKUP(X200,ＣＵＳＥＲ,3,FALSE)))))</f>
        <v/>
      </c>
      <c r="AS199" s="213" t="str">
        <f>IF(AD201="",AP201,AP201+(AD201/1000))</f>
        <v/>
      </c>
      <c r="AT199" s="216" t="str">
        <f>IF(AU201="",AT201,AU201)</f>
        <v/>
      </c>
      <c r="AU199" s="216" t="str">
        <f>IF(D198="","",IF(AND(D458="",#REF!&lt;&gt;"",AV201=#REF!),#REF!,IF(AND(D458="",#REF!="",#REF!&lt;&gt;"",AV461=#REF!),#REF!,IF(AND(D458="",#REF!="",#REF!="",#REF!&lt;&gt;"",#REF!=#REF!),#REF!,IF(AND(D458="",#REF!="",#REF!="",#REF!="",D462&lt;&gt;"",#REF!=#REF!),AT463,IF(AND(D458="",#REF!="",#REF!="",#REF!="",D462="",#REF!&lt;&gt;"",#REF!=AV466),AT464,IF(AND(D458="",#REF!="",#REF!="",#REF!="",D462="",#REF!="",D467&lt;&gt;"",#REF!=AV470),AT468,"")))))))</f>
        <v/>
      </c>
      <c r="AV199" s="215" t="str">
        <f>IF(L198="ACG",IF(ISNA(VLOOKUP(L200,ＡＣＧ,3,FALSE)),0,VLOOKUP(L200,ＡＣＧ,3,FALSE)*BA201/50),"")</f>
        <v/>
      </c>
      <c r="AW199" s="217" t="str">
        <f>IF(AT199="","",(AT199-AP198*(AT198^2+AT199^2))/((AT198*AP198)^2+(AP198*AT199-1)^2))</f>
        <v/>
      </c>
      <c r="AX199" s="218"/>
      <c r="AY199" s="219">
        <f>IF(N(AY201)=10^30,10^30,IF(N(AY461)=10^30,(N(AY201)*(N(AY460)^2+N(AY461)^2)+N(AY461)*(N(AY200)^2+N(AY201)^2))/((N(AY200)+N(AY460))^2+(N(AY201)+N(AY461))^2),(N(AY201)*(N(AY458)^2+N(AY459)^2)+N(AY459)*(N(AY200)^2+N(AY201)^2))/((N(AY200)+N(AY458))^2+(N(AY201)+N(AY459))^2)))</f>
        <v>1E+30</v>
      </c>
      <c r="AZ199" s="23"/>
      <c r="BA199" s="220">
        <f>IF(AND(H198="",SUM(S198:S201)&lt;&gt;0),BA195,H198)</f>
        <v>0</v>
      </c>
      <c r="BB199" s="221">
        <f t="shared" si="4"/>
        <v>0</v>
      </c>
      <c r="BC199" s="232"/>
      <c r="BD199" s="232"/>
    </row>
    <row r="200" spans="1:56" ht="15" customHeight="1">
      <c r="B200" s="85"/>
      <c r="C200" s="271"/>
      <c r="D200" s="409"/>
      <c r="E200" s="362"/>
      <c r="F200" s="413"/>
      <c r="G200" s="414"/>
      <c r="H200" s="414"/>
      <c r="I200" s="414"/>
      <c r="J200" s="414"/>
      <c r="K200" s="415"/>
      <c r="L200" s="416"/>
      <c r="M200" s="275"/>
      <c r="N200" s="412"/>
      <c r="O200" s="198"/>
      <c r="P200" s="93"/>
      <c r="Q200" s="202"/>
      <c r="R200" s="91"/>
      <c r="S200" s="92" t="str">
        <f>IF(R201="","",IF(Q201="",P201/R201,P201/(Q201*R201)))</f>
        <v/>
      </c>
      <c r="T200" s="200"/>
      <c r="U200" s="203" t="str">
        <f>IF(OR(BA200="",S200=""),"",S200*1000*T200/(SQRT(BA198)*BA200))</f>
        <v/>
      </c>
      <c r="V200" s="94" t="str">
        <f>IF(AND(N(U198)=0,N(U199)=0,N(U200)=0,N(U201)=0),"",V198*(P198*R198*T198+P199*R199*T199+P200*R200*T200+P201*R201*T201)/(P198*T198+P199*T199+P200*T200+P201*T201))</f>
        <v/>
      </c>
      <c r="W200" s="276" t="str">
        <f>IF(AND(N(AP200)=0,N(AP201)=0,N(AP199)=0),"",IF(AP201&gt;=0,COS(ATAN(AP201/AP200)),-COS(ATAN(AP201/AP200))))</f>
        <v/>
      </c>
      <c r="X200" s="95"/>
      <c r="Y200" s="204"/>
      <c r="Z200" s="96"/>
      <c r="AA200" s="97"/>
      <c r="AB200" s="98"/>
      <c r="AC200" s="204"/>
      <c r="AD200" s="96"/>
      <c r="AE200" s="99"/>
      <c r="AF200" s="236" t="str">
        <f>IF(OR(AF198="",AG194&lt;&gt;""),"",BA200/SQRT(AW200^2+AW201^2))</f>
        <v/>
      </c>
      <c r="AG200" s="274" t="str">
        <f>IF(AG198="","",100*((BA200/AQ199)-AG198)/(BA200/AQ199))</f>
        <v/>
      </c>
      <c r="AH200" s="275"/>
      <c r="AI200" s="261"/>
      <c r="AJ200" s="262"/>
      <c r="AK200" s="264"/>
      <c r="AL200" s="188"/>
      <c r="AM200" s="28"/>
      <c r="AN200" s="222" t="b">
        <f>IF(BA198="","",IF(AND(BA198=3,F200=50,L198="oil cooled type"),VLOOKUP(L200,変３,2,FALSE),IF(AND(BA198=3,F200=50,L198="(F)molded type"),VLOOKUP(L200,変３,7,FALSE),IF(AND(BA198=3,F200=60,L198="oil cooled type"),VLOOKUP(L200,変３,12,FALSE),IF(AND(BA198=3,F200=60,L198="(F)molded type"),VLOOKUP(L200,変３,17,FALSE),FALSE)))))</f>
        <v>0</v>
      </c>
      <c r="AO200" s="215" t="str">
        <f>IF(AND(L194="",N(AY198)&lt;10^29),AY198,"")</f>
        <v/>
      </c>
      <c r="AP200" s="223" t="str">
        <f>IF(V198="","",IF(AND(N(V200)=0,N(AP199)=0),"",AQ200/((AQ200*AP199)^2+(AP199*AQ201-1)^2)))</f>
        <v/>
      </c>
      <c r="AQ200" s="213">
        <f>IF(N(V200)=0,10^30,V200)</f>
        <v>1E+30</v>
      </c>
      <c r="AR200" s="215" t="str">
        <f>IF(AB198="","",IF(AB198="600V IV",VLOOKUP(AB200,ＩＶ,2,FALSE),IF(AB198="600V CV-T",VLOOKUP(AB200,ＣＶＴ,2,FALSE),IF(OR(AB198="600V CV-1C",AB198="600V CV-2C",AB198="600V CV-3C",AB198="600V CV-4C"),VLOOKUP(AB200,ＣＶ２３Ｃ,2,FALSE),VLOOKUP(AB200,ＣＵＳＥＲ,2,FALSE)))))</f>
        <v/>
      </c>
      <c r="AS200" s="213" t="str">
        <f>IF(OR(AND(AS458="",AS459=""),AND(D198="",D458&lt;&gt;"")),AS198,(AS198*(AT458^2+AT459^2)+AT458*(AS198^2+AS199^2))/((AS198+AT458)^2+(AS199+AT459)^2))</f>
        <v/>
      </c>
      <c r="AT200" s="216" t="str">
        <f>IF(X201="",AS200,N(AS200)+(X201/1000))</f>
        <v/>
      </c>
      <c r="AU200" s="216" t="str">
        <f>IF(AU198="","",(AT200*(AU198^2+AU199^2)+AU198*(AT200^2+AT201^2))/((AT200+AU198)^2+(AT201+AU199)^2))</f>
        <v/>
      </c>
      <c r="AV200" s="216">
        <f>IF(BA200=0,1,0)</f>
        <v>1</v>
      </c>
      <c r="AW200" s="217" t="str">
        <f>IF(AO200="","",AW198+AO200)</f>
        <v/>
      </c>
      <c r="AX200" s="218" t="str">
        <f>IF(AND(AX196="",AW200&lt;&gt;""),BA200*SQRT(AW198^2+AW199^2)/SQRT(AW200^2+AW201^2),IF(BA200&lt;&gt;0,AX196,""))</f>
        <v/>
      </c>
      <c r="AY200" s="224">
        <f>IF(L200="",10^30,SQRT(BA198)*(BA200^2)*(N(AN198)+N(AN200)+N(AO198)+N(AV198))/(100000*L200*M198))</f>
        <v>1E+30</v>
      </c>
      <c r="AZ200" s="225"/>
      <c r="BA200" s="220">
        <f>IF(AND(J198="",SUM(S198:S201)&lt;&gt;0),BA196,J198)</f>
        <v>0</v>
      </c>
      <c r="BB200" s="221">
        <f t="shared" si="4"/>
        <v>0</v>
      </c>
      <c r="BC200" s="232"/>
      <c r="BD200" s="232"/>
    </row>
    <row r="201" spans="1:56" ht="15" customHeight="1">
      <c r="A201" s="85"/>
      <c r="B201" s="85"/>
      <c r="C201" s="271"/>
      <c r="D201" s="417"/>
      <c r="E201" s="418"/>
      <c r="F201" s="419"/>
      <c r="G201" s="270"/>
      <c r="H201" s="270"/>
      <c r="I201" s="270"/>
      <c r="J201" s="270"/>
      <c r="K201" s="268"/>
      <c r="L201" s="251" t="str">
        <f>IF(M198="","",L200*1000*M198/(SQRT(BA198)*BA200))</f>
        <v/>
      </c>
      <c r="M201" s="252"/>
      <c r="N201" s="277"/>
      <c r="O201" s="205"/>
      <c r="P201" s="106"/>
      <c r="Q201" s="206"/>
      <c r="R201" s="107"/>
      <c r="S201" s="108" t="str">
        <f>IF(R201="","",IF(Q201="",P201/R201,P201/(Q201*R201)))</f>
        <v/>
      </c>
      <c r="T201" s="207"/>
      <c r="U201" s="208" t="str">
        <f>IF(OR(BA200="",S201=""),"",S201*1000*T201/(SQRT(BA198)*BA200))</f>
        <v/>
      </c>
      <c r="V201" s="109" t="str">
        <f>IF(AND(N(U198)=0,N(U199)=0,N(U200)=0,N(U201)=0),"",IF(V198&gt;=0,SQRT(ABS(V198^2-V200^2)),-SQRT(V198^2-V200^2)))</f>
        <v/>
      </c>
      <c r="W201" s="277"/>
      <c r="X201" s="278" t="str">
        <f>IF(Y200="","",AQ198*Z200*AR198*((1+0.00393*(F201-20))/1.2751)/Y200)</f>
        <v/>
      </c>
      <c r="Y201" s="270"/>
      <c r="Z201" s="267" t="str">
        <f>IF(Y200="","",(BA201/50)*AQ198*Z200*AR199/Y200)</f>
        <v/>
      </c>
      <c r="AA201" s="252"/>
      <c r="AB201" s="279" t="str">
        <f>IF(AC200="","",AQ198*AD200*AR200*((1+0.00393*(F201-20))/1.2751)/AC200)</f>
        <v/>
      </c>
      <c r="AC201" s="270"/>
      <c r="AD201" s="267" t="str">
        <f>IF(AC200="","",(BA201/50)*AQ198*AD200*AR201/AC200)</f>
        <v/>
      </c>
      <c r="AE201" s="268"/>
      <c r="AF201" s="237" t="str">
        <f>IF(AND(AX198&lt;&gt;"",D198=""),AX198,"")</f>
        <v/>
      </c>
      <c r="AG201" s="269" t="str">
        <f>IF(AP200="","",AP200)</f>
        <v/>
      </c>
      <c r="AH201" s="270"/>
      <c r="AI201" s="238" t="str">
        <f>IF(AP201="","",AP201)</f>
        <v/>
      </c>
      <c r="AJ201" s="263"/>
      <c r="AK201" s="253"/>
      <c r="AL201" s="189"/>
      <c r="AM201" s="28"/>
      <c r="AN201" s="226" t="b">
        <f>IF(BA198="","",IF(AND(BA198=3,F200=50,L198="oil cooled type"),VLOOKUP(L200,変３,3,FALSE),IF(AND(BA198=3,F200=50,L198="(F)molded type"),VLOOKUP(L200,変３,8,FALSE),IF(AND(BA198=3,F200=60,L198="oil cooled type"),VLOOKUP(L200,変３,13,FALSE),IF(AND(BA198=3,F200=60,L198="(F)molded type"),VLOOKUP(L200,変３,18,FALSE),FALSE)))))</f>
        <v>0</v>
      </c>
      <c r="AO201" s="226" t="str">
        <f>IF(AND(L194="",N(AY199)&lt;10^29),AY199,"")</f>
        <v/>
      </c>
      <c r="AP201" s="227" t="str">
        <f>IF(V198="","",IF(AND(N(V201)=0,N(AP199)=0),0,(AQ201-AP199*(AQ200^2+AQ201^2))/((AQ200*AP199)^2+(AP199*AQ201-1)^2)))</f>
        <v/>
      </c>
      <c r="AQ201" s="228">
        <f>IF(N(V201)=0,10^30,V201)</f>
        <v>1E+30</v>
      </c>
      <c r="AR201" s="226" t="str">
        <f>IF(AB198="","",IF(AB198="600V IV",VLOOKUP(AB200,ＩＶ,3,FALSE),IF(AB198="600V CV-T",VLOOKUP(AB200,ＣＶＴ,3,FALSE),IF(OR(AB198="600V CV-1C",AB198="600V CV-2C",AB198="600V CV-3C",AB198="600V CV-4C"),VLOOKUP(AB200,ＣＶ２３Ｃ,3,FALSE),VLOOKUP(AB200,ＣＵＳＥＲ,3,FALSE)))))</f>
        <v/>
      </c>
      <c r="AS201" s="228" t="str">
        <f>IF(OR(AND(AS458="",AS459=""),AND(D198="",D458&lt;&gt;"")),AS199,(AS199*(AT458^2+AT459^2)+AT459*(AS198^2+AS199^2))/((AS198+AT458)^2+(AS199+AT459)^2))</f>
        <v/>
      </c>
      <c r="AT201" s="229" t="str">
        <f>IF(Z201="",AS201,N(AS201)+(Z201/1000))</f>
        <v/>
      </c>
      <c r="AU201" s="229" t="str">
        <f>IF(AU199="","",(AT201*(AU198^2+AU199^2)+AU199*(AT200^2+AT201^2))/((AT200+AU198)^2+(AT201+AU199)^2))</f>
        <v/>
      </c>
      <c r="AV201" s="229">
        <f>AV197+AV200</f>
        <v>46</v>
      </c>
      <c r="AW201" s="228" t="str">
        <f>IF(AO201="","",AW199+AO201)</f>
        <v/>
      </c>
      <c r="AX201" s="230"/>
      <c r="AY201" s="224">
        <f>IF(L200="",10^30,SQRT(BA198)*(BA200^2)*(N(AN199)+N(AN201)+N(AO199)+N(AV199))/(100000*L200*M198))</f>
        <v>1E+30</v>
      </c>
      <c r="AZ201" s="225"/>
      <c r="BA201" s="220">
        <f>IF(AND(F200="",SUM(S198:S201)&lt;&gt;0),BA197,F200)</f>
        <v>0</v>
      </c>
      <c r="BB201" s="221">
        <f t="shared" si="4"/>
        <v>0</v>
      </c>
      <c r="BC201" s="232"/>
      <c r="BD201" s="232"/>
    </row>
    <row r="202" spans="1:56" ht="15" customHeight="1">
      <c r="B202" s="85"/>
      <c r="C202" s="271" t="str">
        <f>IF(BC202=1,"●","・")</f>
        <v>・</v>
      </c>
      <c r="D202" s="402"/>
      <c r="E202" s="403"/>
      <c r="F202" s="404"/>
      <c r="G202" s="265" t="str">
        <f>IF(F202="","","φ")</f>
        <v/>
      </c>
      <c r="H202" s="405"/>
      <c r="I202" s="265" t="str">
        <f>IF(H202="","","W")</f>
        <v/>
      </c>
      <c r="J202" s="405"/>
      <c r="K202" s="272" t="str">
        <f>IF(J202="","","V")</f>
        <v/>
      </c>
      <c r="L202" s="406"/>
      <c r="M202" s="407"/>
      <c r="N202" s="408"/>
      <c r="O202" s="193"/>
      <c r="P202" s="86"/>
      <c r="Q202" s="194"/>
      <c r="R202" s="87"/>
      <c r="S202" s="88" t="str">
        <f>IF(R202="","",IF(Q202="",P202/R202,P202/(Q202*R202)))</f>
        <v/>
      </c>
      <c r="T202" s="195"/>
      <c r="U202" s="196" t="str">
        <f>IF(OR(BA204="",S202=""),"",S202*1000*T202/(SQRT(BA202)*BA204))</f>
        <v/>
      </c>
      <c r="V202" s="254" t="str">
        <f>IF(AND(N(U202)=0,N(U203)=0,N(U204)=0,N(U205)=0),"",BA204/(SUM(U202:U205)))</f>
        <v/>
      </c>
      <c r="W202" s="280"/>
      <c r="X202" s="281"/>
      <c r="Y202" s="242"/>
      <c r="Z202" s="243"/>
      <c r="AA202" s="239"/>
      <c r="AB202" s="241"/>
      <c r="AC202" s="242"/>
      <c r="AD202" s="243"/>
      <c r="AE202" s="247"/>
      <c r="AF202" s="233" t="str">
        <f>IF(OR(AND(AF198="",N(BA200)=0,BA204&lt;&gt;0),D202&lt;&gt;""),AX204/AQ203,"")</f>
        <v/>
      </c>
      <c r="AG202" s="249" t="str">
        <f>IF(BA204=0,"",IF(AD204="",AX202,IF(AND(D202&lt;&gt;"",AU202=""),AX204*SQRT(AP204^2+AP205^2)/SQRT(AS202^2+AS203^2)/AQ203,AX202*SQRT(AP204^2+AP205^2)/SQRT(AS202^2+AS203^2))))</f>
        <v/>
      </c>
      <c r="AH202" s="250"/>
      <c r="AI202" s="234" t="str">
        <f>IF(AG202="","",IF(N(U202)&lt;0,-AX202*AQ203/SQRT(AS202^2+AS203^2),AX202*AQ203/SQRT(AS202^2+AS203^2)))</f>
        <v/>
      </c>
      <c r="AJ202" s="256"/>
      <c r="AK202" s="257"/>
      <c r="AL202" s="186"/>
      <c r="AM202" s="28"/>
      <c r="AN202" s="213" t="b">
        <f>IF(BA202="","",IF(AND(BA202=1,F204=50,L202="oil cooled type"),VLOOKUP(L204,変１,2,FALSE),IF(AND(BA202=1,F204=50,L202="(F)molded type"),VLOOKUP(L204,変１,7,FALSE),IF(AND(BA202=1,F204=60,L202="oil cooled type"),VLOOKUP(L204,変１,12,FALSE),IF(AND(BA202=1,F204=60,L202="(F)molded type"),VLOOKUP(L204,変１,17,FALSE),FALSE)))))</f>
        <v>0</v>
      </c>
      <c r="AO202" s="213">
        <f>IF(ISNA(VLOOKUP(L204,変ＵＳＥＲ,2,FALSE)),0,VLOOKUP(L204,変ＵＳＥＲ,2,FALSE))</f>
        <v>0</v>
      </c>
      <c r="AP202" s="214">
        <f>IF(N202="",0,N202*1000/BA204^2/SQRT(BA202))</f>
        <v>0</v>
      </c>
      <c r="AQ202" s="213" t="b">
        <f>IF(BA202=1,2,IF(BA202=3,SQRT(3),FALSE))</f>
        <v>0</v>
      </c>
      <c r="AR202" s="215" t="str">
        <f>IF(X202="","",IF(X202="600V IV",VLOOKUP(X204,ＩＶ,2,FALSE),IF(X202="600V CV-T",VLOOKUP(X204,ＣＶＴ,2,FALSE),IF(OR(X202="600V CV-1C",X202="600V CV-2C",X202="600V CV-3C",X202="600V CV-4C"),VLOOKUP(X204,ＣＶ２３Ｃ,2,FALSE),VLOOKUP(X204,ＣＵＳＥＲ,2,FALSE)))))</f>
        <v/>
      </c>
      <c r="AS202" s="213" t="str">
        <f>IF(AB205="",AP204,AP204+(AB205/1000))</f>
        <v/>
      </c>
      <c r="AT202" s="216" t="str">
        <f>IF(AU204="",AT204,AU204)</f>
        <v/>
      </c>
      <c r="AU202" s="216" t="str">
        <f>IF(D202="","",IF(AND(D462="",#REF!&lt;&gt;"",AV205=#REF!),#REF!,IF(AND(D462="",#REF!="",#REF!&lt;&gt;"",AV465=#REF!),#REF!,IF(AND(D462="",#REF!="",#REF!="",#REF!&lt;&gt;"",#REF!=#REF!),#REF!,IF(AND(D462="",#REF!="",#REF!="",#REF!="",D466&lt;&gt;"",#REF!=#REF!),AT466,IF(AND(D462="",#REF!="",#REF!="",#REF!="",D466="",#REF!&lt;&gt;"",#REF!=AV470),#REF!,IF(AND(D462="",#REF!="",#REF!="",#REF!="",D466="",#REF!="",D471&lt;&gt;"",#REF!=AV474),AT471,"")))))))</f>
        <v/>
      </c>
      <c r="AV202" s="216" t="str">
        <f>IF(L202="ACG",IF(ISNA(VLOOKUP(L204,ＡＣＧ,2,FALSE)),0,VLOOKUP(L204,ＡＣＧ,2,FALSE)),"")</f>
        <v/>
      </c>
      <c r="AW202" s="217" t="str">
        <f>IF(AT202="","",AT202/((AT202*AP202)^2+(AT203*AP202-1)^2))</f>
        <v/>
      </c>
      <c r="AX202" s="218" t="str">
        <f>IF(BA204=0,"",IF(OR(AX198="",AF202&lt;&gt;""),AF202*SQRT(AS204^2+AS205^2)/SQRT(AT204^2+AT205^2),AX198*SQRT(AS204^2+AS205^2)/SQRT(AT204^2+AT205^2)))</f>
        <v/>
      </c>
      <c r="AY202" s="219">
        <f>IF(N(AY204)=10^30,10^30,IF(N(AY464)=10^30,(N(AY204)*(N(AY464)^2+N(AY465)^2)+N(AY464)*(N(AY204)^2+N(AY205)^2))/((N(AY204)+N(AY464))^2+(N(AY205)+N(AY465))^2),(N(AY204)*(N(AY462)^2+N(AY463)^2)+N(AY462)*(N(AY204)^2+N(AY205)^2))/((N(AY204)+N(AY462))^2+(N(AY205)+N(AY463))^2)))</f>
        <v>1E+30</v>
      </c>
      <c r="AZ202" s="23"/>
      <c r="BA202" s="220">
        <f>IF(AND(F202="",SUM(S202:S205)&lt;&gt;0),BA198,F202)</f>
        <v>0</v>
      </c>
      <c r="BB202" s="221">
        <f t="shared" si="4"/>
        <v>0</v>
      </c>
      <c r="BC202" s="232">
        <f>IF(OR(E202="",F205="",AND(OR(P202="",Q202="",R202="",T202=""),OR(P203="",Q203="",R203="",T203=""),OR(P204="",Q204="",R204="",T204=""),OR(P205="",Q205="",R205="",T205="")),AND(OR(X202="",X204="",Y204="",Z204=""),OR(AB202="",AB204="",AC204="",AD204=""))),0,1)</f>
        <v>0</v>
      </c>
      <c r="BD202" s="232">
        <f>BC202+BD198</f>
        <v>0</v>
      </c>
    </row>
    <row r="203" spans="1:56" ht="15" customHeight="1">
      <c r="B203" s="85"/>
      <c r="C203" s="271"/>
      <c r="D203" s="409"/>
      <c r="E203" s="362"/>
      <c r="F203" s="410"/>
      <c r="G203" s="266"/>
      <c r="H203" s="266"/>
      <c r="I203" s="266"/>
      <c r="J203" s="266"/>
      <c r="K203" s="273"/>
      <c r="L203" s="411"/>
      <c r="M203" s="197" t="str">
        <f>IF(L202="ACG",SQRT(AV202^2+AV203^2),IF(L204="","",IF(OR(L202="oil cooled type",L202="(F)molded type"),IF(BA202=1,SQRT(AN202^2+AN203^2),IF(BA202=3,SQRT(AN204^2+AN205^2))),SQRT(AO202^2+AO203^2))))</f>
        <v/>
      </c>
      <c r="N203" s="412"/>
      <c r="O203" s="198"/>
      <c r="P203" s="90"/>
      <c r="Q203" s="199"/>
      <c r="R203" s="91"/>
      <c r="S203" s="92" t="str">
        <f>IF(R204="","",IF(Q204="",P204/R204,P204/(Q204*R204)))</f>
        <v/>
      </c>
      <c r="T203" s="200"/>
      <c r="U203" s="201" t="str">
        <f>IF(OR(BA204="",S203=""),"",S203*1000*T203/(SQRT(BA202)*BA204))</f>
        <v/>
      </c>
      <c r="V203" s="255"/>
      <c r="W203" s="248"/>
      <c r="X203" s="258"/>
      <c r="Y203" s="245"/>
      <c r="Z203" s="246"/>
      <c r="AA203" s="240"/>
      <c r="AB203" s="244"/>
      <c r="AC203" s="245"/>
      <c r="AD203" s="246"/>
      <c r="AE203" s="248"/>
      <c r="AF203" s="235" t="str">
        <f>IF(OR(AF202="",AG198&lt;&gt;""),"",AF202*AQ203/SQRT(AT202^2+AT203^2))</f>
        <v/>
      </c>
      <c r="AG203" s="274" t="str">
        <f>IF(AG202="","",100*AG202*AQ203/BA204)</f>
        <v/>
      </c>
      <c r="AH203" s="275"/>
      <c r="AI203" s="260" t="str">
        <f>IF(BA204=0,"",IF(AI198="",AX204/SQRT(AT202^2+AT203^2),IF(AI206="","",IF(AT202&lt;0,-AX202*AQ199/SQRT(AT202^2+AT203^2),AX202*AQ199/SQRT(AT202^2+AT203^2)))))</f>
        <v/>
      </c>
      <c r="AJ203" s="258"/>
      <c r="AK203" s="259"/>
      <c r="AL203" s="187"/>
      <c r="AM203" s="28"/>
      <c r="AN203" s="213" t="b">
        <f>IF(BA202="","",IF(AND(BA202=1,F204=50,L202="oil cooled type"),VLOOKUP(L204,変１,3,FALSE),IF(AND(BA202=1,F204=50,L202="(F)molded type"),VLOOKUP(L204,変１,8,FALSE),IF(AND(BA202=1,F204=60,L202="oil cooled type"),VLOOKUP(L204,変１,13,FALSE),IF(AND(BA202=1,F204=60,L202="(F)molded type"),VLOOKUP(L204,変１,18,FALSE),FALSE)))))</f>
        <v>0</v>
      </c>
      <c r="AO203" s="213">
        <f>IF(ISNA(VLOOKUP(L204,変ＵＳＥＲ,3,FALSE)),0,VLOOKUP(L204,変ＵＳＥＲ,3,FALSE)*BA205/50)</f>
        <v>0</v>
      </c>
      <c r="AP203" s="214">
        <f>IF(W202="",0,W202*1000/BA204^2/SQRT(BA202))</f>
        <v>0</v>
      </c>
      <c r="AQ203" s="213">
        <f>IF(AND(BA202=1,BA203=2),1,IF(AND(BA202=3,BA203=3),1,IF(AND(BA202=1,BA203=3),2,IF(AND(BA202=3,BA203=4)*OR(BB202=1,BB203=1,BB204=1,BB205=1),1,SQRT(3)))))</f>
        <v>1.7320508075688772</v>
      </c>
      <c r="AR203" s="215" t="str">
        <f>IF(X202="","",IF(X202="600V IV",VLOOKUP(X204,ＩＶ,3,FALSE),IF(X202="600V CV-T",VLOOKUP(X204,ＣＶＴ,3,FALSE),IF(OR(X202="600V CV-1C",X202="600V CV-2C",X202="600V CV-3C",X202="600V CV-4C"),VLOOKUP(X204,ＣＶ２３Ｃ,3,FALSE),VLOOKUP(X204,ＣＵＳＥＲ,3,FALSE)))))</f>
        <v/>
      </c>
      <c r="AS203" s="213" t="str">
        <f>IF(AD205="",AP205,AP205+(AD205/1000))</f>
        <v/>
      </c>
      <c r="AT203" s="216" t="str">
        <f>IF(AU205="",AT205,AU205)</f>
        <v/>
      </c>
      <c r="AU203" s="216" t="str">
        <f>IF(D202="","",IF(AND(D462="",#REF!&lt;&gt;"",AV205=#REF!),#REF!,IF(AND(D462="",#REF!="",#REF!&lt;&gt;"",AV465=#REF!),#REF!,IF(AND(D462="",#REF!="",#REF!="",#REF!&lt;&gt;"",#REF!=#REF!),#REF!,IF(AND(D462="",#REF!="",#REF!="",#REF!="",D466&lt;&gt;"",#REF!=#REF!),AT467,IF(AND(D462="",#REF!="",#REF!="",#REF!="",D466="",#REF!&lt;&gt;"",#REF!=AV470),AT468,IF(AND(D462="",#REF!="",#REF!="",#REF!="",D466="",#REF!="",D471&lt;&gt;"",#REF!=AV474),AT472,"")))))))</f>
        <v/>
      </c>
      <c r="AV203" s="215" t="str">
        <f>IF(L202="ACG",IF(ISNA(VLOOKUP(L204,ＡＣＧ,3,FALSE)),0,VLOOKUP(L204,ＡＣＧ,3,FALSE)*BA205/50),"")</f>
        <v/>
      </c>
      <c r="AW203" s="217" t="str">
        <f>IF(AT203="","",(AT203-AP202*(AT202^2+AT203^2))/((AT202*AP202)^2+(AP202*AT203-1)^2))</f>
        <v/>
      </c>
      <c r="AX203" s="218"/>
      <c r="AY203" s="219">
        <f>IF(N(AY205)=10^30,10^30,IF(N(AY465)=10^30,(N(AY205)*(N(AY464)^2+N(AY465)^2)+N(AY465)*(N(AY204)^2+N(AY205)^2))/((N(AY204)+N(AY464))^2+(N(AY205)+N(AY465))^2),(N(AY205)*(N(AY462)^2+N(AY463)^2)+N(AY463)*(N(AY204)^2+N(AY205)^2))/((N(AY204)+N(AY462))^2+(N(AY205)+N(AY463))^2)))</f>
        <v>1E+30</v>
      </c>
      <c r="AZ203" s="23"/>
      <c r="BA203" s="220">
        <f>IF(AND(H202="",SUM(S202:S205)&lt;&gt;0),BA199,H202)</f>
        <v>0</v>
      </c>
      <c r="BB203" s="221">
        <f t="shared" si="4"/>
        <v>0</v>
      </c>
      <c r="BC203" s="232"/>
      <c r="BD203" s="232"/>
    </row>
    <row r="204" spans="1:56" ht="15" customHeight="1">
      <c r="B204" s="85"/>
      <c r="C204" s="271"/>
      <c r="D204" s="409"/>
      <c r="E204" s="362"/>
      <c r="F204" s="413"/>
      <c r="G204" s="414"/>
      <c r="H204" s="414"/>
      <c r="I204" s="414"/>
      <c r="J204" s="414"/>
      <c r="K204" s="415"/>
      <c r="L204" s="416"/>
      <c r="M204" s="275"/>
      <c r="N204" s="412"/>
      <c r="O204" s="198"/>
      <c r="P204" s="93"/>
      <c r="Q204" s="202"/>
      <c r="R204" s="91"/>
      <c r="S204" s="92" t="str">
        <f>IF(R205="","",IF(Q205="",P205/R205,P205/(Q205*R205)))</f>
        <v/>
      </c>
      <c r="T204" s="200"/>
      <c r="U204" s="203" t="str">
        <f>IF(OR(BA204="",S204=""),"",S204*1000*T204/(SQRT(BA202)*BA204))</f>
        <v/>
      </c>
      <c r="V204" s="94" t="str">
        <f>IF(AND(N(U202)=0,N(U203)=0,N(U204)=0,N(U205)=0),"",V202*(P202*R202*T202+P203*R203*T203+P204*R204*T204+P205*R205*T205)/(P202*T202+P203*T203+P204*T204+P205*T205))</f>
        <v/>
      </c>
      <c r="W204" s="276" t="str">
        <f>IF(AND(N(AP204)=0,N(AP205)=0,N(AP203)=0),"",IF(AP205&gt;=0,COS(ATAN(AP205/AP204)),-COS(ATAN(AP205/AP204))))</f>
        <v/>
      </c>
      <c r="X204" s="95"/>
      <c r="Y204" s="204"/>
      <c r="Z204" s="96"/>
      <c r="AA204" s="97"/>
      <c r="AB204" s="98"/>
      <c r="AC204" s="204"/>
      <c r="AD204" s="96"/>
      <c r="AE204" s="99"/>
      <c r="AF204" s="236" t="str">
        <f>IF(OR(AF202="",AG198&lt;&gt;""),"",BA204/SQRT(AW204^2+AW205^2))</f>
        <v/>
      </c>
      <c r="AG204" s="274" t="str">
        <f>IF(AG202="","",100*((BA204/AQ203)-AG202)/(BA204/AQ203))</f>
        <v/>
      </c>
      <c r="AH204" s="275"/>
      <c r="AI204" s="261"/>
      <c r="AJ204" s="262"/>
      <c r="AK204" s="264"/>
      <c r="AL204" s="188"/>
      <c r="AM204" s="28"/>
      <c r="AN204" s="222" t="b">
        <f>IF(BA202="","",IF(AND(BA202=3,F204=50,L202="oil cooled type"),VLOOKUP(L204,変３,2,FALSE),IF(AND(BA202=3,F204=50,L202="(F)molded type"),VLOOKUP(L204,変３,7,FALSE),IF(AND(BA202=3,F204=60,L202="oil cooled type"),VLOOKUP(L204,変３,12,FALSE),IF(AND(BA202=3,F204=60,L202="(F)molded type"),VLOOKUP(L204,変３,17,FALSE),FALSE)))))</f>
        <v>0</v>
      </c>
      <c r="AO204" s="215" t="str">
        <f>IF(AND(L198="",N(AY202)&lt;10^29),AY202,"")</f>
        <v/>
      </c>
      <c r="AP204" s="223" t="str">
        <f>IF(V202="","",IF(AND(N(V204)=0,N(AP203)=0),"",AQ204/((AQ204*AP203)^2+(AP203*AQ205-1)^2)))</f>
        <v/>
      </c>
      <c r="AQ204" s="213">
        <f>IF(N(V204)=0,10^30,V204)</f>
        <v>1E+30</v>
      </c>
      <c r="AR204" s="215" t="str">
        <f>IF(AB202="","",IF(AB202="600V IV",VLOOKUP(AB204,ＩＶ,2,FALSE),IF(AB202="600V CV-T",VLOOKUP(AB204,ＣＶＴ,2,FALSE),IF(OR(AB202="600V CV-1C",AB202="600V CV-2C",AB202="600V CV-3C",AB202="600V CV-4C"),VLOOKUP(AB204,ＣＶ２３Ｃ,2,FALSE),VLOOKUP(AB204,ＣＵＳＥＲ,2,FALSE)))))</f>
        <v/>
      </c>
      <c r="AS204" s="213" t="str">
        <f>IF(OR(AND(AS462="",AS463=""),AND(D202="",D462&lt;&gt;"")),AS202,(AS202*(AT462^2+AT463^2)+AT462*(AS202^2+AS203^2))/((AS202+AT462)^2+(AS203+AT463)^2))</f>
        <v/>
      </c>
      <c r="AT204" s="216" t="str">
        <f>IF(X205="",AS204,N(AS204)+(X205/1000))</f>
        <v/>
      </c>
      <c r="AU204" s="216" t="str">
        <f>IF(AU202="","",(AT204*(AU202^2+AU203^2)+AU202*(AT204^2+AT205^2))/((AT204+AU202)^2+(AT205+AU203)^2))</f>
        <v/>
      </c>
      <c r="AV204" s="216">
        <f>IF(BA204=0,1,0)</f>
        <v>1</v>
      </c>
      <c r="AW204" s="217" t="str">
        <f>IF(AO204="","",AW202+AO204)</f>
        <v/>
      </c>
      <c r="AX204" s="218" t="str">
        <f>IF(AND(AX200="",AW204&lt;&gt;""),BA204*SQRT(AW202^2+AW203^2)/SQRT(AW204^2+AW205^2),IF(BA204&lt;&gt;0,AX200,""))</f>
        <v/>
      </c>
      <c r="AY204" s="224">
        <f>IF(L204="",10^30,SQRT(BA202)*(BA204^2)*(N(AN202)+N(AN204)+N(AO202)+N(AV202))/(100000*L204*M202))</f>
        <v>1E+30</v>
      </c>
      <c r="AZ204" s="225"/>
      <c r="BA204" s="220">
        <f>IF(AND(J202="",SUM(S202:S205)&lt;&gt;0),BA200,J202)</f>
        <v>0</v>
      </c>
      <c r="BB204" s="221">
        <f t="shared" si="4"/>
        <v>0</v>
      </c>
      <c r="BC204" s="232"/>
      <c r="BD204" s="232"/>
    </row>
    <row r="205" spans="1:56" ht="15" customHeight="1">
      <c r="A205" s="85"/>
      <c r="B205" s="85"/>
      <c r="C205" s="271"/>
      <c r="D205" s="417"/>
      <c r="E205" s="418"/>
      <c r="F205" s="419"/>
      <c r="G205" s="270"/>
      <c r="H205" s="270"/>
      <c r="I205" s="270"/>
      <c r="J205" s="270"/>
      <c r="K205" s="268"/>
      <c r="L205" s="251" t="str">
        <f>IF(M202="","",L204*1000*M202/(SQRT(BA202)*BA204))</f>
        <v/>
      </c>
      <c r="M205" s="252"/>
      <c r="N205" s="277"/>
      <c r="O205" s="205"/>
      <c r="P205" s="106"/>
      <c r="Q205" s="206"/>
      <c r="R205" s="107"/>
      <c r="S205" s="108" t="str">
        <f>IF(R205="","",IF(Q205="",P205/R205,P205/(Q205*R205)))</f>
        <v/>
      </c>
      <c r="T205" s="207"/>
      <c r="U205" s="208" t="str">
        <f>IF(OR(BA204="",S205=""),"",S205*1000*T205/(SQRT(BA202)*BA204))</f>
        <v/>
      </c>
      <c r="V205" s="109" t="str">
        <f>IF(AND(N(U202)=0,N(U203)=0,N(U204)=0,N(U205)=0),"",IF(V202&gt;=0,SQRT(ABS(V202^2-V204^2)),-SQRT(V202^2-V204^2)))</f>
        <v/>
      </c>
      <c r="W205" s="277"/>
      <c r="X205" s="278" t="str">
        <f>IF(Y204="","",AQ202*Z204*AR202*((1+0.00393*(F205-20))/1.2751)/Y204)</f>
        <v/>
      </c>
      <c r="Y205" s="270"/>
      <c r="Z205" s="267" t="str">
        <f>IF(Y204="","",(BA205/50)*AQ202*Z204*AR203/Y204)</f>
        <v/>
      </c>
      <c r="AA205" s="252"/>
      <c r="AB205" s="279" t="str">
        <f>IF(AC204="","",AQ202*AD204*AR204*((1+0.00393*(F205-20))/1.2751)/AC204)</f>
        <v/>
      </c>
      <c r="AC205" s="270"/>
      <c r="AD205" s="267" t="str">
        <f>IF(AC204="","",(BA205/50)*AQ202*AD204*AR205/AC204)</f>
        <v/>
      </c>
      <c r="AE205" s="268"/>
      <c r="AF205" s="237" t="str">
        <f>IF(AND(AX202&lt;&gt;"",D202=""),AX202,"")</f>
        <v/>
      </c>
      <c r="AG205" s="269" t="str">
        <f>IF(AP204="","",AP204)</f>
        <v/>
      </c>
      <c r="AH205" s="270"/>
      <c r="AI205" s="238" t="str">
        <f>IF(AP205="","",AP205)</f>
        <v/>
      </c>
      <c r="AJ205" s="263"/>
      <c r="AK205" s="253"/>
      <c r="AL205" s="189"/>
      <c r="AM205" s="28"/>
      <c r="AN205" s="226" t="b">
        <f>IF(BA202="","",IF(AND(BA202=3,F204=50,L202="oil cooled type"),VLOOKUP(L204,変３,3,FALSE),IF(AND(BA202=3,F204=50,L202="(F)molded type"),VLOOKUP(L204,変３,8,FALSE),IF(AND(BA202=3,F204=60,L202="oil cooled type"),VLOOKUP(L204,変３,13,FALSE),IF(AND(BA202=3,F204=60,L202="(F)molded type"),VLOOKUP(L204,変３,18,FALSE),FALSE)))))</f>
        <v>0</v>
      </c>
      <c r="AO205" s="226" t="str">
        <f>IF(AND(L198="",N(AY203)&lt;10^29),AY203,"")</f>
        <v/>
      </c>
      <c r="AP205" s="227" t="str">
        <f>IF(V202="","",IF(AND(N(V205)=0,N(AP203)=0),0,(AQ205-AP203*(AQ204^2+AQ205^2))/((AQ204*AP203)^2+(AP203*AQ205-1)^2)))</f>
        <v/>
      </c>
      <c r="AQ205" s="228">
        <f>IF(N(V205)=0,10^30,V205)</f>
        <v>1E+30</v>
      </c>
      <c r="AR205" s="226" t="str">
        <f>IF(AB202="","",IF(AB202="600V IV",VLOOKUP(AB204,ＩＶ,3,FALSE),IF(AB202="600V CV-T",VLOOKUP(AB204,ＣＶＴ,3,FALSE),IF(OR(AB202="600V CV-1C",AB202="600V CV-2C",AB202="600V CV-3C",AB202="600V CV-4C"),VLOOKUP(AB204,ＣＶ２３Ｃ,3,FALSE),VLOOKUP(AB204,ＣＵＳＥＲ,3,FALSE)))))</f>
        <v/>
      </c>
      <c r="AS205" s="228" t="str">
        <f>IF(OR(AND(AS462="",AS463=""),AND(D202="",D462&lt;&gt;"")),AS203,(AS203*(AT462^2+AT463^2)+AT463*(AS202^2+AS203^2))/((AS202+AT462)^2+(AS203+AT463)^2))</f>
        <v/>
      </c>
      <c r="AT205" s="229" t="str">
        <f>IF(Z205="",AS205,N(AS205)+(Z205/1000))</f>
        <v/>
      </c>
      <c r="AU205" s="229" t="str">
        <f>IF(AU203="","",(AT205*(AU202^2+AU203^2)+AU203*(AT204^2+AT205^2))/((AT204+AU202)^2+(AT205+AU203)^2))</f>
        <v/>
      </c>
      <c r="AV205" s="229">
        <f>AV201+AV204</f>
        <v>47</v>
      </c>
      <c r="AW205" s="228" t="str">
        <f>IF(AO205="","",AW203+AO205)</f>
        <v/>
      </c>
      <c r="AX205" s="230"/>
      <c r="AY205" s="224">
        <f>IF(L204="",10^30,SQRT(BA202)*(BA204^2)*(N(AN203)+N(AN205)+N(AO203)+N(AV203))/(100000*L204*M202))</f>
        <v>1E+30</v>
      </c>
      <c r="AZ205" s="225"/>
      <c r="BA205" s="220">
        <f>IF(AND(F204="",SUM(S202:S205)&lt;&gt;0),BA201,F204)</f>
        <v>0</v>
      </c>
      <c r="BB205" s="221">
        <f t="shared" si="4"/>
        <v>0</v>
      </c>
      <c r="BC205" s="232"/>
      <c r="BD205" s="232"/>
    </row>
    <row r="206" spans="1:56" ht="15" customHeight="1">
      <c r="B206" s="85"/>
      <c r="C206" s="271" t="str">
        <f>IF(BC206=1,"●","・")</f>
        <v>・</v>
      </c>
      <c r="D206" s="402"/>
      <c r="E206" s="403"/>
      <c r="F206" s="404"/>
      <c r="G206" s="265" t="str">
        <f>IF(F206="","","φ")</f>
        <v/>
      </c>
      <c r="H206" s="405"/>
      <c r="I206" s="265" t="str">
        <f>IF(H206="","","W")</f>
        <v/>
      </c>
      <c r="J206" s="405"/>
      <c r="K206" s="272" t="str">
        <f>IF(J206="","","V")</f>
        <v/>
      </c>
      <c r="L206" s="406"/>
      <c r="M206" s="407"/>
      <c r="N206" s="408"/>
      <c r="O206" s="193"/>
      <c r="P206" s="86"/>
      <c r="Q206" s="194"/>
      <c r="R206" s="87"/>
      <c r="S206" s="88" t="str">
        <f>IF(R206="","",IF(Q206="",P206/R206,P206/(Q206*R206)))</f>
        <v/>
      </c>
      <c r="T206" s="195"/>
      <c r="U206" s="196" t="str">
        <f>IF(OR(BA208="",S206=""),"",S206*1000*T206/(SQRT(BA206)*BA208))</f>
        <v/>
      </c>
      <c r="V206" s="254" t="str">
        <f>IF(AND(N(U206)=0,N(U207)=0,N(U208)=0,N(U209)=0),"",BA208/(SUM(U206:U209)))</f>
        <v/>
      </c>
      <c r="W206" s="280"/>
      <c r="X206" s="281"/>
      <c r="Y206" s="242"/>
      <c r="Z206" s="243"/>
      <c r="AA206" s="239"/>
      <c r="AB206" s="241"/>
      <c r="AC206" s="242"/>
      <c r="AD206" s="243"/>
      <c r="AE206" s="247"/>
      <c r="AF206" s="233" t="str">
        <f>IF(OR(AND(AF202="",N(BA204)=0,BA208&lt;&gt;0),D206&lt;&gt;""),AX208/AQ207,"")</f>
        <v/>
      </c>
      <c r="AG206" s="249" t="str">
        <f>IF(BA208=0,"",IF(AD208="",AX206,IF(AND(D206&lt;&gt;"",AU206=""),AX208*SQRT(AP208^2+AP209^2)/SQRT(AS206^2+AS207^2)/AQ207,AX206*SQRT(AP208^2+AP209^2)/SQRT(AS206^2+AS207^2))))</f>
        <v/>
      </c>
      <c r="AH206" s="250"/>
      <c r="AI206" s="234" t="str">
        <f>IF(AG206="","",IF(N(U206)&lt;0,-AX206*AQ207/SQRT(AS206^2+AS207^2),AX206*AQ207/SQRT(AS206^2+AS207^2)))</f>
        <v/>
      </c>
      <c r="AJ206" s="256"/>
      <c r="AK206" s="257"/>
      <c r="AL206" s="186"/>
      <c r="AM206" s="28"/>
      <c r="AN206" s="213" t="b">
        <f>IF(BA206="","",IF(AND(BA206=1,F208=50,L206="oil cooled type"),VLOOKUP(L208,変１,2,FALSE),IF(AND(BA206=1,F208=50,L206="(F)molded type"),VLOOKUP(L208,変１,7,FALSE),IF(AND(BA206=1,F208=60,L206="oil cooled type"),VLOOKUP(L208,変１,12,FALSE),IF(AND(BA206=1,F208=60,L206="(F)molded type"),VLOOKUP(L208,変１,17,FALSE),FALSE)))))</f>
        <v>0</v>
      </c>
      <c r="AO206" s="213">
        <f>IF(ISNA(VLOOKUP(L208,変ＵＳＥＲ,2,FALSE)),0,VLOOKUP(L208,変ＵＳＥＲ,2,FALSE))</f>
        <v>0</v>
      </c>
      <c r="AP206" s="214">
        <f>IF(N206="",0,N206*1000/BA208^2/SQRT(BA206))</f>
        <v>0</v>
      </c>
      <c r="AQ206" s="213" t="b">
        <f>IF(BA206=1,2,IF(BA206=3,SQRT(3),FALSE))</f>
        <v>0</v>
      </c>
      <c r="AR206" s="215" t="str">
        <f>IF(X206="","",IF(X206="600V IV",VLOOKUP(X208,ＩＶ,2,FALSE),IF(X206="600V CV-T",VLOOKUP(X208,ＣＶＴ,2,FALSE),IF(OR(X206="600V CV-1C",X206="600V CV-2C",X206="600V CV-3C",X206="600V CV-4C"),VLOOKUP(X208,ＣＶ２３Ｃ,2,FALSE),VLOOKUP(X208,ＣＵＳＥＲ,2,FALSE)))))</f>
        <v/>
      </c>
      <c r="AS206" s="213" t="str">
        <f>IF(AB209="",AP208,AP208+(AB209/1000))</f>
        <v/>
      </c>
      <c r="AT206" s="216" t="str">
        <f>IF(AU208="",AT208,AU208)</f>
        <v/>
      </c>
      <c r="AU206" s="216" t="str">
        <f>IF(D206="","",IF(AND(D466="",#REF!&lt;&gt;"",AV209=#REF!),#REF!,IF(AND(D466="",#REF!="",#REF!&lt;&gt;"",AV469=#REF!),#REF!,IF(AND(D466="",#REF!="",#REF!="",#REF!&lt;&gt;"",#REF!=#REF!),#REF!,IF(AND(D466="",#REF!="",#REF!="",#REF!="",D470&lt;&gt;"",#REF!=#REF!),AT470,IF(AND(D466="",#REF!="",#REF!="",#REF!="",D470="",#REF!&lt;&gt;"",#REF!=AV474),#REF!,IF(AND(D466="",#REF!="",#REF!="",#REF!="",D470="",#REF!="",D475&lt;&gt;"",#REF!=AV478),AT475,"")))))))</f>
        <v/>
      </c>
      <c r="AV206" s="216" t="str">
        <f>IF(L206="ACG",IF(ISNA(VLOOKUP(L208,ＡＣＧ,2,FALSE)),0,VLOOKUP(L208,ＡＣＧ,2,FALSE)),"")</f>
        <v/>
      </c>
      <c r="AW206" s="217" t="str">
        <f>IF(AT206="","",AT206/((AT206*AP206)^2+(AT207*AP206-1)^2))</f>
        <v/>
      </c>
      <c r="AX206" s="218" t="str">
        <f>IF(BA208=0,"",IF(OR(AX202="",AF206&lt;&gt;""),AF206*SQRT(AS208^2+AS209^2)/SQRT(AT208^2+AT209^2),AX202*SQRT(AS208^2+AS209^2)/SQRT(AT208^2+AT209^2)))</f>
        <v/>
      </c>
      <c r="AY206" s="219">
        <f>IF(N(AY208)=10^30,10^30,IF(N(AY468)=10^30,(N(AY208)*(N(AY468)^2+N(AY469)^2)+N(AY468)*(N(AY208)^2+N(AY209)^2))/((N(AY208)+N(AY468))^2+(N(AY209)+N(AY469))^2),(N(AY208)*(N(AY466)^2+N(AY467)^2)+N(AY466)*(N(AY208)^2+N(AY209)^2))/((N(AY208)+N(AY466))^2+(N(AY209)+N(AY467))^2)))</f>
        <v>1E+30</v>
      </c>
      <c r="AZ206" s="23"/>
      <c r="BA206" s="220">
        <f>IF(AND(F206="",SUM(S206:S209)&lt;&gt;0),BA202,F206)</f>
        <v>0</v>
      </c>
      <c r="BB206" s="221">
        <f t="shared" si="4"/>
        <v>0</v>
      </c>
      <c r="BC206" s="232">
        <f>IF(OR(E206="",F209="",AND(OR(P206="",Q206="",R206="",T206=""),OR(P207="",Q207="",R207="",T207=""),OR(P208="",Q208="",R208="",T208=""),OR(P209="",Q209="",R209="",T209="")),AND(OR(X206="",X208="",Y208="",Z208=""),OR(AB206="",AB208="",AC208="",AD208=""))),0,1)</f>
        <v>0</v>
      </c>
      <c r="BD206" s="232">
        <f>BC206+BD202</f>
        <v>0</v>
      </c>
    </row>
    <row r="207" spans="1:56" ht="15" customHeight="1">
      <c r="B207" s="85"/>
      <c r="C207" s="271"/>
      <c r="D207" s="409"/>
      <c r="E207" s="362"/>
      <c r="F207" s="410"/>
      <c r="G207" s="266"/>
      <c r="H207" s="266"/>
      <c r="I207" s="266"/>
      <c r="J207" s="266"/>
      <c r="K207" s="273"/>
      <c r="L207" s="411"/>
      <c r="M207" s="197" t="str">
        <f>IF(L206="ACG",SQRT(AV206^2+AV207^2),IF(L208="","",IF(OR(L206="oil cooled type",L206="(F)molded type"),IF(BA206=1,SQRT(AN206^2+AN207^2),IF(BA206=3,SQRT(AN208^2+AN209^2))),SQRT(AO206^2+AO207^2))))</f>
        <v/>
      </c>
      <c r="N207" s="412"/>
      <c r="O207" s="198"/>
      <c r="P207" s="90"/>
      <c r="Q207" s="199"/>
      <c r="R207" s="91"/>
      <c r="S207" s="92" t="str">
        <f>IF(R208="","",IF(Q208="",P208/R208,P208/(Q208*R208)))</f>
        <v/>
      </c>
      <c r="T207" s="200"/>
      <c r="U207" s="201" t="str">
        <f>IF(OR(BA208="",S207=""),"",S207*1000*T207/(SQRT(BA206)*BA208))</f>
        <v/>
      </c>
      <c r="V207" s="255"/>
      <c r="W207" s="248"/>
      <c r="X207" s="258"/>
      <c r="Y207" s="245"/>
      <c r="Z207" s="246"/>
      <c r="AA207" s="240"/>
      <c r="AB207" s="244"/>
      <c r="AC207" s="245"/>
      <c r="AD207" s="246"/>
      <c r="AE207" s="248"/>
      <c r="AF207" s="235" t="str">
        <f>IF(OR(AF206="",AG202&lt;&gt;""),"",AF206*AQ207/SQRT(AT206^2+AT207^2))</f>
        <v/>
      </c>
      <c r="AG207" s="274" t="str">
        <f>IF(AG206="","",100*AG206*AQ207/BA208)</f>
        <v/>
      </c>
      <c r="AH207" s="275"/>
      <c r="AI207" s="260" t="str">
        <f>IF(BA208=0,"",IF(AI202="",AX208/SQRT(AT206^2+AT207^2),IF(AI210="","",IF(AT206&lt;0,-AX206*AQ203/SQRT(AT206^2+AT207^2),AX206*AQ203/SQRT(AT206^2+AT207^2)))))</f>
        <v/>
      </c>
      <c r="AJ207" s="258"/>
      <c r="AK207" s="259"/>
      <c r="AL207" s="187"/>
      <c r="AM207" s="28"/>
      <c r="AN207" s="213" t="b">
        <f>IF(BA206="","",IF(AND(BA206=1,F208=50,L206="oil cooled type"),VLOOKUP(L208,変１,3,FALSE),IF(AND(BA206=1,F208=50,L206="(F)molded type"),VLOOKUP(L208,変１,8,FALSE),IF(AND(BA206=1,F208=60,L206="oil cooled type"),VLOOKUP(L208,変１,13,FALSE),IF(AND(BA206=1,F208=60,L206="(F)molded type"),VLOOKUP(L208,変１,18,FALSE),FALSE)))))</f>
        <v>0</v>
      </c>
      <c r="AO207" s="213">
        <f>IF(ISNA(VLOOKUP(L208,変ＵＳＥＲ,3,FALSE)),0,VLOOKUP(L208,変ＵＳＥＲ,3,FALSE)*BA209/50)</f>
        <v>0</v>
      </c>
      <c r="AP207" s="214">
        <f>IF(W206="",0,W206*1000/BA208^2/SQRT(BA206))</f>
        <v>0</v>
      </c>
      <c r="AQ207" s="213">
        <f>IF(AND(BA206=1,BA207=2),1,IF(AND(BA206=3,BA207=3),1,IF(AND(BA206=1,BA207=3),2,IF(AND(BA206=3,BA207=4)*OR(BB206=1,BB207=1,BB208=1,BB209=1),1,SQRT(3)))))</f>
        <v>1.7320508075688772</v>
      </c>
      <c r="AR207" s="215" t="str">
        <f>IF(X206="","",IF(X206="600V IV",VLOOKUP(X208,ＩＶ,3,FALSE),IF(X206="600V CV-T",VLOOKUP(X208,ＣＶＴ,3,FALSE),IF(OR(X206="600V CV-1C",X206="600V CV-2C",X206="600V CV-3C",X206="600V CV-4C"),VLOOKUP(X208,ＣＶ２３Ｃ,3,FALSE),VLOOKUP(X208,ＣＵＳＥＲ,3,FALSE)))))</f>
        <v/>
      </c>
      <c r="AS207" s="213" t="str">
        <f>IF(AD209="",AP209,AP209+(AD209/1000))</f>
        <v/>
      </c>
      <c r="AT207" s="216" t="str">
        <f>IF(AU209="",AT209,AU209)</f>
        <v/>
      </c>
      <c r="AU207" s="216" t="str">
        <f>IF(D206="","",IF(AND(D466="",#REF!&lt;&gt;"",AV209=#REF!),#REF!,IF(AND(D466="",#REF!="",#REF!&lt;&gt;"",AV469=#REF!),#REF!,IF(AND(D466="",#REF!="",#REF!="",#REF!&lt;&gt;"",#REF!=#REF!),#REF!,IF(AND(D466="",#REF!="",#REF!="",#REF!="",D470&lt;&gt;"",#REF!=#REF!),AT471,IF(AND(D466="",#REF!="",#REF!="",#REF!="",D470="",#REF!&lt;&gt;"",#REF!=AV474),AT472,IF(AND(D466="",#REF!="",#REF!="",#REF!="",D470="",#REF!="",D475&lt;&gt;"",#REF!=AV478),AT476,"")))))))</f>
        <v/>
      </c>
      <c r="AV207" s="215" t="str">
        <f>IF(L206="ACG",IF(ISNA(VLOOKUP(L208,ＡＣＧ,3,FALSE)),0,VLOOKUP(L208,ＡＣＧ,3,FALSE)*BA209/50),"")</f>
        <v/>
      </c>
      <c r="AW207" s="217" t="str">
        <f>IF(AT207="","",(AT207-AP206*(AT206^2+AT207^2))/((AT206*AP206)^2+(AP206*AT207-1)^2))</f>
        <v/>
      </c>
      <c r="AX207" s="218"/>
      <c r="AY207" s="219">
        <f>IF(N(AY209)=10^30,10^30,IF(N(AY469)=10^30,(N(AY209)*(N(AY468)^2+N(AY469)^2)+N(AY469)*(N(AY208)^2+N(AY209)^2))/((N(AY208)+N(AY468))^2+(N(AY209)+N(AY469))^2),(N(AY209)*(N(AY466)^2+N(AY467)^2)+N(AY467)*(N(AY208)^2+N(AY209)^2))/((N(AY208)+N(AY466))^2+(N(AY209)+N(AY467))^2)))</f>
        <v>1E+30</v>
      </c>
      <c r="AZ207" s="23"/>
      <c r="BA207" s="220">
        <f>IF(AND(H206="",SUM(S206:S209)&lt;&gt;0),BA203,H206)</f>
        <v>0</v>
      </c>
      <c r="BB207" s="221">
        <f t="shared" si="4"/>
        <v>0</v>
      </c>
      <c r="BC207" s="232"/>
      <c r="BD207" s="232"/>
    </row>
    <row r="208" spans="1:56" ht="15" customHeight="1">
      <c r="B208" s="85"/>
      <c r="C208" s="271"/>
      <c r="D208" s="409"/>
      <c r="E208" s="362"/>
      <c r="F208" s="413"/>
      <c r="G208" s="414"/>
      <c r="H208" s="414"/>
      <c r="I208" s="414"/>
      <c r="J208" s="414"/>
      <c r="K208" s="415"/>
      <c r="L208" s="416"/>
      <c r="M208" s="275"/>
      <c r="N208" s="412"/>
      <c r="O208" s="198"/>
      <c r="P208" s="93"/>
      <c r="Q208" s="202"/>
      <c r="R208" s="91"/>
      <c r="S208" s="92" t="str">
        <f>IF(R209="","",IF(Q209="",P209/R209,P209/(Q209*R209)))</f>
        <v/>
      </c>
      <c r="T208" s="200"/>
      <c r="U208" s="203" t="str">
        <f>IF(OR(BA208="",S208=""),"",S208*1000*T208/(SQRT(BA206)*BA208))</f>
        <v/>
      </c>
      <c r="V208" s="94" t="str">
        <f>IF(AND(N(U206)=0,N(U207)=0,N(U208)=0,N(U209)=0),"",V206*(P206*R206*T206+P207*R207*T207+P208*R208*T208+P209*R209*T209)/(P206*T206+P207*T207+P208*T208+P209*T209))</f>
        <v/>
      </c>
      <c r="W208" s="276" t="str">
        <f>IF(AND(N(AP208)=0,N(AP209)=0,N(AP207)=0),"",IF(AP209&gt;=0,COS(ATAN(AP209/AP208)),-COS(ATAN(AP209/AP208))))</f>
        <v/>
      </c>
      <c r="X208" s="95"/>
      <c r="Y208" s="204"/>
      <c r="Z208" s="96"/>
      <c r="AA208" s="97"/>
      <c r="AB208" s="98"/>
      <c r="AC208" s="204"/>
      <c r="AD208" s="96"/>
      <c r="AE208" s="99"/>
      <c r="AF208" s="236" t="str">
        <f>IF(OR(AF206="",AG202&lt;&gt;""),"",BA208/SQRT(AW208^2+AW209^2))</f>
        <v/>
      </c>
      <c r="AG208" s="274" t="str">
        <f>IF(AG206="","",100*((BA208/AQ207)-AG206)/(BA208/AQ207))</f>
        <v/>
      </c>
      <c r="AH208" s="275"/>
      <c r="AI208" s="261"/>
      <c r="AJ208" s="262"/>
      <c r="AK208" s="264"/>
      <c r="AL208" s="188"/>
      <c r="AM208" s="28"/>
      <c r="AN208" s="222" t="b">
        <f>IF(BA206="","",IF(AND(BA206=3,F208=50,L206="oil cooled type"),VLOOKUP(L208,変３,2,FALSE),IF(AND(BA206=3,F208=50,L206="(F)molded type"),VLOOKUP(L208,変３,7,FALSE),IF(AND(BA206=3,F208=60,L206="oil cooled type"),VLOOKUP(L208,変３,12,FALSE),IF(AND(BA206=3,F208=60,L206="(F)molded type"),VLOOKUP(L208,変３,17,FALSE),FALSE)))))</f>
        <v>0</v>
      </c>
      <c r="AO208" s="215" t="str">
        <f>IF(AND(L202="",N(AY206)&lt;10^29),AY206,"")</f>
        <v/>
      </c>
      <c r="AP208" s="223" t="str">
        <f>IF(V206="","",IF(AND(N(V208)=0,N(AP207)=0),"",AQ208/((AQ208*AP207)^2+(AP207*AQ209-1)^2)))</f>
        <v/>
      </c>
      <c r="AQ208" s="213">
        <f>IF(N(V208)=0,10^30,V208)</f>
        <v>1E+30</v>
      </c>
      <c r="AR208" s="215" t="str">
        <f>IF(AB206="","",IF(AB206="600V IV",VLOOKUP(AB208,ＩＶ,2,FALSE),IF(AB206="600V CV-T",VLOOKUP(AB208,ＣＶＴ,2,FALSE),IF(OR(AB206="600V CV-1C",AB206="600V CV-2C",AB206="600V CV-3C",AB206="600V CV-4C"),VLOOKUP(AB208,ＣＶ２３Ｃ,2,FALSE),VLOOKUP(AB208,ＣＵＳＥＲ,2,FALSE)))))</f>
        <v/>
      </c>
      <c r="AS208" s="213" t="str">
        <f>IF(OR(AND(AS466="",AS467=""),AND(D206="",D466&lt;&gt;"")),AS206,(AS206*(AT466^2+AT467^2)+AT466*(AS206^2+AS207^2))/((AS206+AT466)^2+(AS207+AT467)^2))</f>
        <v/>
      </c>
      <c r="AT208" s="216" t="str">
        <f>IF(X209="",AS208,N(AS208)+(X209/1000))</f>
        <v/>
      </c>
      <c r="AU208" s="216" t="str">
        <f>IF(AU206="","",(AT208*(AU206^2+AU207^2)+AU206*(AT208^2+AT209^2))/((AT208+AU206)^2+(AT209+AU207)^2))</f>
        <v/>
      </c>
      <c r="AV208" s="216">
        <f>IF(BA208=0,1,0)</f>
        <v>1</v>
      </c>
      <c r="AW208" s="217" t="str">
        <f>IF(AO208="","",AW206+AO208)</f>
        <v/>
      </c>
      <c r="AX208" s="218" t="str">
        <f>IF(AND(AX204="",AW208&lt;&gt;""),BA208*SQRT(AW206^2+AW207^2)/SQRT(AW208^2+AW209^2),IF(BA208&lt;&gt;0,AX204,""))</f>
        <v/>
      </c>
      <c r="AY208" s="224">
        <f>IF(L208="",10^30,SQRT(BA206)*(BA208^2)*(N(AN206)+N(AN208)+N(AO206)+N(AV206))/(100000*L208*M206))</f>
        <v>1E+30</v>
      </c>
      <c r="AZ208" s="225"/>
      <c r="BA208" s="220">
        <f>IF(AND(J206="",SUM(S206:S209)&lt;&gt;0),BA204,J206)</f>
        <v>0</v>
      </c>
      <c r="BB208" s="221">
        <f t="shared" si="4"/>
        <v>0</v>
      </c>
      <c r="BC208" s="232"/>
      <c r="BD208" s="232"/>
    </row>
    <row r="209" spans="1:56" ht="15" customHeight="1">
      <c r="A209" s="85"/>
      <c r="B209" s="85"/>
      <c r="C209" s="271"/>
      <c r="D209" s="417"/>
      <c r="E209" s="418"/>
      <c r="F209" s="419"/>
      <c r="G209" s="270"/>
      <c r="H209" s="270"/>
      <c r="I209" s="270"/>
      <c r="J209" s="270"/>
      <c r="K209" s="268"/>
      <c r="L209" s="251" t="str">
        <f>IF(M206="","",L208*1000*M206/(SQRT(BA206)*BA208))</f>
        <v/>
      </c>
      <c r="M209" s="252"/>
      <c r="N209" s="277"/>
      <c r="O209" s="205"/>
      <c r="P209" s="106"/>
      <c r="Q209" s="206"/>
      <c r="R209" s="107"/>
      <c r="S209" s="108" t="str">
        <f>IF(R209="","",IF(Q209="",P209/R209,P209/(Q209*R209)))</f>
        <v/>
      </c>
      <c r="T209" s="207"/>
      <c r="U209" s="208" t="str">
        <f>IF(OR(BA208="",S209=""),"",S209*1000*T209/(SQRT(BA206)*BA208))</f>
        <v/>
      </c>
      <c r="V209" s="109" t="str">
        <f>IF(AND(N(U206)=0,N(U207)=0,N(U208)=0,N(U209)=0),"",IF(V206&gt;=0,SQRT(ABS(V206^2-V208^2)),-SQRT(V206^2-V208^2)))</f>
        <v/>
      </c>
      <c r="W209" s="277"/>
      <c r="X209" s="278" t="str">
        <f>IF(Y208="","",AQ206*Z208*AR206*((1+0.00393*(F209-20))/1.2751)/Y208)</f>
        <v/>
      </c>
      <c r="Y209" s="270"/>
      <c r="Z209" s="267" t="str">
        <f>IF(Y208="","",(BA209/50)*AQ206*Z208*AR207/Y208)</f>
        <v/>
      </c>
      <c r="AA209" s="252"/>
      <c r="AB209" s="279" t="str">
        <f>IF(AC208="","",AQ206*AD208*AR208*((1+0.00393*(F209-20))/1.2751)/AC208)</f>
        <v/>
      </c>
      <c r="AC209" s="270"/>
      <c r="AD209" s="267" t="str">
        <f>IF(AC208="","",(BA209/50)*AQ206*AD208*AR209/AC208)</f>
        <v/>
      </c>
      <c r="AE209" s="268"/>
      <c r="AF209" s="237" t="str">
        <f>IF(AND(AX206&lt;&gt;"",D206=""),AX206,"")</f>
        <v/>
      </c>
      <c r="AG209" s="269" t="str">
        <f>IF(AP208="","",AP208)</f>
        <v/>
      </c>
      <c r="AH209" s="270"/>
      <c r="AI209" s="238" t="str">
        <f>IF(AP209="","",AP209)</f>
        <v/>
      </c>
      <c r="AJ209" s="263"/>
      <c r="AK209" s="253"/>
      <c r="AL209" s="189"/>
      <c r="AM209" s="28"/>
      <c r="AN209" s="226" t="b">
        <f>IF(BA206="","",IF(AND(BA206=3,F208=50,L206="oil cooled type"),VLOOKUP(L208,変３,3,FALSE),IF(AND(BA206=3,F208=50,L206="(F)molded type"),VLOOKUP(L208,変３,8,FALSE),IF(AND(BA206=3,F208=60,L206="oil cooled type"),VLOOKUP(L208,変３,13,FALSE),IF(AND(BA206=3,F208=60,L206="(F)molded type"),VLOOKUP(L208,変３,18,FALSE),FALSE)))))</f>
        <v>0</v>
      </c>
      <c r="AO209" s="226" t="str">
        <f>IF(AND(L202="",N(AY207)&lt;10^29),AY207,"")</f>
        <v/>
      </c>
      <c r="AP209" s="227" t="str">
        <f>IF(V206="","",IF(AND(N(V209)=0,N(AP207)=0),0,(AQ209-AP207*(AQ208^2+AQ209^2))/((AQ208*AP207)^2+(AP207*AQ209-1)^2)))</f>
        <v/>
      </c>
      <c r="AQ209" s="228">
        <f>IF(N(V209)=0,10^30,V209)</f>
        <v>1E+30</v>
      </c>
      <c r="AR209" s="226" t="str">
        <f>IF(AB206="","",IF(AB206="600V IV",VLOOKUP(AB208,ＩＶ,3,FALSE),IF(AB206="600V CV-T",VLOOKUP(AB208,ＣＶＴ,3,FALSE),IF(OR(AB206="600V CV-1C",AB206="600V CV-2C",AB206="600V CV-3C",AB206="600V CV-4C"),VLOOKUP(AB208,ＣＶ２３Ｃ,3,FALSE),VLOOKUP(AB208,ＣＵＳＥＲ,3,FALSE)))))</f>
        <v/>
      </c>
      <c r="AS209" s="228" t="str">
        <f>IF(OR(AND(AS466="",AS467=""),AND(D206="",D466&lt;&gt;"")),AS207,(AS207*(AT466^2+AT467^2)+AT467*(AS206^2+AS207^2))/((AS206+AT466)^2+(AS207+AT467)^2))</f>
        <v/>
      </c>
      <c r="AT209" s="229" t="str">
        <f>IF(Z209="",AS209,N(AS209)+(Z209/1000))</f>
        <v/>
      </c>
      <c r="AU209" s="229" t="str">
        <f>IF(AU207="","",(AT209*(AU206^2+AU207^2)+AU207*(AT208^2+AT209^2))/((AT208+AU206)^2+(AT209+AU207)^2))</f>
        <v/>
      </c>
      <c r="AV209" s="229">
        <f>AV205+AV208</f>
        <v>48</v>
      </c>
      <c r="AW209" s="228" t="str">
        <f>IF(AO209="","",AW207+AO209)</f>
        <v/>
      </c>
      <c r="AX209" s="230"/>
      <c r="AY209" s="224">
        <f>IF(L208="",10^30,SQRT(BA206)*(BA208^2)*(N(AN207)+N(AN209)+N(AO207)+N(AV207))/(100000*L208*M206))</f>
        <v>1E+30</v>
      </c>
      <c r="AZ209" s="225"/>
      <c r="BA209" s="220">
        <f>IF(AND(F208="",SUM(S206:S209)&lt;&gt;0),BA205,F208)</f>
        <v>0</v>
      </c>
      <c r="BB209" s="221">
        <f t="shared" si="4"/>
        <v>0</v>
      </c>
      <c r="BC209" s="232"/>
      <c r="BD209" s="232"/>
    </row>
    <row r="210" spans="1:56" ht="15" customHeight="1">
      <c r="B210" s="85"/>
      <c r="C210" s="271" t="str">
        <f>IF(BC210=1,"●","・")</f>
        <v>・</v>
      </c>
      <c r="D210" s="402"/>
      <c r="E210" s="403"/>
      <c r="F210" s="404"/>
      <c r="G210" s="265" t="str">
        <f>IF(F210="","","φ")</f>
        <v/>
      </c>
      <c r="H210" s="405"/>
      <c r="I210" s="265" t="str">
        <f>IF(H210="","","W")</f>
        <v/>
      </c>
      <c r="J210" s="405"/>
      <c r="K210" s="272" t="str">
        <f>IF(J210="","","V")</f>
        <v/>
      </c>
      <c r="L210" s="406"/>
      <c r="M210" s="407"/>
      <c r="N210" s="408"/>
      <c r="O210" s="193"/>
      <c r="P210" s="86"/>
      <c r="Q210" s="194"/>
      <c r="R210" s="87"/>
      <c r="S210" s="88" t="str">
        <f>IF(R210="","",IF(Q210="",P210/R210,P210/(Q210*R210)))</f>
        <v/>
      </c>
      <c r="T210" s="195"/>
      <c r="U210" s="196" t="str">
        <f>IF(OR(BA212="",S210=""),"",S210*1000*T210/(SQRT(BA210)*BA212))</f>
        <v/>
      </c>
      <c r="V210" s="254" t="str">
        <f>IF(AND(N(U210)=0,N(U211)=0,N(U212)=0,N(U213)=0),"",BA212/(SUM(U210:U213)))</f>
        <v/>
      </c>
      <c r="W210" s="280"/>
      <c r="X210" s="281"/>
      <c r="Y210" s="242"/>
      <c r="Z210" s="243"/>
      <c r="AA210" s="239"/>
      <c r="AB210" s="241"/>
      <c r="AC210" s="242"/>
      <c r="AD210" s="243"/>
      <c r="AE210" s="247"/>
      <c r="AF210" s="233" t="str">
        <f>IF(OR(AND(AF206="",N(BA208)=0,BA212&lt;&gt;0),D210&lt;&gt;""),AX212/AQ211,"")</f>
        <v/>
      </c>
      <c r="AG210" s="249" t="str">
        <f>IF(BA212=0,"",IF(AD212="",AX210,IF(AND(D210&lt;&gt;"",AU210=""),AX212*SQRT(AP212^2+AP213^2)/SQRT(AS210^2+AS211^2)/AQ211,AX210*SQRT(AP212^2+AP213^2)/SQRT(AS210^2+AS211^2))))</f>
        <v/>
      </c>
      <c r="AH210" s="250"/>
      <c r="AI210" s="234" t="str">
        <f>IF(AG210="","",IF(N(U210)&lt;0,-AX210*AQ211/SQRT(AS210^2+AS211^2),AX210*AQ211/SQRT(AS210^2+AS211^2)))</f>
        <v/>
      </c>
      <c r="AJ210" s="256"/>
      <c r="AK210" s="257"/>
      <c r="AL210" s="186"/>
      <c r="AM210" s="28"/>
      <c r="AN210" s="213" t="b">
        <f>IF(BA210="","",IF(AND(BA210=1,F212=50,L210="oil cooled type"),VLOOKUP(L212,変１,2,FALSE),IF(AND(BA210=1,F212=50,L210="(F)molded type"),VLOOKUP(L212,変１,7,FALSE),IF(AND(BA210=1,F212=60,L210="oil cooled type"),VLOOKUP(L212,変１,12,FALSE),IF(AND(BA210=1,F212=60,L210="(F)molded type"),VLOOKUP(L212,変１,17,FALSE),FALSE)))))</f>
        <v>0</v>
      </c>
      <c r="AO210" s="213">
        <f>IF(ISNA(VLOOKUP(L212,変ＵＳＥＲ,2,FALSE)),0,VLOOKUP(L212,変ＵＳＥＲ,2,FALSE))</f>
        <v>0</v>
      </c>
      <c r="AP210" s="214">
        <f>IF(N210="",0,N210*1000/BA212^2/SQRT(BA210))</f>
        <v>0</v>
      </c>
      <c r="AQ210" s="213" t="b">
        <f>IF(BA210=1,2,IF(BA210=3,SQRT(3),FALSE))</f>
        <v>0</v>
      </c>
      <c r="AR210" s="215" t="str">
        <f>IF(X210="","",IF(X210="600V IV",VLOOKUP(X212,ＩＶ,2,FALSE),IF(X210="600V CV-T",VLOOKUP(X212,ＣＶＴ,2,FALSE),IF(OR(X210="600V CV-1C",X210="600V CV-2C",X210="600V CV-3C",X210="600V CV-4C"),VLOOKUP(X212,ＣＶ２３Ｃ,2,FALSE),VLOOKUP(X212,ＣＵＳＥＲ,2,FALSE)))))</f>
        <v/>
      </c>
      <c r="AS210" s="213" t="str">
        <f>IF(AB213="",AP212,AP212+(AB213/1000))</f>
        <v/>
      </c>
      <c r="AT210" s="216" t="str">
        <f>IF(AU212="",AT212,AU212)</f>
        <v/>
      </c>
      <c r="AU210" s="216" t="str">
        <f>IF(D210="","",IF(AND(D470="",#REF!&lt;&gt;"",AV213=#REF!),#REF!,IF(AND(D470="",#REF!="",#REF!&lt;&gt;"",AV473=#REF!),#REF!,IF(AND(D470="",#REF!="",#REF!="",#REF!&lt;&gt;"",#REF!=#REF!),#REF!,IF(AND(D470="",#REF!="",#REF!="",#REF!="",D474&lt;&gt;"",#REF!=#REF!),AT474,IF(AND(D470="",#REF!="",#REF!="",#REF!="",D474="",#REF!&lt;&gt;"",#REF!=AV478),#REF!,IF(AND(D470="",#REF!="",#REF!="",#REF!="",D474="",#REF!="",D479&lt;&gt;"",#REF!=AV482),AT479,"")))))))</f>
        <v/>
      </c>
      <c r="AV210" s="216" t="str">
        <f>IF(L210="ACG",IF(ISNA(VLOOKUP(L212,ＡＣＧ,2,FALSE)),0,VLOOKUP(L212,ＡＣＧ,2,FALSE)),"")</f>
        <v/>
      </c>
      <c r="AW210" s="217" t="str">
        <f>IF(AT210="","",AT210/((AT210*AP210)^2+(AT211*AP210-1)^2))</f>
        <v/>
      </c>
      <c r="AX210" s="218" t="str">
        <f>IF(BA212=0,"",IF(OR(AX206="",AF210&lt;&gt;""),AF210*SQRT(AS212^2+AS213^2)/SQRT(AT212^2+AT213^2),AX206*SQRT(AS212^2+AS213^2)/SQRT(AT212^2+AT213^2)))</f>
        <v/>
      </c>
      <c r="AY210" s="219">
        <f>IF(N(AY212)=10^30,10^30,IF(N(AY472)=10^30,(N(AY212)*(N(AY472)^2+N(AY473)^2)+N(AY472)*(N(AY212)^2+N(AY213)^2))/((N(AY212)+N(AY472))^2+(N(AY213)+N(AY473))^2),(N(AY212)*(N(AY470)^2+N(AY471)^2)+N(AY470)*(N(AY212)^2+N(AY213)^2))/((N(AY212)+N(AY470))^2+(N(AY213)+N(AY471))^2)))</f>
        <v>1E+30</v>
      </c>
      <c r="AZ210" s="23"/>
      <c r="BA210" s="220">
        <f>IF(AND(F210="",SUM(S210:S213)&lt;&gt;0),BA206,F210)</f>
        <v>0</v>
      </c>
      <c r="BB210" s="221">
        <f t="shared" si="4"/>
        <v>0</v>
      </c>
      <c r="BC210" s="232">
        <f>IF(OR(E210="",F213="",AND(OR(P210="",Q210="",R210="",T210=""),OR(P211="",Q211="",R211="",T211=""),OR(P212="",Q212="",R212="",T212=""),OR(P213="",Q213="",R213="",T213="")),AND(OR(X210="",X212="",Y212="",Z212=""),OR(AB210="",AB212="",AC212="",AD212=""))),0,1)</f>
        <v>0</v>
      </c>
      <c r="BD210" s="232">
        <f>BC210+BD206</f>
        <v>0</v>
      </c>
    </row>
    <row r="211" spans="1:56" ht="15" customHeight="1">
      <c r="B211" s="85"/>
      <c r="C211" s="271"/>
      <c r="D211" s="409"/>
      <c r="E211" s="362"/>
      <c r="F211" s="410"/>
      <c r="G211" s="266"/>
      <c r="H211" s="266"/>
      <c r="I211" s="266"/>
      <c r="J211" s="266"/>
      <c r="K211" s="273"/>
      <c r="L211" s="411"/>
      <c r="M211" s="197" t="str">
        <f>IF(L210="ACG",SQRT(AV210^2+AV211^2),IF(L212="","",IF(OR(L210="oil cooled type",L210="(F)molded type"),IF(BA210=1,SQRT(AN210^2+AN211^2),IF(BA210=3,SQRT(AN212^2+AN213^2))),SQRT(AO210^2+AO211^2))))</f>
        <v/>
      </c>
      <c r="N211" s="412"/>
      <c r="O211" s="198"/>
      <c r="P211" s="90"/>
      <c r="Q211" s="199"/>
      <c r="R211" s="91"/>
      <c r="S211" s="92" t="str">
        <f>IF(R212="","",IF(Q212="",P212/R212,P212/(Q212*R212)))</f>
        <v/>
      </c>
      <c r="T211" s="200"/>
      <c r="U211" s="201" t="str">
        <f>IF(OR(BA212="",S211=""),"",S211*1000*T211/(SQRT(BA210)*BA212))</f>
        <v/>
      </c>
      <c r="V211" s="255"/>
      <c r="W211" s="248"/>
      <c r="X211" s="258"/>
      <c r="Y211" s="245"/>
      <c r="Z211" s="246"/>
      <c r="AA211" s="240"/>
      <c r="AB211" s="244"/>
      <c r="AC211" s="245"/>
      <c r="AD211" s="246"/>
      <c r="AE211" s="248"/>
      <c r="AF211" s="235" t="str">
        <f>IF(OR(AF210="",AG206&lt;&gt;""),"",AF210*AQ211/SQRT(AT210^2+AT211^2))</f>
        <v/>
      </c>
      <c r="AG211" s="274" t="str">
        <f>IF(AG210="","",100*AG210*AQ211/BA212)</f>
        <v/>
      </c>
      <c r="AH211" s="275"/>
      <c r="AI211" s="260" t="str">
        <f>IF(BA212=0,"",IF(AI206="",AX212/SQRT(AT210^2+AT211^2),IF(AI214="","",IF(AT210&lt;0,-AX210*AQ207/SQRT(AT210^2+AT211^2),AX210*AQ207/SQRT(AT210^2+AT211^2)))))</f>
        <v/>
      </c>
      <c r="AJ211" s="258"/>
      <c r="AK211" s="259"/>
      <c r="AL211" s="187"/>
      <c r="AM211" s="28"/>
      <c r="AN211" s="213" t="b">
        <f>IF(BA210="","",IF(AND(BA210=1,F212=50,L210="oil cooled type"),VLOOKUP(L212,変１,3,FALSE),IF(AND(BA210=1,F212=50,L210="(F)molded type"),VLOOKUP(L212,変１,8,FALSE),IF(AND(BA210=1,F212=60,L210="oil cooled type"),VLOOKUP(L212,変１,13,FALSE),IF(AND(BA210=1,F212=60,L210="(F)molded type"),VLOOKUP(L212,変１,18,FALSE),FALSE)))))</f>
        <v>0</v>
      </c>
      <c r="AO211" s="213">
        <f>IF(ISNA(VLOOKUP(L212,変ＵＳＥＲ,3,FALSE)),0,VLOOKUP(L212,変ＵＳＥＲ,3,FALSE)*BA213/50)</f>
        <v>0</v>
      </c>
      <c r="AP211" s="214">
        <f>IF(W210="",0,W210*1000/BA212^2/SQRT(BA210))</f>
        <v>0</v>
      </c>
      <c r="AQ211" s="213">
        <f>IF(AND(BA210=1,BA211=2),1,IF(AND(BA210=3,BA211=3),1,IF(AND(BA210=1,BA211=3),2,IF(AND(BA210=3,BA211=4)*OR(BB210=1,BB211=1,BB212=1,BB213=1),1,SQRT(3)))))</f>
        <v>1.7320508075688772</v>
      </c>
      <c r="AR211" s="215" t="str">
        <f>IF(X210="","",IF(X210="600V IV",VLOOKUP(X212,ＩＶ,3,FALSE),IF(X210="600V CV-T",VLOOKUP(X212,ＣＶＴ,3,FALSE),IF(OR(X210="600V CV-1C",X210="600V CV-2C",X210="600V CV-3C",X210="600V CV-4C"),VLOOKUP(X212,ＣＶ２３Ｃ,3,FALSE),VLOOKUP(X212,ＣＵＳＥＲ,3,FALSE)))))</f>
        <v/>
      </c>
      <c r="AS211" s="213" t="str">
        <f>IF(AD213="",AP213,AP213+(AD213/1000))</f>
        <v/>
      </c>
      <c r="AT211" s="216" t="str">
        <f>IF(AU213="",AT213,AU213)</f>
        <v/>
      </c>
      <c r="AU211" s="216" t="str">
        <f>IF(D210="","",IF(AND(D470="",#REF!&lt;&gt;"",AV213=#REF!),#REF!,IF(AND(D470="",#REF!="",#REF!&lt;&gt;"",AV473=#REF!),#REF!,IF(AND(D470="",#REF!="",#REF!="",#REF!&lt;&gt;"",#REF!=#REF!),#REF!,IF(AND(D470="",#REF!="",#REF!="",#REF!="",D474&lt;&gt;"",#REF!=#REF!),AT475,IF(AND(D470="",#REF!="",#REF!="",#REF!="",D474="",#REF!&lt;&gt;"",#REF!=AV478),AT476,IF(AND(D470="",#REF!="",#REF!="",#REF!="",D474="",#REF!="",D479&lt;&gt;"",#REF!=AV482),AT480,"")))))))</f>
        <v/>
      </c>
      <c r="AV211" s="215" t="str">
        <f>IF(L210="ACG",IF(ISNA(VLOOKUP(L212,ＡＣＧ,3,FALSE)),0,VLOOKUP(L212,ＡＣＧ,3,FALSE)*BA213/50),"")</f>
        <v/>
      </c>
      <c r="AW211" s="217" t="str">
        <f>IF(AT211="","",(AT211-AP210*(AT210^2+AT211^2))/((AT210*AP210)^2+(AP210*AT211-1)^2))</f>
        <v/>
      </c>
      <c r="AX211" s="218"/>
      <c r="AY211" s="219">
        <f>IF(N(AY213)=10^30,10^30,IF(N(AY473)=10^30,(N(AY213)*(N(AY472)^2+N(AY473)^2)+N(AY473)*(N(AY212)^2+N(AY213)^2))/((N(AY212)+N(AY472))^2+(N(AY213)+N(AY473))^2),(N(AY213)*(N(AY470)^2+N(AY471)^2)+N(AY471)*(N(AY212)^2+N(AY213)^2))/((N(AY212)+N(AY470))^2+(N(AY213)+N(AY471))^2)))</f>
        <v>1E+30</v>
      </c>
      <c r="AZ211" s="23"/>
      <c r="BA211" s="220">
        <f>IF(AND(H210="",SUM(S210:S213)&lt;&gt;0),BA207,H210)</f>
        <v>0</v>
      </c>
      <c r="BB211" s="221">
        <f t="shared" si="4"/>
        <v>0</v>
      </c>
      <c r="BC211" s="232"/>
      <c r="BD211" s="232"/>
    </row>
    <row r="212" spans="1:56" ht="15" customHeight="1">
      <c r="B212" s="85"/>
      <c r="C212" s="271"/>
      <c r="D212" s="409"/>
      <c r="E212" s="362"/>
      <c r="F212" s="413"/>
      <c r="G212" s="414"/>
      <c r="H212" s="414"/>
      <c r="I212" s="414"/>
      <c r="J212" s="414"/>
      <c r="K212" s="415"/>
      <c r="L212" s="416"/>
      <c r="M212" s="275"/>
      <c r="N212" s="412"/>
      <c r="O212" s="198"/>
      <c r="P212" s="93"/>
      <c r="Q212" s="202"/>
      <c r="R212" s="91"/>
      <c r="S212" s="92" t="str">
        <f>IF(R213="","",IF(Q213="",P213/R213,P213/(Q213*R213)))</f>
        <v/>
      </c>
      <c r="T212" s="200"/>
      <c r="U212" s="203" t="str">
        <f>IF(OR(BA212="",S212=""),"",S212*1000*T212/(SQRT(BA210)*BA212))</f>
        <v/>
      </c>
      <c r="V212" s="94" t="str">
        <f>IF(AND(N(U210)=0,N(U211)=0,N(U212)=0,N(U213)=0),"",V210*(P210*R210*T210+P211*R211*T211+P212*R212*T212+P213*R213*T213)/(P210*T210+P211*T211+P212*T212+P213*T213))</f>
        <v/>
      </c>
      <c r="W212" s="276" t="str">
        <f>IF(AND(N(AP212)=0,N(AP213)=0,N(AP211)=0),"",IF(AP213&gt;=0,COS(ATAN(AP213/AP212)),-COS(ATAN(AP213/AP212))))</f>
        <v/>
      </c>
      <c r="X212" s="95"/>
      <c r="Y212" s="204"/>
      <c r="Z212" s="96"/>
      <c r="AA212" s="97"/>
      <c r="AB212" s="98"/>
      <c r="AC212" s="204"/>
      <c r="AD212" s="96"/>
      <c r="AE212" s="99"/>
      <c r="AF212" s="236" t="str">
        <f>IF(OR(AF210="",AG206&lt;&gt;""),"",BA212/SQRT(AW212^2+AW213^2))</f>
        <v/>
      </c>
      <c r="AG212" s="274" t="str">
        <f>IF(AG210="","",100*((BA212/AQ211)-AG210)/(BA212/AQ211))</f>
        <v/>
      </c>
      <c r="AH212" s="275"/>
      <c r="AI212" s="261"/>
      <c r="AJ212" s="262"/>
      <c r="AK212" s="264"/>
      <c r="AL212" s="188"/>
      <c r="AM212" s="28"/>
      <c r="AN212" s="222" t="b">
        <f>IF(BA210="","",IF(AND(BA210=3,F212=50,L210="oil cooled type"),VLOOKUP(L212,変３,2,FALSE),IF(AND(BA210=3,F212=50,L210="(F)molded type"),VLOOKUP(L212,変３,7,FALSE),IF(AND(BA210=3,F212=60,L210="oil cooled type"),VLOOKUP(L212,変３,12,FALSE),IF(AND(BA210=3,F212=60,L210="(F)molded type"),VLOOKUP(L212,変３,17,FALSE),FALSE)))))</f>
        <v>0</v>
      </c>
      <c r="AO212" s="215" t="str">
        <f>IF(AND(L206="",N(AY210)&lt;10^29),AY210,"")</f>
        <v/>
      </c>
      <c r="AP212" s="223" t="str">
        <f>IF(V210="","",IF(AND(N(V212)=0,N(AP211)=0),"",AQ212/((AQ212*AP211)^2+(AP211*AQ213-1)^2)))</f>
        <v/>
      </c>
      <c r="AQ212" s="213">
        <f>IF(N(V212)=0,10^30,V212)</f>
        <v>1E+30</v>
      </c>
      <c r="AR212" s="215" t="str">
        <f>IF(AB210="","",IF(AB210="600V IV",VLOOKUP(AB212,ＩＶ,2,FALSE),IF(AB210="600V CV-T",VLOOKUP(AB212,ＣＶＴ,2,FALSE),IF(OR(AB210="600V CV-1C",AB210="600V CV-2C",AB210="600V CV-3C",AB210="600V CV-4C"),VLOOKUP(AB212,ＣＶ２３Ｃ,2,FALSE),VLOOKUP(AB212,ＣＵＳＥＲ,2,FALSE)))))</f>
        <v/>
      </c>
      <c r="AS212" s="213" t="str">
        <f>IF(OR(AND(AS470="",AS471=""),AND(D210="",D470&lt;&gt;"")),AS210,(AS210*(AT470^2+AT471^2)+AT470*(AS210^2+AS211^2))/((AS210+AT470)^2+(AS211+AT471)^2))</f>
        <v/>
      </c>
      <c r="AT212" s="216" t="str">
        <f>IF(X213="",AS212,N(AS212)+(X213/1000))</f>
        <v/>
      </c>
      <c r="AU212" s="216" t="str">
        <f>IF(AU210="","",(AT212*(AU210^2+AU211^2)+AU210*(AT212^2+AT213^2))/((AT212+AU210)^2+(AT213+AU211)^2))</f>
        <v/>
      </c>
      <c r="AV212" s="216">
        <f>IF(BA212=0,1,0)</f>
        <v>1</v>
      </c>
      <c r="AW212" s="217" t="str">
        <f>IF(AO212="","",AW210+AO212)</f>
        <v/>
      </c>
      <c r="AX212" s="218" t="str">
        <f>IF(AND(AX208="",AW212&lt;&gt;""),BA212*SQRT(AW210^2+AW211^2)/SQRT(AW212^2+AW213^2),IF(BA212&lt;&gt;0,AX208,""))</f>
        <v/>
      </c>
      <c r="AY212" s="224">
        <f>IF(L212="",10^30,SQRT(BA210)*(BA212^2)*(N(AN210)+N(AN212)+N(AO210)+N(AV210))/(100000*L212*M210))</f>
        <v>1E+30</v>
      </c>
      <c r="AZ212" s="225"/>
      <c r="BA212" s="220">
        <f>IF(AND(J210="",SUM(S210:S213)&lt;&gt;0),BA208,J210)</f>
        <v>0</v>
      </c>
      <c r="BB212" s="221">
        <f t="shared" si="4"/>
        <v>0</v>
      </c>
      <c r="BC212" s="232"/>
      <c r="BD212" s="232"/>
    </row>
    <row r="213" spans="1:56" ht="15" customHeight="1">
      <c r="A213" s="85"/>
      <c r="B213" s="85"/>
      <c r="C213" s="271"/>
      <c r="D213" s="417"/>
      <c r="E213" s="418"/>
      <c r="F213" s="419"/>
      <c r="G213" s="270"/>
      <c r="H213" s="270"/>
      <c r="I213" s="270"/>
      <c r="J213" s="270"/>
      <c r="K213" s="268"/>
      <c r="L213" s="251" t="str">
        <f>IF(M210="","",L212*1000*M210/(SQRT(BA210)*BA212))</f>
        <v/>
      </c>
      <c r="M213" s="252"/>
      <c r="N213" s="277"/>
      <c r="O213" s="205"/>
      <c r="P213" s="106"/>
      <c r="Q213" s="206"/>
      <c r="R213" s="107"/>
      <c r="S213" s="108" t="str">
        <f>IF(R213="","",IF(Q213="",P213/R213,P213/(Q213*R213)))</f>
        <v/>
      </c>
      <c r="T213" s="207"/>
      <c r="U213" s="208" t="str">
        <f>IF(OR(BA212="",S213=""),"",S213*1000*T213/(SQRT(BA210)*BA212))</f>
        <v/>
      </c>
      <c r="V213" s="109" t="str">
        <f>IF(AND(N(U210)=0,N(U211)=0,N(U212)=0,N(U213)=0),"",IF(V210&gt;=0,SQRT(ABS(V210^2-V212^2)),-SQRT(V210^2-V212^2)))</f>
        <v/>
      </c>
      <c r="W213" s="277"/>
      <c r="X213" s="278" t="str">
        <f>IF(Y212="","",AQ210*Z212*AR210*((1+0.00393*(F213-20))/1.2751)/Y212)</f>
        <v/>
      </c>
      <c r="Y213" s="270"/>
      <c r="Z213" s="267" t="str">
        <f>IF(Y212="","",(BA213/50)*AQ210*Z212*AR211/Y212)</f>
        <v/>
      </c>
      <c r="AA213" s="252"/>
      <c r="AB213" s="279" t="str">
        <f>IF(AC212="","",AQ210*AD212*AR212*((1+0.00393*(F213-20))/1.2751)/AC212)</f>
        <v/>
      </c>
      <c r="AC213" s="270"/>
      <c r="AD213" s="267" t="str">
        <f>IF(AC212="","",(BA213/50)*AQ210*AD212*AR213/AC212)</f>
        <v/>
      </c>
      <c r="AE213" s="268"/>
      <c r="AF213" s="237" t="str">
        <f>IF(AND(AX210&lt;&gt;"",D210=""),AX210,"")</f>
        <v/>
      </c>
      <c r="AG213" s="269" t="str">
        <f>IF(AP212="","",AP212)</f>
        <v/>
      </c>
      <c r="AH213" s="270"/>
      <c r="AI213" s="238" t="str">
        <f>IF(AP213="","",AP213)</f>
        <v/>
      </c>
      <c r="AJ213" s="263"/>
      <c r="AK213" s="253"/>
      <c r="AL213" s="189"/>
      <c r="AM213" s="28"/>
      <c r="AN213" s="226" t="b">
        <f>IF(BA210="","",IF(AND(BA210=3,F212=50,L210="oil cooled type"),VLOOKUP(L212,変３,3,FALSE),IF(AND(BA210=3,F212=50,L210="(F)molded type"),VLOOKUP(L212,変３,8,FALSE),IF(AND(BA210=3,F212=60,L210="oil cooled type"),VLOOKUP(L212,変３,13,FALSE),IF(AND(BA210=3,F212=60,L210="(F)molded type"),VLOOKUP(L212,変３,18,FALSE),FALSE)))))</f>
        <v>0</v>
      </c>
      <c r="AO213" s="226" t="str">
        <f>IF(AND(L206="",N(AY211)&lt;10^29),AY211,"")</f>
        <v/>
      </c>
      <c r="AP213" s="227" t="str">
        <f>IF(V210="","",IF(AND(N(V213)=0,N(AP211)=0),0,(AQ213-AP211*(AQ212^2+AQ213^2))/((AQ212*AP211)^2+(AP211*AQ213-1)^2)))</f>
        <v/>
      </c>
      <c r="AQ213" s="228">
        <f>IF(N(V213)=0,10^30,V213)</f>
        <v>1E+30</v>
      </c>
      <c r="AR213" s="226" t="str">
        <f>IF(AB210="","",IF(AB210="600V IV",VLOOKUP(AB212,ＩＶ,3,FALSE),IF(AB210="600V CV-T",VLOOKUP(AB212,ＣＶＴ,3,FALSE),IF(OR(AB210="600V CV-1C",AB210="600V CV-2C",AB210="600V CV-3C",AB210="600V CV-4C"),VLOOKUP(AB212,ＣＶ２３Ｃ,3,FALSE),VLOOKUP(AB212,ＣＵＳＥＲ,3,FALSE)))))</f>
        <v/>
      </c>
      <c r="AS213" s="228" t="str">
        <f>IF(OR(AND(AS470="",AS471=""),AND(D210="",D470&lt;&gt;"")),AS211,(AS211*(AT470^2+AT471^2)+AT471*(AS210^2+AS211^2))/((AS210+AT470)^2+(AS211+AT471)^2))</f>
        <v/>
      </c>
      <c r="AT213" s="229" t="str">
        <f>IF(Z213="",AS213,N(AS213)+(Z213/1000))</f>
        <v/>
      </c>
      <c r="AU213" s="229" t="str">
        <f>IF(AU211="","",(AT213*(AU210^2+AU211^2)+AU211*(AT212^2+AT213^2))/((AT212+AU210)^2+(AT213+AU211)^2))</f>
        <v/>
      </c>
      <c r="AV213" s="229">
        <f>AV209+AV212</f>
        <v>49</v>
      </c>
      <c r="AW213" s="228" t="str">
        <f>IF(AO213="","",AW211+AO213)</f>
        <v/>
      </c>
      <c r="AX213" s="230"/>
      <c r="AY213" s="224">
        <f>IF(L212="",10^30,SQRT(BA210)*(BA212^2)*(N(AN211)+N(AN213)+N(AO211)+N(AV211))/(100000*L212*M210))</f>
        <v>1E+30</v>
      </c>
      <c r="AZ213" s="225"/>
      <c r="BA213" s="220">
        <f>IF(AND(F212="",SUM(S210:S213)&lt;&gt;0),BA209,F212)</f>
        <v>0</v>
      </c>
      <c r="BB213" s="221">
        <f t="shared" si="4"/>
        <v>0</v>
      </c>
      <c r="BC213" s="232"/>
      <c r="BD213" s="232"/>
    </row>
    <row r="214" spans="1:56" ht="15" customHeight="1">
      <c r="B214" s="85"/>
      <c r="C214" s="271" t="str">
        <f>IF(BC214=1,"●","・")</f>
        <v>・</v>
      </c>
      <c r="D214" s="402"/>
      <c r="E214" s="403"/>
      <c r="F214" s="404"/>
      <c r="G214" s="265" t="str">
        <f>IF(F214="","","φ")</f>
        <v/>
      </c>
      <c r="H214" s="405"/>
      <c r="I214" s="265" t="str">
        <f>IF(H214="","","W")</f>
        <v/>
      </c>
      <c r="J214" s="405"/>
      <c r="K214" s="272" t="str">
        <f>IF(J214="","","V")</f>
        <v/>
      </c>
      <c r="L214" s="406"/>
      <c r="M214" s="407"/>
      <c r="N214" s="408"/>
      <c r="O214" s="193"/>
      <c r="P214" s="86"/>
      <c r="Q214" s="194"/>
      <c r="R214" s="87"/>
      <c r="S214" s="88" t="str">
        <f>IF(R214="","",IF(Q214="",P214/R214,P214/(Q214*R214)))</f>
        <v/>
      </c>
      <c r="T214" s="195"/>
      <c r="U214" s="196" t="str">
        <f>IF(OR(BA216="",S214=""),"",S214*1000*T214/(SQRT(BA214)*BA216))</f>
        <v/>
      </c>
      <c r="V214" s="254" t="str">
        <f>IF(AND(N(U214)=0,N(U215)=0,N(U216)=0,N(U217)=0),"",BA216/(SUM(U214:U217)))</f>
        <v/>
      </c>
      <c r="W214" s="280"/>
      <c r="X214" s="281"/>
      <c r="Y214" s="242"/>
      <c r="Z214" s="243"/>
      <c r="AA214" s="239"/>
      <c r="AB214" s="241"/>
      <c r="AC214" s="242"/>
      <c r="AD214" s="243"/>
      <c r="AE214" s="247"/>
      <c r="AF214" s="233" t="str">
        <f>IF(OR(AND(AF210="",N(BA212)=0,BA216&lt;&gt;0),D214&lt;&gt;""),AX216/AQ215,"")</f>
        <v/>
      </c>
      <c r="AG214" s="249" t="str">
        <f>IF(BA216=0,"",IF(AD216="",AX214,IF(AND(D214&lt;&gt;"",AU214=""),AX216*SQRT(AP216^2+AP217^2)/SQRT(AS214^2+AS215^2)/AQ215,AX214*SQRT(AP216^2+AP217^2)/SQRT(AS214^2+AS215^2))))</f>
        <v/>
      </c>
      <c r="AH214" s="250"/>
      <c r="AI214" s="234" t="str">
        <f>IF(AG214="","",IF(N(U214)&lt;0,-AX214*AQ215/SQRT(AS214^2+AS215^2),AX214*AQ215/SQRT(AS214^2+AS215^2)))</f>
        <v/>
      </c>
      <c r="AJ214" s="256"/>
      <c r="AK214" s="257"/>
      <c r="AL214" s="186"/>
      <c r="AM214" s="28"/>
      <c r="AN214" s="213" t="b">
        <f>IF(BA214="","",IF(AND(BA214=1,F216=50,L214="oil cooled type"),VLOOKUP(L216,変１,2,FALSE),IF(AND(BA214=1,F216=50,L214="(F)molded type"),VLOOKUP(L216,変１,7,FALSE),IF(AND(BA214=1,F216=60,L214="oil cooled type"),VLOOKUP(L216,変１,12,FALSE),IF(AND(BA214=1,F216=60,L214="(F)molded type"),VLOOKUP(L216,変１,17,FALSE),FALSE)))))</f>
        <v>0</v>
      </c>
      <c r="AO214" s="213">
        <f>IF(ISNA(VLOOKUP(L216,変ＵＳＥＲ,2,FALSE)),0,VLOOKUP(L216,変ＵＳＥＲ,2,FALSE))</f>
        <v>0</v>
      </c>
      <c r="AP214" s="214">
        <f>IF(N214="",0,N214*1000/BA216^2/SQRT(BA214))</f>
        <v>0</v>
      </c>
      <c r="AQ214" s="213" t="b">
        <f>IF(BA214=1,2,IF(BA214=3,SQRT(3),FALSE))</f>
        <v>0</v>
      </c>
      <c r="AR214" s="215" t="str">
        <f>IF(X214="","",IF(X214="600V IV",VLOOKUP(X216,ＩＶ,2,FALSE),IF(X214="600V CV-T",VLOOKUP(X216,ＣＶＴ,2,FALSE),IF(OR(X214="600V CV-1C",X214="600V CV-2C",X214="600V CV-3C",X214="600V CV-4C"),VLOOKUP(X216,ＣＶ２３Ｃ,2,FALSE),VLOOKUP(X216,ＣＵＳＥＲ,2,FALSE)))))</f>
        <v/>
      </c>
      <c r="AS214" s="213" t="str">
        <f>IF(AB217="",AP216,AP216+(AB217/1000))</f>
        <v/>
      </c>
      <c r="AT214" s="216" t="str">
        <f>IF(AU216="",AT216,AU216)</f>
        <v/>
      </c>
      <c r="AU214" s="216" t="str">
        <f>IF(D214="","",IF(AND(D474="",#REF!&lt;&gt;"",AV217=#REF!),#REF!,IF(AND(D474="",#REF!="",#REF!&lt;&gt;"",AV477=#REF!),#REF!,IF(AND(D474="",#REF!="",#REF!="",#REF!&lt;&gt;"",#REF!=#REF!),#REF!,IF(AND(D474="",#REF!="",#REF!="",#REF!="",D478&lt;&gt;"",#REF!=#REF!),AT478,IF(AND(D474="",#REF!="",#REF!="",#REF!="",D478="",#REF!&lt;&gt;"",#REF!=AV482),#REF!,IF(AND(D474="",#REF!="",#REF!="",#REF!="",D478="",#REF!="",D483&lt;&gt;"",#REF!=AV486),AT483,"")))))))</f>
        <v/>
      </c>
      <c r="AV214" s="216" t="str">
        <f>IF(L214="ACG",IF(ISNA(VLOOKUP(L216,ＡＣＧ,2,FALSE)),0,VLOOKUP(L216,ＡＣＧ,2,FALSE)),"")</f>
        <v/>
      </c>
      <c r="AW214" s="217" t="str">
        <f>IF(AT214="","",AT214/((AT214*AP214)^2+(AT215*AP214-1)^2))</f>
        <v/>
      </c>
      <c r="AX214" s="218" t="str">
        <f>IF(BA216=0,"",IF(OR(AX210="",AF214&lt;&gt;""),AF214*SQRT(AS216^2+AS217^2)/SQRT(AT216^2+AT217^2),AX210*SQRT(AS216^2+AS217^2)/SQRT(AT216^2+AT217^2)))</f>
        <v/>
      </c>
      <c r="AY214" s="219">
        <f>IF(N(AY216)=10^30,10^30,IF(N(AY476)=10^30,(N(AY216)*(N(AY476)^2+N(AY477)^2)+N(AY476)*(N(AY216)^2+N(AY217)^2))/((N(AY216)+N(AY476))^2+(N(AY217)+N(AY477))^2),(N(AY216)*(N(AY474)^2+N(AY475)^2)+N(AY474)*(N(AY216)^2+N(AY217)^2))/((N(AY216)+N(AY474))^2+(N(AY217)+N(AY475))^2)))</f>
        <v>1E+30</v>
      </c>
      <c r="AZ214" s="23"/>
      <c r="BA214" s="220">
        <f>IF(AND(F214="",SUM(S214:S217)&lt;&gt;0),BA210,F214)</f>
        <v>0</v>
      </c>
      <c r="BB214" s="221">
        <f t="shared" si="4"/>
        <v>0</v>
      </c>
      <c r="BC214" s="232">
        <f>IF(OR(E214="",F217="",AND(OR(P214="",Q214="",R214="",T214=""),OR(P215="",Q215="",R215="",T215=""),OR(P216="",Q216="",R216="",T216=""),OR(P217="",Q217="",R217="",T217="")),AND(OR(X214="",X216="",Y216="",Z216=""),OR(AB214="",AB216="",AC216="",AD216=""))),0,1)</f>
        <v>0</v>
      </c>
      <c r="BD214" s="232">
        <f>BC214+BD210</f>
        <v>0</v>
      </c>
    </row>
    <row r="215" spans="1:56" ht="15" customHeight="1">
      <c r="B215" s="85"/>
      <c r="C215" s="271"/>
      <c r="D215" s="409"/>
      <c r="E215" s="362"/>
      <c r="F215" s="410"/>
      <c r="G215" s="266"/>
      <c r="H215" s="266"/>
      <c r="I215" s="266"/>
      <c r="J215" s="266"/>
      <c r="K215" s="273"/>
      <c r="L215" s="411"/>
      <c r="M215" s="197" t="str">
        <f>IF(L214="ACG",SQRT(AV214^2+AV215^2),IF(L216="","",IF(OR(L214="oil cooled type",L214="(F)molded type"),IF(BA214=1,SQRT(AN214^2+AN215^2),IF(BA214=3,SQRT(AN216^2+AN217^2))),SQRT(AO214^2+AO215^2))))</f>
        <v/>
      </c>
      <c r="N215" s="412"/>
      <c r="O215" s="198"/>
      <c r="P215" s="90"/>
      <c r="Q215" s="199"/>
      <c r="R215" s="91"/>
      <c r="S215" s="92" t="str">
        <f>IF(R216="","",IF(Q216="",P216/R216,P216/(Q216*R216)))</f>
        <v/>
      </c>
      <c r="T215" s="200"/>
      <c r="U215" s="201" t="str">
        <f>IF(OR(BA216="",S215=""),"",S215*1000*T215/(SQRT(BA214)*BA216))</f>
        <v/>
      </c>
      <c r="V215" s="255"/>
      <c r="W215" s="248"/>
      <c r="X215" s="258"/>
      <c r="Y215" s="245"/>
      <c r="Z215" s="246"/>
      <c r="AA215" s="240"/>
      <c r="AB215" s="244"/>
      <c r="AC215" s="245"/>
      <c r="AD215" s="246"/>
      <c r="AE215" s="248"/>
      <c r="AF215" s="235" t="str">
        <f>IF(OR(AF214="",AG210&lt;&gt;""),"",AF214*AQ215/SQRT(AT214^2+AT215^2))</f>
        <v/>
      </c>
      <c r="AG215" s="274" t="str">
        <f>IF(AG214="","",100*AG214*AQ215/BA216)</f>
        <v/>
      </c>
      <c r="AH215" s="275"/>
      <c r="AI215" s="260" t="str">
        <f>IF(BA216=0,"",IF(AI210="",AX216/SQRT(AT214^2+AT215^2),IF(AI218="","",IF(AT214&lt;0,-AX214*AQ211/SQRT(AT214^2+AT215^2),AX214*AQ211/SQRT(AT214^2+AT215^2)))))</f>
        <v/>
      </c>
      <c r="AJ215" s="258"/>
      <c r="AK215" s="259"/>
      <c r="AL215" s="187"/>
      <c r="AM215" s="28"/>
      <c r="AN215" s="213" t="b">
        <f>IF(BA214="","",IF(AND(BA214=1,F216=50,L214="oil cooled type"),VLOOKUP(L216,変１,3,FALSE),IF(AND(BA214=1,F216=50,L214="(F)molded type"),VLOOKUP(L216,変１,8,FALSE),IF(AND(BA214=1,F216=60,L214="oil cooled type"),VLOOKUP(L216,変１,13,FALSE),IF(AND(BA214=1,F216=60,L214="(F)molded type"),VLOOKUP(L216,変１,18,FALSE),FALSE)))))</f>
        <v>0</v>
      </c>
      <c r="AO215" s="213">
        <f>IF(ISNA(VLOOKUP(L216,変ＵＳＥＲ,3,FALSE)),0,VLOOKUP(L216,変ＵＳＥＲ,3,FALSE)*BA217/50)</f>
        <v>0</v>
      </c>
      <c r="AP215" s="214">
        <f>IF(W214="",0,W214*1000/BA216^2/SQRT(BA214))</f>
        <v>0</v>
      </c>
      <c r="AQ215" s="213">
        <f>IF(AND(BA214=1,BA215=2),1,IF(AND(BA214=3,BA215=3),1,IF(AND(BA214=1,BA215=3),2,IF(AND(BA214=3,BA215=4)*OR(BB214=1,BB215=1,BB216=1,BB217=1),1,SQRT(3)))))</f>
        <v>1.7320508075688772</v>
      </c>
      <c r="AR215" s="215" t="str">
        <f>IF(X214="","",IF(X214="600V IV",VLOOKUP(X216,ＩＶ,3,FALSE),IF(X214="600V CV-T",VLOOKUP(X216,ＣＶＴ,3,FALSE),IF(OR(X214="600V CV-1C",X214="600V CV-2C",X214="600V CV-3C",X214="600V CV-4C"),VLOOKUP(X216,ＣＶ２３Ｃ,3,FALSE),VLOOKUP(X216,ＣＵＳＥＲ,3,FALSE)))))</f>
        <v/>
      </c>
      <c r="AS215" s="213" t="str">
        <f>IF(AD217="",AP217,AP217+(AD217/1000))</f>
        <v/>
      </c>
      <c r="AT215" s="216" t="str">
        <f>IF(AU217="",AT217,AU217)</f>
        <v/>
      </c>
      <c r="AU215" s="216" t="str">
        <f>IF(D214="","",IF(AND(D474="",#REF!&lt;&gt;"",AV217=#REF!),#REF!,IF(AND(D474="",#REF!="",#REF!&lt;&gt;"",AV477=#REF!),#REF!,IF(AND(D474="",#REF!="",#REF!="",#REF!&lt;&gt;"",#REF!=#REF!),#REF!,IF(AND(D474="",#REF!="",#REF!="",#REF!="",D478&lt;&gt;"",#REF!=#REF!),AT479,IF(AND(D474="",#REF!="",#REF!="",#REF!="",D478="",#REF!&lt;&gt;"",#REF!=AV482),AT480,IF(AND(D474="",#REF!="",#REF!="",#REF!="",D478="",#REF!="",D483&lt;&gt;"",#REF!=AV486),AT484,"")))))))</f>
        <v/>
      </c>
      <c r="AV215" s="215" t="str">
        <f>IF(L214="ACG",IF(ISNA(VLOOKUP(L216,ＡＣＧ,3,FALSE)),0,VLOOKUP(L216,ＡＣＧ,3,FALSE)*BA217/50),"")</f>
        <v/>
      </c>
      <c r="AW215" s="217" t="str">
        <f>IF(AT215="","",(AT215-AP214*(AT214^2+AT215^2))/((AT214*AP214)^2+(AP214*AT215-1)^2))</f>
        <v/>
      </c>
      <c r="AX215" s="218"/>
      <c r="AY215" s="219">
        <f>IF(N(AY217)=10^30,10^30,IF(N(AY477)=10^30,(N(AY217)*(N(AY476)^2+N(AY477)^2)+N(AY477)*(N(AY216)^2+N(AY217)^2))/((N(AY216)+N(AY476))^2+(N(AY217)+N(AY477))^2),(N(AY217)*(N(AY474)^2+N(AY475)^2)+N(AY475)*(N(AY216)^2+N(AY217)^2))/((N(AY216)+N(AY474))^2+(N(AY217)+N(AY475))^2)))</f>
        <v>1E+30</v>
      </c>
      <c r="AZ215" s="23"/>
      <c r="BA215" s="220">
        <f>IF(AND(H214="",SUM(S214:S217)&lt;&gt;0),BA211,H214)</f>
        <v>0</v>
      </c>
      <c r="BB215" s="221">
        <f t="shared" si="4"/>
        <v>0</v>
      </c>
      <c r="BC215" s="232"/>
      <c r="BD215" s="232"/>
    </row>
    <row r="216" spans="1:56" ht="15" customHeight="1">
      <c r="B216" s="85"/>
      <c r="C216" s="271"/>
      <c r="D216" s="409"/>
      <c r="E216" s="362"/>
      <c r="F216" s="413"/>
      <c r="G216" s="414"/>
      <c r="H216" s="414"/>
      <c r="I216" s="414"/>
      <c r="J216" s="414"/>
      <c r="K216" s="415"/>
      <c r="L216" s="416"/>
      <c r="M216" s="275"/>
      <c r="N216" s="412"/>
      <c r="O216" s="198"/>
      <c r="P216" s="93"/>
      <c r="Q216" s="202"/>
      <c r="R216" s="91"/>
      <c r="S216" s="92" t="str">
        <f>IF(R217="","",IF(Q217="",P217/R217,P217/(Q217*R217)))</f>
        <v/>
      </c>
      <c r="T216" s="200"/>
      <c r="U216" s="203" t="str">
        <f>IF(OR(BA216="",S216=""),"",S216*1000*T216/(SQRT(BA214)*BA216))</f>
        <v/>
      </c>
      <c r="V216" s="94" t="str">
        <f>IF(AND(N(U214)=0,N(U215)=0,N(U216)=0,N(U217)=0),"",V214*(P214*R214*T214+P215*R215*T215+P216*R216*T216+P217*R217*T217)/(P214*T214+P215*T215+P216*T216+P217*T217))</f>
        <v/>
      </c>
      <c r="W216" s="276" t="str">
        <f>IF(AND(N(AP216)=0,N(AP217)=0,N(AP215)=0),"",IF(AP217&gt;=0,COS(ATAN(AP217/AP216)),-COS(ATAN(AP217/AP216))))</f>
        <v/>
      </c>
      <c r="X216" s="95"/>
      <c r="Y216" s="204"/>
      <c r="Z216" s="96"/>
      <c r="AA216" s="97"/>
      <c r="AB216" s="98"/>
      <c r="AC216" s="204"/>
      <c r="AD216" s="96"/>
      <c r="AE216" s="99"/>
      <c r="AF216" s="236" t="str">
        <f>IF(OR(AF214="",AG210&lt;&gt;""),"",BA216/SQRT(AW216^2+AW217^2))</f>
        <v/>
      </c>
      <c r="AG216" s="274" t="str">
        <f>IF(AG214="","",100*((BA216/AQ215)-AG214)/(BA216/AQ215))</f>
        <v/>
      </c>
      <c r="AH216" s="275"/>
      <c r="AI216" s="261"/>
      <c r="AJ216" s="262"/>
      <c r="AK216" s="264"/>
      <c r="AL216" s="188"/>
      <c r="AM216" s="28"/>
      <c r="AN216" s="222" t="b">
        <f>IF(BA214="","",IF(AND(BA214=3,F216=50,L214="oil cooled type"),VLOOKUP(L216,変３,2,FALSE),IF(AND(BA214=3,F216=50,L214="(F)molded type"),VLOOKUP(L216,変３,7,FALSE),IF(AND(BA214=3,F216=60,L214="oil cooled type"),VLOOKUP(L216,変３,12,FALSE),IF(AND(BA214=3,F216=60,L214="(F)molded type"),VLOOKUP(L216,変３,17,FALSE),FALSE)))))</f>
        <v>0</v>
      </c>
      <c r="AO216" s="215" t="str">
        <f>IF(AND(L210="",N(AY214)&lt;10^29),AY214,"")</f>
        <v/>
      </c>
      <c r="AP216" s="223" t="str">
        <f>IF(V214="","",IF(AND(N(V216)=0,N(AP215)=0),"",AQ216/((AQ216*AP215)^2+(AP215*AQ217-1)^2)))</f>
        <v/>
      </c>
      <c r="AQ216" s="213">
        <f>IF(N(V216)=0,10^30,V216)</f>
        <v>1E+30</v>
      </c>
      <c r="AR216" s="215" t="str">
        <f>IF(AB214="","",IF(AB214="600V IV",VLOOKUP(AB216,ＩＶ,2,FALSE),IF(AB214="600V CV-T",VLOOKUP(AB216,ＣＶＴ,2,FALSE),IF(OR(AB214="600V CV-1C",AB214="600V CV-2C",AB214="600V CV-3C",AB214="600V CV-4C"),VLOOKUP(AB216,ＣＶ２３Ｃ,2,FALSE),VLOOKUP(AB216,ＣＵＳＥＲ,2,FALSE)))))</f>
        <v/>
      </c>
      <c r="AS216" s="213" t="str">
        <f>IF(OR(AND(AS474="",AS475=""),AND(D214="",D474&lt;&gt;"")),AS214,(AS214*(AT474^2+AT475^2)+AT474*(AS214^2+AS215^2))/((AS214+AT474)^2+(AS215+AT475)^2))</f>
        <v/>
      </c>
      <c r="AT216" s="216" t="str">
        <f>IF(X217="",AS216,N(AS216)+(X217/1000))</f>
        <v/>
      </c>
      <c r="AU216" s="216" t="str">
        <f>IF(AU214="","",(AT216*(AU214^2+AU215^2)+AU214*(AT216^2+AT217^2))/((AT216+AU214)^2+(AT217+AU215)^2))</f>
        <v/>
      </c>
      <c r="AV216" s="216">
        <f>IF(BA216=0,1,0)</f>
        <v>1</v>
      </c>
      <c r="AW216" s="217" t="str">
        <f>IF(AO216="","",AW214+AO216)</f>
        <v/>
      </c>
      <c r="AX216" s="218" t="str">
        <f>IF(AND(AX212="",AW216&lt;&gt;""),BA216*SQRT(AW214^2+AW215^2)/SQRT(AW216^2+AW217^2),IF(BA216&lt;&gt;0,AX212,""))</f>
        <v/>
      </c>
      <c r="AY216" s="224">
        <f>IF(L216="",10^30,SQRT(BA214)*(BA216^2)*(N(AN214)+N(AN216)+N(AO214)+N(AV214))/(100000*L216*M214))</f>
        <v>1E+30</v>
      </c>
      <c r="AZ216" s="225"/>
      <c r="BA216" s="220">
        <f>IF(AND(J214="",SUM(S214:S217)&lt;&gt;0),BA212,J214)</f>
        <v>0</v>
      </c>
      <c r="BB216" s="221">
        <f t="shared" si="4"/>
        <v>0</v>
      </c>
      <c r="BC216" s="232"/>
      <c r="BD216" s="232"/>
    </row>
    <row r="217" spans="1:56" ht="15" customHeight="1">
      <c r="A217" s="85"/>
      <c r="B217" s="85"/>
      <c r="C217" s="271"/>
      <c r="D217" s="417"/>
      <c r="E217" s="418"/>
      <c r="F217" s="419"/>
      <c r="G217" s="270"/>
      <c r="H217" s="270"/>
      <c r="I217" s="270"/>
      <c r="J217" s="270"/>
      <c r="K217" s="268"/>
      <c r="L217" s="251" t="str">
        <f>IF(M214="","",L216*1000*M214/(SQRT(BA214)*BA216))</f>
        <v/>
      </c>
      <c r="M217" s="252"/>
      <c r="N217" s="277"/>
      <c r="O217" s="205"/>
      <c r="P217" s="106"/>
      <c r="Q217" s="206"/>
      <c r="R217" s="107"/>
      <c r="S217" s="108" t="str">
        <f>IF(R217="","",IF(Q217="",P217/R217,P217/(Q217*R217)))</f>
        <v/>
      </c>
      <c r="T217" s="207"/>
      <c r="U217" s="208" t="str">
        <f>IF(OR(BA216="",S217=""),"",S217*1000*T217/(SQRT(BA214)*BA216))</f>
        <v/>
      </c>
      <c r="V217" s="109" t="str">
        <f>IF(AND(N(U214)=0,N(U215)=0,N(U216)=0,N(U217)=0),"",IF(V214&gt;=0,SQRT(ABS(V214^2-V216^2)),-SQRT(V214^2-V216^2)))</f>
        <v/>
      </c>
      <c r="W217" s="277"/>
      <c r="X217" s="278" t="str">
        <f>IF(Y216="","",AQ214*Z216*AR214*((1+0.00393*(F217-20))/1.2751)/Y216)</f>
        <v/>
      </c>
      <c r="Y217" s="270"/>
      <c r="Z217" s="267" t="str">
        <f>IF(Y216="","",(BA217/50)*AQ214*Z216*AR215/Y216)</f>
        <v/>
      </c>
      <c r="AA217" s="252"/>
      <c r="AB217" s="279" t="str">
        <f>IF(AC216="","",AQ214*AD216*AR216*((1+0.00393*(F217-20))/1.2751)/AC216)</f>
        <v/>
      </c>
      <c r="AC217" s="270"/>
      <c r="AD217" s="267" t="str">
        <f>IF(AC216="","",(BA217/50)*AQ214*AD216*AR217/AC216)</f>
        <v/>
      </c>
      <c r="AE217" s="268"/>
      <c r="AF217" s="237" t="str">
        <f>IF(AND(AX214&lt;&gt;"",D214=""),AX214,"")</f>
        <v/>
      </c>
      <c r="AG217" s="269" t="str">
        <f>IF(AP216="","",AP216)</f>
        <v/>
      </c>
      <c r="AH217" s="270"/>
      <c r="AI217" s="238" t="str">
        <f>IF(AP217="","",AP217)</f>
        <v/>
      </c>
      <c r="AJ217" s="263"/>
      <c r="AK217" s="253"/>
      <c r="AL217" s="189"/>
      <c r="AM217" s="28"/>
      <c r="AN217" s="226" t="b">
        <f>IF(BA214="","",IF(AND(BA214=3,F216=50,L214="oil cooled type"),VLOOKUP(L216,変３,3,FALSE),IF(AND(BA214=3,F216=50,L214="(F)molded type"),VLOOKUP(L216,変３,8,FALSE),IF(AND(BA214=3,F216=60,L214="oil cooled type"),VLOOKUP(L216,変３,13,FALSE),IF(AND(BA214=3,F216=60,L214="(F)molded type"),VLOOKUP(L216,変３,18,FALSE),FALSE)))))</f>
        <v>0</v>
      </c>
      <c r="AO217" s="226" t="str">
        <f>IF(AND(L210="",N(AY215)&lt;10^29),AY215,"")</f>
        <v/>
      </c>
      <c r="AP217" s="227" t="str">
        <f>IF(V214="","",IF(AND(N(V217)=0,N(AP215)=0),0,(AQ217-AP215*(AQ216^2+AQ217^2))/((AQ216*AP215)^2+(AP215*AQ217-1)^2)))</f>
        <v/>
      </c>
      <c r="AQ217" s="228">
        <f>IF(N(V217)=0,10^30,V217)</f>
        <v>1E+30</v>
      </c>
      <c r="AR217" s="226" t="str">
        <f>IF(AB214="","",IF(AB214="600V IV",VLOOKUP(AB216,ＩＶ,3,FALSE),IF(AB214="600V CV-T",VLOOKUP(AB216,ＣＶＴ,3,FALSE),IF(OR(AB214="600V CV-1C",AB214="600V CV-2C",AB214="600V CV-3C",AB214="600V CV-4C"),VLOOKUP(AB216,ＣＶ２３Ｃ,3,FALSE),VLOOKUP(AB216,ＣＵＳＥＲ,3,FALSE)))))</f>
        <v/>
      </c>
      <c r="AS217" s="228" t="str">
        <f>IF(OR(AND(AS474="",AS475=""),AND(D214="",D474&lt;&gt;"")),AS215,(AS215*(AT474^2+AT475^2)+AT475*(AS214^2+AS215^2))/((AS214+AT474)^2+(AS215+AT475)^2))</f>
        <v/>
      </c>
      <c r="AT217" s="229" t="str">
        <f>IF(Z217="",AS217,N(AS217)+(Z217/1000))</f>
        <v/>
      </c>
      <c r="AU217" s="229" t="str">
        <f>IF(AU215="","",(AT217*(AU214^2+AU215^2)+AU215*(AT216^2+AT217^2))/((AT216+AU214)^2+(AT217+AU215)^2))</f>
        <v/>
      </c>
      <c r="AV217" s="229">
        <f>AV213+AV216</f>
        <v>50</v>
      </c>
      <c r="AW217" s="228" t="str">
        <f>IF(AO217="","",AW215+AO217)</f>
        <v/>
      </c>
      <c r="AX217" s="230"/>
      <c r="AY217" s="224">
        <f>IF(L216="",10^30,SQRT(BA214)*(BA216^2)*(N(AN215)+N(AN217)+N(AO215)+N(AV215))/(100000*L216*M214))</f>
        <v>1E+30</v>
      </c>
      <c r="AZ217" s="225"/>
      <c r="BA217" s="220">
        <f>IF(AND(F216="",SUM(S214:S217)&lt;&gt;0),BA213,F216)</f>
        <v>0</v>
      </c>
      <c r="BB217" s="221">
        <f t="shared" si="4"/>
        <v>0</v>
      </c>
      <c r="BC217" s="232"/>
      <c r="BD217" s="232"/>
    </row>
    <row r="218" spans="1:56" ht="15" customHeight="1">
      <c r="B218" s="85"/>
      <c r="C218" s="271" t="str">
        <f>IF(BC218=1,"●","・")</f>
        <v>・</v>
      </c>
      <c r="D218" s="402"/>
      <c r="E218" s="403"/>
      <c r="F218" s="404"/>
      <c r="G218" s="265" t="str">
        <f>IF(F218="","","φ")</f>
        <v/>
      </c>
      <c r="H218" s="405"/>
      <c r="I218" s="265" t="str">
        <f>IF(H218="","","W")</f>
        <v/>
      </c>
      <c r="J218" s="405"/>
      <c r="K218" s="272" t="str">
        <f>IF(J218="","","V")</f>
        <v/>
      </c>
      <c r="L218" s="406"/>
      <c r="M218" s="407"/>
      <c r="N218" s="408"/>
      <c r="O218" s="193"/>
      <c r="P218" s="86"/>
      <c r="Q218" s="194"/>
      <c r="R218" s="87"/>
      <c r="S218" s="88" t="str">
        <f>IF(R218="","",IF(Q218="",P218/R218,P218/(Q218*R218)))</f>
        <v/>
      </c>
      <c r="T218" s="195"/>
      <c r="U218" s="196" t="str">
        <f>IF(OR(BA220="",S218=""),"",S218*1000*T218/(SQRT(BA218)*BA220))</f>
        <v/>
      </c>
      <c r="V218" s="254" t="str">
        <f>IF(AND(N(U218)=0,N(U219)=0,N(U220)=0,N(U221)=0),"",BA220/(SUM(U218:U221)))</f>
        <v/>
      </c>
      <c r="W218" s="280"/>
      <c r="X218" s="281"/>
      <c r="Y218" s="242"/>
      <c r="Z218" s="243"/>
      <c r="AA218" s="239"/>
      <c r="AB218" s="241"/>
      <c r="AC218" s="242"/>
      <c r="AD218" s="243"/>
      <c r="AE218" s="247"/>
      <c r="AF218" s="233" t="str">
        <f>IF(OR(AND(AF214="",N(BA216)=0,BA220&lt;&gt;0),D218&lt;&gt;""),AX220/AQ219,"")</f>
        <v/>
      </c>
      <c r="AG218" s="249" t="str">
        <f>IF(BA220=0,"",IF(AD220="",AX218,IF(AND(D218&lt;&gt;"",AU218=""),AX220*SQRT(AP220^2+AP221^2)/SQRT(AS218^2+AS219^2)/AQ219,AX218*SQRT(AP220^2+AP221^2)/SQRT(AS218^2+AS219^2))))</f>
        <v/>
      </c>
      <c r="AH218" s="250"/>
      <c r="AI218" s="234" t="str">
        <f>IF(AG218="","",IF(N(U218)&lt;0,-AX218*AQ219/SQRT(AS218^2+AS219^2),AX218*AQ219/SQRT(AS218^2+AS219^2)))</f>
        <v/>
      </c>
      <c r="AJ218" s="256"/>
      <c r="AK218" s="257"/>
      <c r="AL218" s="186"/>
      <c r="AM218" s="28"/>
      <c r="AN218" s="213" t="b">
        <f>IF(BA218="","",IF(AND(BA218=1,F220=50,L218="oil cooled type"),VLOOKUP(L220,変１,2,FALSE),IF(AND(BA218=1,F220=50,L218="(F)molded type"),VLOOKUP(L220,変１,7,FALSE),IF(AND(BA218=1,F220=60,L218="oil cooled type"),VLOOKUP(L220,変１,12,FALSE),IF(AND(BA218=1,F220=60,L218="(F)molded type"),VLOOKUP(L220,変１,17,FALSE),FALSE)))))</f>
        <v>0</v>
      </c>
      <c r="AO218" s="213">
        <f>IF(ISNA(VLOOKUP(L220,変ＵＳＥＲ,2,FALSE)),0,VLOOKUP(L220,変ＵＳＥＲ,2,FALSE))</f>
        <v>0</v>
      </c>
      <c r="AP218" s="214">
        <f>IF(N218="",0,N218*1000/BA220^2/SQRT(BA218))</f>
        <v>0</v>
      </c>
      <c r="AQ218" s="213" t="b">
        <f>IF(BA218=1,2,IF(BA218=3,SQRT(3),FALSE))</f>
        <v>0</v>
      </c>
      <c r="AR218" s="215" t="str">
        <f>IF(X218="","",IF(X218="600V IV",VLOOKUP(X220,ＩＶ,2,FALSE),IF(X218="600V CV-T",VLOOKUP(X220,ＣＶＴ,2,FALSE),IF(OR(X218="600V CV-1C",X218="600V CV-2C",X218="600V CV-3C",X218="600V CV-4C"),VLOOKUP(X220,ＣＶ２３Ｃ,2,FALSE),VLOOKUP(X220,ＣＵＳＥＲ,2,FALSE)))))</f>
        <v/>
      </c>
      <c r="AS218" s="213" t="str">
        <f>IF(AB221="",AP220,AP220+(AB221/1000))</f>
        <v/>
      </c>
      <c r="AT218" s="216" t="str">
        <f>IF(AU220="",AT220,AU220)</f>
        <v/>
      </c>
      <c r="AU218" s="216" t="str">
        <f>IF(D218="","",IF(AND(D478="",#REF!&lt;&gt;"",AV221=#REF!),#REF!,IF(AND(D478="",#REF!="",#REF!&lt;&gt;"",AV481=#REF!),#REF!,IF(AND(D478="",#REF!="",#REF!="",#REF!&lt;&gt;"",#REF!=#REF!),#REF!,IF(AND(D478="",#REF!="",#REF!="",#REF!="",D482&lt;&gt;"",#REF!=#REF!),AT482,IF(AND(D478="",#REF!="",#REF!="",#REF!="",D482="",#REF!&lt;&gt;"",#REF!=AV486),#REF!,IF(AND(D478="",#REF!="",#REF!="",#REF!="",D482="",#REF!="",D487&lt;&gt;"",#REF!=AV490),AT487,"")))))))</f>
        <v/>
      </c>
      <c r="AV218" s="216" t="str">
        <f>IF(L218="ACG",IF(ISNA(VLOOKUP(L220,ＡＣＧ,2,FALSE)),0,VLOOKUP(L220,ＡＣＧ,2,FALSE)),"")</f>
        <v/>
      </c>
      <c r="AW218" s="217" t="str">
        <f>IF(AT218="","",AT218/((AT218*AP218)^2+(AT219*AP218-1)^2))</f>
        <v/>
      </c>
      <c r="AX218" s="218" t="str">
        <f>IF(BA220=0,"",IF(OR(AX214="",AF218&lt;&gt;""),AF218*SQRT(AS220^2+AS221^2)/SQRT(AT220^2+AT221^2),AX214*SQRT(AS220^2+AS221^2)/SQRT(AT220^2+AT221^2)))</f>
        <v/>
      </c>
      <c r="AY218" s="219">
        <f>IF(N(AY220)=10^30,10^30,IF(N(AY480)=10^30,(N(AY220)*(N(AY480)^2+N(AY481)^2)+N(AY480)*(N(AY220)^2+N(AY221)^2))/((N(AY220)+N(AY480))^2+(N(AY221)+N(AY481))^2),(N(AY220)*(N(AY478)^2+N(AY479)^2)+N(AY478)*(N(AY220)^2+N(AY221)^2))/((N(AY220)+N(AY478))^2+(N(AY221)+N(AY479))^2)))</f>
        <v>1E+30</v>
      </c>
      <c r="AZ218" s="23"/>
      <c r="BA218" s="220">
        <f>IF(AND(F218="",SUM(S218:S221)&lt;&gt;0),BA214,F218)</f>
        <v>0</v>
      </c>
      <c r="BB218" s="221">
        <f t="shared" si="4"/>
        <v>0</v>
      </c>
      <c r="BC218" s="232">
        <f>IF(OR(E218="",F221="",AND(OR(P218="",Q218="",R218="",T218=""),OR(P219="",Q219="",R219="",T219=""),OR(P220="",Q220="",R220="",T220=""),OR(P221="",Q221="",R221="",T221="")),AND(OR(X218="",X220="",Y220="",Z220=""),OR(AB218="",AB220="",AC220="",AD220=""))),0,1)</f>
        <v>0</v>
      </c>
      <c r="BD218" s="232">
        <f>BC218+BD214</f>
        <v>0</v>
      </c>
    </row>
    <row r="219" spans="1:56" ht="15" customHeight="1">
      <c r="B219" s="85"/>
      <c r="C219" s="271"/>
      <c r="D219" s="409"/>
      <c r="E219" s="362"/>
      <c r="F219" s="410"/>
      <c r="G219" s="266"/>
      <c r="H219" s="266"/>
      <c r="I219" s="266"/>
      <c r="J219" s="266"/>
      <c r="K219" s="273"/>
      <c r="L219" s="411"/>
      <c r="M219" s="197" t="str">
        <f>IF(L218="ACG",SQRT(AV218^2+AV219^2),IF(L220="","",IF(OR(L218="oil cooled type",L218="(F)molded type"),IF(BA218=1,SQRT(AN218^2+AN219^2),IF(BA218=3,SQRT(AN220^2+AN221^2))),SQRT(AO218^2+AO219^2))))</f>
        <v/>
      </c>
      <c r="N219" s="412"/>
      <c r="O219" s="198"/>
      <c r="P219" s="90"/>
      <c r="Q219" s="199"/>
      <c r="R219" s="91"/>
      <c r="S219" s="92" t="str">
        <f>IF(R220="","",IF(Q220="",P220/R220,P220/(Q220*R220)))</f>
        <v/>
      </c>
      <c r="T219" s="200"/>
      <c r="U219" s="201" t="str">
        <f>IF(OR(BA220="",S219=""),"",S219*1000*T219/(SQRT(BA218)*BA220))</f>
        <v/>
      </c>
      <c r="V219" s="255"/>
      <c r="W219" s="248"/>
      <c r="X219" s="258"/>
      <c r="Y219" s="245"/>
      <c r="Z219" s="246"/>
      <c r="AA219" s="240"/>
      <c r="AB219" s="244"/>
      <c r="AC219" s="245"/>
      <c r="AD219" s="246"/>
      <c r="AE219" s="248"/>
      <c r="AF219" s="235" t="str">
        <f>IF(OR(AF218="",AG214&lt;&gt;""),"",AF218*AQ219/SQRT(AT218^2+AT219^2))</f>
        <v/>
      </c>
      <c r="AG219" s="274" t="str">
        <f>IF(AG218="","",100*AG218*AQ219/BA220)</f>
        <v/>
      </c>
      <c r="AH219" s="275"/>
      <c r="AI219" s="260" t="str">
        <f>IF(BA220=0,"",IF(AI214="",AX220/SQRT(AT218^2+AT219^2),IF(AI222="","",IF(AT218&lt;0,-AX218*AQ215/SQRT(AT218^2+AT219^2),AX218*AQ215/SQRT(AT218^2+AT219^2)))))</f>
        <v/>
      </c>
      <c r="AJ219" s="258"/>
      <c r="AK219" s="259"/>
      <c r="AL219" s="187"/>
      <c r="AM219" s="28"/>
      <c r="AN219" s="213" t="b">
        <f>IF(BA218="","",IF(AND(BA218=1,F220=50,L218="oil cooled type"),VLOOKUP(L220,変１,3,FALSE),IF(AND(BA218=1,F220=50,L218="(F)molded type"),VLOOKUP(L220,変１,8,FALSE),IF(AND(BA218=1,F220=60,L218="oil cooled type"),VLOOKUP(L220,変１,13,FALSE),IF(AND(BA218=1,F220=60,L218="(F)molded type"),VLOOKUP(L220,変１,18,FALSE),FALSE)))))</f>
        <v>0</v>
      </c>
      <c r="AO219" s="213">
        <f>IF(ISNA(VLOOKUP(L220,変ＵＳＥＲ,3,FALSE)),0,VLOOKUP(L220,変ＵＳＥＲ,3,FALSE)*BA221/50)</f>
        <v>0</v>
      </c>
      <c r="AP219" s="214">
        <f>IF(W218="",0,W218*1000/BA220^2/SQRT(BA218))</f>
        <v>0</v>
      </c>
      <c r="AQ219" s="213">
        <f>IF(AND(BA218=1,BA219=2),1,IF(AND(BA218=3,BA219=3),1,IF(AND(BA218=1,BA219=3),2,IF(AND(BA218=3,BA219=4)*OR(BB218=1,BB219=1,BB220=1,BB221=1),1,SQRT(3)))))</f>
        <v>1.7320508075688772</v>
      </c>
      <c r="AR219" s="215" t="str">
        <f>IF(X218="","",IF(X218="600V IV",VLOOKUP(X220,ＩＶ,3,FALSE),IF(X218="600V CV-T",VLOOKUP(X220,ＣＶＴ,3,FALSE),IF(OR(X218="600V CV-1C",X218="600V CV-2C",X218="600V CV-3C",X218="600V CV-4C"),VLOOKUP(X220,ＣＶ２３Ｃ,3,FALSE),VLOOKUP(X220,ＣＵＳＥＲ,3,FALSE)))))</f>
        <v/>
      </c>
      <c r="AS219" s="213" t="str">
        <f>IF(AD221="",AP221,AP221+(AD221/1000))</f>
        <v/>
      </c>
      <c r="AT219" s="216" t="str">
        <f>IF(AU221="",AT221,AU221)</f>
        <v/>
      </c>
      <c r="AU219" s="216" t="str">
        <f>IF(D218="","",IF(AND(D478="",#REF!&lt;&gt;"",AV221=#REF!),#REF!,IF(AND(D478="",#REF!="",#REF!&lt;&gt;"",AV481=#REF!),#REF!,IF(AND(D478="",#REF!="",#REF!="",#REF!&lt;&gt;"",#REF!=#REF!),#REF!,IF(AND(D478="",#REF!="",#REF!="",#REF!="",D482&lt;&gt;"",#REF!=#REF!),AT483,IF(AND(D478="",#REF!="",#REF!="",#REF!="",D482="",#REF!&lt;&gt;"",#REF!=AV486),AT484,IF(AND(D478="",#REF!="",#REF!="",#REF!="",D482="",#REF!="",D487&lt;&gt;"",#REF!=AV490),AT488,"")))))))</f>
        <v/>
      </c>
      <c r="AV219" s="215" t="str">
        <f>IF(L218="ACG",IF(ISNA(VLOOKUP(L220,ＡＣＧ,3,FALSE)),0,VLOOKUP(L220,ＡＣＧ,3,FALSE)*BA221/50),"")</f>
        <v/>
      </c>
      <c r="AW219" s="217" t="str">
        <f>IF(AT219="","",(AT219-AP218*(AT218^2+AT219^2))/((AT218*AP218)^2+(AP218*AT219-1)^2))</f>
        <v/>
      </c>
      <c r="AX219" s="218"/>
      <c r="AY219" s="219">
        <f>IF(N(AY221)=10^30,10^30,IF(N(AY481)=10^30,(N(AY221)*(N(AY480)^2+N(AY481)^2)+N(AY481)*(N(AY220)^2+N(AY221)^2))/((N(AY220)+N(AY480))^2+(N(AY221)+N(AY481))^2),(N(AY221)*(N(AY478)^2+N(AY479)^2)+N(AY479)*(N(AY220)^2+N(AY221)^2))/((N(AY220)+N(AY478))^2+(N(AY221)+N(AY479))^2)))</f>
        <v>1E+30</v>
      </c>
      <c r="AZ219" s="23"/>
      <c r="BA219" s="220">
        <f>IF(AND(H218="",SUM(S218:S221)&lt;&gt;0),BA215,H218)</f>
        <v>0</v>
      </c>
      <c r="BB219" s="221">
        <f t="shared" si="4"/>
        <v>0</v>
      </c>
      <c r="BC219" s="232"/>
      <c r="BD219" s="232"/>
    </row>
    <row r="220" spans="1:56" ht="15" customHeight="1">
      <c r="B220" s="85"/>
      <c r="C220" s="271"/>
      <c r="D220" s="409"/>
      <c r="E220" s="362"/>
      <c r="F220" s="413"/>
      <c r="G220" s="414"/>
      <c r="H220" s="414"/>
      <c r="I220" s="414"/>
      <c r="J220" s="414"/>
      <c r="K220" s="415"/>
      <c r="L220" s="416"/>
      <c r="M220" s="275"/>
      <c r="N220" s="412"/>
      <c r="O220" s="198"/>
      <c r="P220" s="93"/>
      <c r="Q220" s="202"/>
      <c r="R220" s="91"/>
      <c r="S220" s="92" t="str">
        <f>IF(R221="","",IF(Q221="",P221/R221,P221/(Q221*R221)))</f>
        <v/>
      </c>
      <c r="T220" s="200"/>
      <c r="U220" s="203" t="str">
        <f>IF(OR(BA220="",S220=""),"",S220*1000*T220/(SQRT(BA218)*BA220))</f>
        <v/>
      </c>
      <c r="V220" s="94" t="str">
        <f>IF(AND(N(U218)=0,N(U219)=0,N(U220)=0,N(U221)=0),"",V218*(P218*R218*T218+P219*R219*T219+P220*R220*T220+P221*R221*T221)/(P218*T218+P219*T219+P220*T220+P221*T221))</f>
        <v/>
      </c>
      <c r="W220" s="276" t="str">
        <f>IF(AND(N(AP220)=0,N(AP221)=0,N(AP219)=0),"",IF(AP221&gt;=0,COS(ATAN(AP221/AP220)),-COS(ATAN(AP221/AP220))))</f>
        <v/>
      </c>
      <c r="X220" s="95"/>
      <c r="Y220" s="204"/>
      <c r="Z220" s="96"/>
      <c r="AA220" s="97"/>
      <c r="AB220" s="98"/>
      <c r="AC220" s="204"/>
      <c r="AD220" s="96"/>
      <c r="AE220" s="99"/>
      <c r="AF220" s="236" t="str">
        <f>IF(OR(AF218="",AG214&lt;&gt;""),"",BA220/SQRT(AW220^2+AW221^2))</f>
        <v/>
      </c>
      <c r="AG220" s="274" t="str">
        <f>IF(AG218="","",100*((BA220/AQ219)-AG218)/(BA220/AQ219))</f>
        <v/>
      </c>
      <c r="AH220" s="275"/>
      <c r="AI220" s="261"/>
      <c r="AJ220" s="262"/>
      <c r="AK220" s="264"/>
      <c r="AL220" s="188"/>
      <c r="AM220" s="28"/>
      <c r="AN220" s="222" t="b">
        <f>IF(BA218="","",IF(AND(BA218=3,F220=50,L218="oil cooled type"),VLOOKUP(L220,変３,2,FALSE),IF(AND(BA218=3,F220=50,L218="(F)molded type"),VLOOKUP(L220,変３,7,FALSE),IF(AND(BA218=3,F220=60,L218="oil cooled type"),VLOOKUP(L220,変３,12,FALSE),IF(AND(BA218=3,F220=60,L218="(F)molded type"),VLOOKUP(L220,変３,17,FALSE),FALSE)))))</f>
        <v>0</v>
      </c>
      <c r="AO220" s="215" t="str">
        <f>IF(AND(L214="",N(AY218)&lt;10^29),AY218,"")</f>
        <v/>
      </c>
      <c r="AP220" s="223" t="str">
        <f>IF(V218="","",IF(AND(N(V220)=0,N(AP219)=0),"",AQ220/((AQ220*AP219)^2+(AP219*AQ221-1)^2)))</f>
        <v/>
      </c>
      <c r="AQ220" s="213">
        <f>IF(N(V220)=0,10^30,V220)</f>
        <v>1E+30</v>
      </c>
      <c r="AR220" s="215" t="str">
        <f>IF(AB218="","",IF(AB218="600V IV",VLOOKUP(AB220,ＩＶ,2,FALSE),IF(AB218="600V CV-T",VLOOKUP(AB220,ＣＶＴ,2,FALSE),IF(OR(AB218="600V CV-1C",AB218="600V CV-2C",AB218="600V CV-3C",AB218="600V CV-4C"),VLOOKUP(AB220,ＣＶ２３Ｃ,2,FALSE),VLOOKUP(AB220,ＣＵＳＥＲ,2,FALSE)))))</f>
        <v/>
      </c>
      <c r="AS220" s="213" t="str">
        <f>IF(OR(AND(AS478="",AS479=""),AND(D218="",D478&lt;&gt;"")),AS218,(AS218*(AT478^2+AT479^2)+AT478*(AS218^2+AS219^2))/((AS218+AT478)^2+(AS219+AT479)^2))</f>
        <v/>
      </c>
      <c r="AT220" s="216" t="str">
        <f>IF(X221="",AS220,N(AS220)+(X221/1000))</f>
        <v/>
      </c>
      <c r="AU220" s="216" t="str">
        <f>IF(AU218="","",(AT220*(AU218^2+AU219^2)+AU218*(AT220^2+AT221^2))/((AT220+AU218)^2+(AT221+AU219)^2))</f>
        <v/>
      </c>
      <c r="AV220" s="216">
        <f>IF(BA220=0,1,0)</f>
        <v>1</v>
      </c>
      <c r="AW220" s="217" t="str">
        <f>IF(AO220="","",AW218+AO220)</f>
        <v/>
      </c>
      <c r="AX220" s="218" t="str">
        <f>IF(AND(AX216="",AW220&lt;&gt;""),BA220*SQRT(AW218^2+AW219^2)/SQRT(AW220^2+AW221^2),IF(BA220&lt;&gt;0,AX216,""))</f>
        <v/>
      </c>
      <c r="AY220" s="224">
        <f>IF(L220="",10^30,SQRT(BA218)*(BA220^2)*(N(AN218)+N(AN220)+N(AO218)+N(AV218))/(100000*L220*M218))</f>
        <v>1E+30</v>
      </c>
      <c r="AZ220" s="225"/>
      <c r="BA220" s="220">
        <f>IF(AND(J218="",SUM(S218:S221)&lt;&gt;0),BA216,J218)</f>
        <v>0</v>
      </c>
      <c r="BB220" s="221">
        <f t="shared" si="4"/>
        <v>0</v>
      </c>
      <c r="BC220" s="232"/>
      <c r="BD220" s="232"/>
    </row>
    <row r="221" spans="1:56" ht="15" customHeight="1">
      <c r="A221" s="85"/>
      <c r="B221" s="85"/>
      <c r="C221" s="271"/>
      <c r="D221" s="417"/>
      <c r="E221" s="418"/>
      <c r="F221" s="419"/>
      <c r="G221" s="270"/>
      <c r="H221" s="270"/>
      <c r="I221" s="270"/>
      <c r="J221" s="270"/>
      <c r="K221" s="268"/>
      <c r="L221" s="251" t="str">
        <f>IF(M218="","",L220*1000*M218/(SQRT(BA218)*BA220))</f>
        <v/>
      </c>
      <c r="M221" s="252"/>
      <c r="N221" s="277"/>
      <c r="O221" s="205"/>
      <c r="P221" s="106"/>
      <c r="Q221" s="206"/>
      <c r="R221" s="107"/>
      <c r="S221" s="108" t="str">
        <f>IF(R221="","",IF(Q221="",P221/R221,P221/(Q221*R221)))</f>
        <v/>
      </c>
      <c r="T221" s="207"/>
      <c r="U221" s="208" t="str">
        <f>IF(OR(BA220="",S221=""),"",S221*1000*T221/(SQRT(BA218)*BA220))</f>
        <v/>
      </c>
      <c r="V221" s="109" t="str">
        <f>IF(AND(N(U218)=0,N(U219)=0,N(U220)=0,N(U221)=0),"",IF(V218&gt;=0,SQRT(ABS(V218^2-V220^2)),-SQRT(V218^2-V220^2)))</f>
        <v/>
      </c>
      <c r="W221" s="277"/>
      <c r="X221" s="278" t="str">
        <f>IF(Y220="","",AQ218*Z220*AR218*((1+0.00393*(F221-20))/1.2751)/Y220)</f>
        <v/>
      </c>
      <c r="Y221" s="270"/>
      <c r="Z221" s="267" t="str">
        <f>IF(Y220="","",(BA221/50)*AQ218*Z220*AR219/Y220)</f>
        <v/>
      </c>
      <c r="AA221" s="252"/>
      <c r="AB221" s="279" t="str">
        <f>IF(AC220="","",AQ218*AD220*AR220*((1+0.00393*(F221-20))/1.2751)/AC220)</f>
        <v/>
      </c>
      <c r="AC221" s="270"/>
      <c r="AD221" s="267" t="str">
        <f>IF(AC220="","",(BA221/50)*AQ218*AD220*AR221/AC220)</f>
        <v/>
      </c>
      <c r="AE221" s="268"/>
      <c r="AF221" s="237" t="str">
        <f>IF(AND(AX218&lt;&gt;"",D218=""),AX218,"")</f>
        <v/>
      </c>
      <c r="AG221" s="269" t="str">
        <f>IF(AP220="","",AP220)</f>
        <v/>
      </c>
      <c r="AH221" s="270"/>
      <c r="AI221" s="238" t="str">
        <f>IF(AP221="","",AP221)</f>
        <v/>
      </c>
      <c r="AJ221" s="263"/>
      <c r="AK221" s="253"/>
      <c r="AL221" s="189"/>
      <c r="AM221" s="28"/>
      <c r="AN221" s="226" t="b">
        <f>IF(BA218="","",IF(AND(BA218=3,F220=50,L218="oil cooled type"),VLOOKUP(L220,変３,3,FALSE),IF(AND(BA218=3,F220=50,L218="(F)molded type"),VLOOKUP(L220,変３,8,FALSE),IF(AND(BA218=3,F220=60,L218="oil cooled type"),VLOOKUP(L220,変３,13,FALSE),IF(AND(BA218=3,F220=60,L218="(F)molded type"),VLOOKUP(L220,変３,18,FALSE),FALSE)))))</f>
        <v>0</v>
      </c>
      <c r="AO221" s="226" t="str">
        <f>IF(AND(L214="",N(AY219)&lt;10^29),AY219,"")</f>
        <v/>
      </c>
      <c r="AP221" s="227" t="str">
        <f>IF(V218="","",IF(AND(N(V221)=0,N(AP219)=0),0,(AQ221-AP219*(AQ220^2+AQ221^2))/((AQ220*AP219)^2+(AP219*AQ221-1)^2)))</f>
        <v/>
      </c>
      <c r="AQ221" s="228">
        <f>IF(N(V221)=0,10^30,V221)</f>
        <v>1E+30</v>
      </c>
      <c r="AR221" s="226" t="str">
        <f>IF(AB218="","",IF(AB218="600V IV",VLOOKUP(AB220,ＩＶ,3,FALSE),IF(AB218="600V CV-T",VLOOKUP(AB220,ＣＶＴ,3,FALSE),IF(OR(AB218="600V CV-1C",AB218="600V CV-2C",AB218="600V CV-3C",AB218="600V CV-4C"),VLOOKUP(AB220,ＣＶ２３Ｃ,3,FALSE),VLOOKUP(AB220,ＣＵＳＥＲ,3,FALSE)))))</f>
        <v/>
      </c>
      <c r="AS221" s="228" t="str">
        <f>IF(OR(AND(AS478="",AS479=""),AND(D218="",D478&lt;&gt;"")),AS219,(AS219*(AT478^2+AT479^2)+AT479*(AS218^2+AS219^2))/((AS218+AT478)^2+(AS219+AT479)^2))</f>
        <v/>
      </c>
      <c r="AT221" s="229" t="str">
        <f>IF(Z221="",AS221,N(AS221)+(Z221/1000))</f>
        <v/>
      </c>
      <c r="AU221" s="229" t="str">
        <f>IF(AU219="","",(AT221*(AU218^2+AU219^2)+AU219*(AT220^2+AT221^2))/((AT220+AU218)^2+(AT221+AU219)^2))</f>
        <v/>
      </c>
      <c r="AV221" s="229">
        <f>AV217+AV220</f>
        <v>51</v>
      </c>
      <c r="AW221" s="228" t="str">
        <f>IF(AO221="","",AW219+AO221)</f>
        <v/>
      </c>
      <c r="AX221" s="230"/>
      <c r="AY221" s="224">
        <f>IF(L220="",10^30,SQRT(BA218)*(BA220^2)*(N(AN219)+N(AN221)+N(AO219)+N(AV219))/(100000*L220*M218))</f>
        <v>1E+30</v>
      </c>
      <c r="AZ221" s="225"/>
      <c r="BA221" s="220">
        <f>IF(AND(F220="",SUM(S218:S221)&lt;&gt;0),BA217,F220)</f>
        <v>0</v>
      </c>
      <c r="BB221" s="221">
        <f t="shared" si="4"/>
        <v>0</v>
      </c>
      <c r="BC221" s="232"/>
      <c r="BD221" s="232"/>
    </row>
    <row r="222" spans="1:56" ht="15" customHeight="1">
      <c r="B222" s="85"/>
      <c r="C222" s="271" t="str">
        <f>IF(BC222=1,"●","・")</f>
        <v>・</v>
      </c>
      <c r="D222" s="402"/>
      <c r="E222" s="403"/>
      <c r="F222" s="404"/>
      <c r="G222" s="265" t="str">
        <f>IF(F222="","","φ")</f>
        <v/>
      </c>
      <c r="H222" s="405"/>
      <c r="I222" s="265" t="str">
        <f>IF(H222="","","W")</f>
        <v/>
      </c>
      <c r="J222" s="405"/>
      <c r="K222" s="272" t="str">
        <f>IF(J222="","","V")</f>
        <v/>
      </c>
      <c r="L222" s="406"/>
      <c r="M222" s="407"/>
      <c r="N222" s="408"/>
      <c r="O222" s="193"/>
      <c r="P222" s="86"/>
      <c r="Q222" s="194"/>
      <c r="R222" s="87"/>
      <c r="S222" s="88" t="str">
        <f>IF(R222="","",IF(Q222="",P222/R222,P222/(Q222*R222)))</f>
        <v/>
      </c>
      <c r="T222" s="195"/>
      <c r="U222" s="196" t="str">
        <f>IF(OR(BA224="",S222=""),"",S222*1000*T222/(SQRT(BA222)*BA224))</f>
        <v/>
      </c>
      <c r="V222" s="254" t="str">
        <f>IF(AND(N(U222)=0,N(U223)=0,N(U224)=0,N(U225)=0),"",BA224/(SUM(U222:U225)))</f>
        <v/>
      </c>
      <c r="W222" s="280"/>
      <c r="X222" s="281"/>
      <c r="Y222" s="242"/>
      <c r="Z222" s="243"/>
      <c r="AA222" s="239"/>
      <c r="AB222" s="241"/>
      <c r="AC222" s="242"/>
      <c r="AD222" s="243"/>
      <c r="AE222" s="247"/>
      <c r="AF222" s="233" t="str">
        <f>IF(OR(AND(AF218="",N(BA220)=0,BA224&lt;&gt;0),D222&lt;&gt;""),AX224/AQ223,"")</f>
        <v/>
      </c>
      <c r="AG222" s="249" t="str">
        <f>IF(BA224=0,"",IF(AD224="",AX222,IF(AND(D222&lt;&gt;"",AU222=""),AX224*SQRT(AP224^2+AP225^2)/SQRT(AS222^2+AS223^2)/AQ223,AX222*SQRT(AP224^2+AP225^2)/SQRT(AS222^2+AS223^2))))</f>
        <v/>
      </c>
      <c r="AH222" s="250"/>
      <c r="AI222" s="234" t="str">
        <f>IF(AG222="","",IF(N(U222)&lt;0,-AX222*AQ223/SQRT(AS222^2+AS223^2),AX222*AQ223/SQRT(AS222^2+AS223^2)))</f>
        <v/>
      </c>
      <c r="AJ222" s="256"/>
      <c r="AK222" s="257"/>
      <c r="AL222" s="186"/>
      <c r="AM222" s="28"/>
      <c r="AN222" s="213" t="b">
        <f>IF(BA222="","",IF(AND(BA222=1,F224=50,L222="oil cooled type"),VLOOKUP(L224,変１,2,FALSE),IF(AND(BA222=1,F224=50,L222="(F)molded type"),VLOOKUP(L224,変１,7,FALSE),IF(AND(BA222=1,F224=60,L222="oil cooled type"),VLOOKUP(L224,変１,12,FALSE),IF(AND(BA222=1,F224=60,L222="(F)molded type"),VLOOKUP(L224,変１,17,FALSE),FALSE)))))</f>
        <v>0</v>
      </c>
      <c r="AO222" s="213">
        <f>IF(ISNA(VLOOKUP(L224,変ＵＳＥＲ,2,FALSE)),0,VLOOKUP(L224,変ＵＳＥＲ,2,FALSE))</f>
        <v>0</v>
      </c>
      <c r="AP222" s="214">
        <f>IF(N222="",0,N222*1000/BA224^2/SQRT(BA222))</f>
        <v>0</v>
      </c>
      <c r="AQ222" s="213" t="b">
        <f>IF(BA222=1,2,IF(BA222=3,SQRT(3),FALSE))</f>
        <v>0</v>
      </c>
      <c r="AR222" s="215" t="str">
        <f>IF(X222="","",IF(X222="600V IV",VLOOKUP(X224,ＩＶ,2,FALSE),IF(X222="600V CV-T",VLOOKUP(X224,ＣＶＴ,2,FALSE),IF(OR(X222="600V CV-1C",X222="600V CV-2C",X222="600V CV-3C",X222="600V CV-4C"),VLOOKUP(X224,ＣＶ２３Ｃ,2,FALSE),VLOOKUP(X224,ＣＵＳＥＲ,2,FALSE)))))</f>
        <v/>
      </c>
      <c r="AS222" s="213" t="str">
        <f>IF(AB225="",AP224,AP224+(AB225/1000))</f>
        <v/>
      </c>
      <c r="AT222" s="216" t="str">
        <f>IF(AU224="",AT224,AU224)</f>
        <v/>
      </c>
      <c r="AU222" s="216" t="str">
        <f>IF(D222="","",IF(AND(D482="",#REF!&lt;&gt;"",AV225=#REF!),#REF!,IF(AND(D482="",#REF!="",#REF!&lt;&gt;"",AV485=#REF!),#REF!,IF(AND(D482="",#REF!="",#REF!="",#REF!&lt;&gt;"",#REF!=#REF!),#REF!,IF(AND(D482="",#REF!="",#REF!="",#REF!="",D486&lt;&gt;"",#REF!=#REF!),AT486,IF(AND(D482="",#REF!="",#REF!="",#REF!="",D486="",#REF!&lt;&gt;"",#REF!=AV490),#REF!,IF(AND(D482="",#REF!="",#REF!="",#REF!="",D486="",#REF!="",D491&lt;&gt;"",#REF!=AV494),AT491,"")))))))</f>
        <v/>
      </c>
      <c r="AV222" s="216" t="str">
        <f>IF(L222="ACG",IF(ISNA(VLOOKUP(L224,ＡＣＧ,2,FALSE)),0,VLOOKUP(L224,ＡＣＧ,2,FALSE)),"")</f>
        <v/>
      </c>
      <c r="AW222" s="217" t="str">
        <f>IF(AT222="","",AT222/((AT222*AP222)^2+(AT223*AP222-1)^2))</f>
        <v/>
      </c>
      <c r="AX222" s="218" t="str">
        <f>IF(BA224=0,"",IF(OR(AX218="",AF222&lt;&gt;""),AF222*SQRT(AS224^2+AS225^2)/SQRT(AT224^2+AT225^2),AX218*SQRT(AS224^2+AS225^2)/SQRT(AT224^2+AT225^2)))</f>
        <v/>
      </c>
      <c r="AY222" s="219">
        <f>IF(N(AY224)=10^30,10^30,IF(N(AY484)=10^30,(N(AY224)*(N(AY484)^2+N(AY485)^2)+N(AY484)*(N(AY224)^2+N(AY225)^2))/((N(AY224)+N(AY484))^2+(N(AY225)+N(AY485))^2),(N(AY224)*(N(AY482)^2+N(AY483)^2)+N(AY482)*(N(AY224)^2+N(AY225)^2))/((N(AY224)+N(AY482))^2+(N(AY225)+N(AY483))^2)))</f>
        <v>1E+30</v>
      </c>
      <c r="AZ222" s="23"/>
      <c r="BA222" s="220">
        <f>IF(AND(F222="",SUM(S222:S225)&lt;&gt;0),BA218,F222)</f>
        <v>0</v>
      </c>
      <c r="BB222" s="221">
        <f t="shared" si="4"/>
        <v>0</v>
      </c>
      <c r="BC222" s="232">
        <f>IF(OR(E222="",F225="",AND(OR(P222="",Q222="",R222="",T222=""),OR(P223="",Q223="",R223="",T223=""),OR(P224="",Q224="",R224="",T224=""),OR(P225="",Q225="",R225="",T225="")),AND(OR(X222="",X224="",Y224="",Z224=""),OR(AB222="",AB224="",AC224="",AD224=""))),0,1)</f>
        <v>0</v>
      </c>
      <c r="BD222" s="232">
        <f>BC222+BD218</f>
        <v>0</v>
      </c>
    </row>
    <row r="223" spans="1:56" ht="15" customHeight="1">
      <c r="B223" s="85"/>
      <c r="C223" s="271"/>
      <c r="D223" s="409"/>
      <c r="E223" s="362"/>
      <c r="F223" s="410"/>
      <c r="G223" s="266"/>
      <c r="H223" s="266"/>
      <c r="I223" s="266"/>
      <c r="J223" s="266"/>
      <c r="K223" s="273"/>
      <c r="L223" s="411"/>
      <c r="M223" s="197" t="str">
        <f>IF(L222="ACG",SQRT(AV222^2+AV223^2),IF(L224="","",IF(OR(L222="oil cooled type",L222="(F)molded type"),IF(BA222=1,SQRT(AN222^2+AN223^2),IF(BA222=3,SQRT(AN224^2+AN225^2))),SQRT(AO222^2+AO223^2))))</f>
        <v/>
      </c>
      <c r="N223" s="412"/>
      <c r="O223" s="198"/>
      <c r="P223" s="90"/>
      <c r="Q223" s="199"/>
      <c r="R223" s="91"/>
      <c r="S223" s="92" t="str">
        <f>IF(R224="","",IF(Q224="",P224/R224,P224/(Q224*R224)))</f>
        <v/>
      </c>
      <c r="T223" s="200"/>
      <c r="U223" s="201" t="str">
        <f>IF(OR(BA224="",S223=""),"",S223*1000*T223/(SQRT(BA222)*BA224))</f>
        <v/>
      </c>
      <c r="V223" s="255"/>
      <c r="W223" s="248"/>
      <c r="X223" s="258"/>
      <c r="Y223" s="245"/>
      <c r="Z223" s="246"/>
      <c r="AA223" s="240"/>
      <c r="AB223" s="244"/>
      <c r="AC223" s="245"/>
      <c r="AD223" s="246"/>
      <c r="AE223" s="248"/>
      <c r="AF223" s="235" t="str">
        <f>IF(OR(AF222="",AG218&lt;&gt;""),"",AF222*AQ223/SQRT(AT222^2+AT223^2))</f>
        <v/>
      </c>
      <c r="AG223" s="274" t="str">
        <f>IF(AG222="","",100*AG222*AQ223/BA224)</f>
        <v/>
      </c>
      <c r="AH223" s="275"/>
      <c r="AI223" s="260" t="str">
        <f>IF(BA224=0,"",IF(AI218="",AX224/SQRT(AT222^2+AT223^2),IF(AI226="","",IF(AT222&lt;0,-AX222*AQ219/SQRT(AT222^2+AT223^2),AX222*AQ219/SQRT(AT222^2+AT223^2)))))</f>
        <v/>
      </c>
      <c r="AJ223" s="258"/>
      <c r="AK223" s="259"/>
      <c r="AL223" s="187"/>
      <c r="AM223" s="28"/>
      <c r="AN223" s="213" t="b">
        <f>IF(BA222="","",IF(AND(BA222=1,F224=50,L222="oil cooled type"),VLOOKUP(L224,変１,3,FALSE),IF(AND(BA222=1,F224=50,L222="(F)molded type"),VLOOKUP(L224,変１,8,FALSE),IF(AND(BA222=1,F224=60,L222="oil cooled type"),VLOOKUP(L224,変１,13,FALSE),IF(AND(BA222=1,F224=60,L222="(F)molded type"),VLOOKUP(L224,変１,18,FALSE),FALSE)))))</f>
        <v>0</v>
      </c>
      <c r="AO223" s="213">
        <f>IF(ISNA(VLOOKUP(L224,変ＵＳＥＲ,3,FALSE)),0,VLOOKUP(L224,変ＵＳＥＲ,3,FALSE)*BA225/50)</f>
        <v>0</v>
      </c>
      <c r="AP223" s="214">
        <f>IF(W222="",0,W222*1000/BA224^2/SQRT(BA222))</f>
        <v>0</v>
      </c>
      <c r="AQ223" s="213">
        <f>IF(AND(BA222=1,BA223=2),1,IF(AND(BA222=3,BA223=3),1,IF(AND(BA222=1,BA223=3),2,IF(AND(BA222=3,BA223=4)*OR(BB222=1,BB223=1,BB224=1,BB225=1),1,SQRT(3)))))</f>
        <v>1.7320508075688772</v>
      </c>
      <c r="AR223" s="215" t="str">
        <f>IF(X222="","",IF(X222="600V IV",VLOOKUP(X224,ＩＶ,3,FALSE),IF(X222="600V CV-T",VLOOKUP(X224,ＣＶＴ,3,FALSE),IF(OR(X222="600V CV-1C",X222="600V CV-2C",X222="600V CV-3C",X222="600V CV-4C"),VLOOKUP(X224,ＣＶ２３Ｃ,3,FALSE),VLOOKUP(X224,ＣＵＳＥＲ,3,FALSE)))))</f>
        <v/>
      </c>
      <c r="AS223" s="213" t="str">
        <f>IF(AD225="",AP225,AP225+(AD225/1000))</f>
        <v/>
      </c>
      <c r="AT223" s="216" t="str">
        <f>IF(AU225="",AT225,AU225)</f>
        <v/>
      </c>
      <c r="AU223" s="216" t="str">
        <f>IF(D222="","",IF(AND(D482="",#REF!&lt;&gt;"",AV225=#REF!),#REF!,IF(AND(D482="",#REF!="",#REF!&lt;&gt;"",AV485=#REF!),#REF!,IF(AND(D482="",#REF!="",#REF!="",#REF!&lt;&gt;"",#REF!=#REF!),#REF!,IF(AND(D482="",#REF!="",#REF!="",#REF!="",D486&lt;&gt;"",#REF!=#REF!),AT487,IF(AND(D482="",#REF!="",#REF!="",#REF!="",D486="",#REF!&lt;&gt;"",#REF!=AV490),AT488,IF(AND(D482="",#REF!="",#REF!="",#REF!="",D486="",#REF!="",D491&lt;&gt;"",#REF!=AV494),AT492,"")))))))</f>
        <v/>
      </c>
      <c r="AV223" s="215" t="str">
        <f>IF(L222="ACG",IF(ISNA(VLOOKUP(L224,ＡＣＧ,3,FALSE)),0,VLOOKUP(L224,ＡＣＧ,3,FALSE)*BA225/50),"")</f>
        <v/>
      </c>
      <c r="AW223" s="217" t="str">
        <f>IF(AT223="","",(AT223-AP222*(AT222^2+AT223^2))/((AT222*AP222)^2+(AP222*AT223-1)^2))</f>
        <v/>
      </c>
      <c r="AX223" s="218"/>
      <c r="AY223" s="219">
        <f>IF(N(AY225)=10^30,10^30,IF(N(AY485)=10^30,(N(AY225)*(N(AY484)^2+N(AY485)^2)+N(AY485)*(N(AY224)^2+N(AY225)^2))/((N(AY224)+N(AY484))^2+(N(AY225)+N(AY485))^2),(N(AY225)*(N(AY482)^2+N(AY483)^2)+N(AY483)*(N(AY224)^2+N(AY225)^2))/((N(AY224)+N(AY482))^2+(N(AY225)+N(AY483))^2)))</f>
        <v>1E+30</v>
      </c>
      <c r="AZ223" s="23"/>
      <c r="BA223" s="220">
        <f>IF(AND(H222="",SUM(S222:S225)&lt;&gt;0),BA219,H222)</f>
        <v>0</v>
      </c>
      <c r="BB223" s="221">
        <f t="shared" si="4"/>
        <v>0</v>
      </c>
      <c r="BC223" s="232"/>
      <c r="BD223" s="232"/>
    </row>
    <row r="224" spans="1:56" ht="15" customHeight="1">
      <c r="B224" s="85"/>
      <c r="C224" s="271"/>
      <c r="D224" s="409"/>
      <c r="E224" s="362"/>
      <c r="F224" s="413"/>
      <c r="G224" s="414"/>
      <c r="H224" s="414"/>
      <c r="I224" s="414"/>
      <c r="J224" s="414"/>
      <c r="K224" s="415"/>
      <c r="L224" s="416"/>
      <c r="M224" s="275"/>
      <c r="N224" s="412"/>
      <c r="O224" s="198"/>
      <c r="P224" s="93"/>
      <c r="Q224" s="202"/>
      <c r="R224" s="91"/>
      <c r="S224" s="92" t="str">
        <f>IF(R225="","",IF(Q225="",P225/R225,P225/(Q225*R225)))</f>
        <v/>
      </c>
      <c r="T224" s="200"/>
      <c r="U224" s="203" t="str">
        <f>IF(OR(BA224="",S224=""),"",S224*1000*T224/(SQRT(BA222)*BA224))</f>
        <v/>
      </c>
      <c r="V224" s="94" t="str">
        <f>IF(AND(N(U222)=0,N(U223)=0,N(U224)=0,N(U225)=0),"",V222*(P222*R222*T222+P223*R223*T223+P224*R224*T224+P225*R225*T225)/(P222*T222+P223*T223+P224*T224+P225*T225))</f>
        <v/>
      </c>
      <c r="W224" s="276" t="str">
        <f>IF(AND(N(AP224)=0,N(AP225)=0,N(AP223)=0),"",IF(AP225&gt;=0,COS(ATAN(AP225/AP224)),-COS(ATAN(AP225/AP224))))</f>
        <v/>
      </c>
      <c r="X224" s="95"/>
      <c r="Y224" s="204"/>
      <c r="Z224" s="96"/>
      <c r="AA224" s="97"/>
      <c r="AB224" s="98"/>
      <c r="AC224" s="204"/>
      <c r="AD224" s="96"/>
      <c r="AE224" s="99"/>
      <c r="AF224" s="236" t="str">
        <f>IF(OR(AF222="",AG218&lt;&gt;""),"",BA224/SQRT(AW224^2+AW225^2))</f>
        <v/>
      </c>
      <c r="AG224" s="274" t="str">
        <f>IF(AG222="","",100*((BA224/AQ223)-AG222)/(BA224/AQ223))</f>
        <v/>
      </c>
      <c r="AH224" s="275"/>
      <c r="AI224" s="261"/>
      <c r="AJ224" s="262"/>
      <c r="AK224" s="264"/>
      <c r="AL224" s="188"/>
      <c r="AM224" s="28"/>
      <c r="AN224" s="222" t="b">
        <f>IF(BA222="","",IF(AND(BA222=3,F224=50,L222="oil cooled type"),VLOOKUP(L224,変３,2,FALSE),IF(AND(BA222=3,F224=50,L222="(F)molded type"),VLOOKUP(L224,変３,7,FALSE),IF(AND(BA222=3,F224=60,L222="oil cooled type"),VLOOKUP(L224,変３,12,FALSE),IF(AND(BA222=3,F224=60,L222="(F)molded type"),VLOOKUP(L224,変３,17,FALSE),FALSE)))))</f>
        <v>0</v>
      </c>
      <c r="AO224" s="215" t="str">
        <f>IF(AND(L218="",N(AY222)&lt;10^29),AY222,"")</f>
        <v/>
      </c>
      <c r="AP224" s="223" t="str">
        <f>IF(V222="","",IF(AND(N(V224)=0,N(AP223)=0),"",AQ224/((AQ224*AP223)^2+(AP223*AQ225-1)^2)))</f>
        <v/>
      </c>
      <c r="AQ224" s="213">
        <f>IF(N(V224)=0,10^30,V224)</f>
        <v>1E+30</v>
      </c>
      <c r="AR224" s="215" t="str">
        <f>IF(AB222="","",IF(AB222="600V IV",VLOOKUP(AB224,ＩＶ,2,FALSE),IF(AB222="600V CV-T",VLOOKUP(AB224,ＣＶＴ,2,FALSE),IF(OR(AB222="600V CV-1C",AB222="600V CV-2C",AB222="600V CV-3C",AB222="600V CV-4C"),VLOOKUP(AB224,ＣＶ２３Ｃ,2,FALSE),VLOOKUP(AB224,ＣＵＳＥＲ,2,FALSE)))))</f>
        <v/>
      </c>
      <c r="AS224" s="213" t="str">
        <f>IF(OR(AND(AS482="",AS483=""),AND(D222="",D482&lt;&gt;"")),AS222,(AS222*(AT482^2+AT483^2)+AT482*(AS222^2+AS223^2))/((AS222+AT482)^2+(AS223+AT483)^2))</f>
        <v/>
      </c>
      <c r="AT224" s="216" t="str">
        <f>IF(X225="",AS224,N(AS224)+(X225/1000))</f>
        <v/>
      </c>
      <c r="AU224" s="216" t="str">
        <f>IF(AU222="","",(AT224*(AU222^2+AU223^2)+AU222*(AT224^2+AT225^2))/((AT224+AU222)^2+(AT225+AU223)^2))</f>
        <v/>
      </c>
      <c r="AV224" s="216">
        <f>IF(BA224=0,1,0)</f>
        <v>1</v>
      </c>
      <c r="AW224" s="217" t="str">
        <f>IF(AO224="","",AW222+AO224)</f>
        <v/>
      </c>
      <c r="AX224" s="218" t="str">
        <f>IF(AND(AX220="",AW224&lt;&gt;""),BA224*SQRT(AW222^2+AW223^2)/SQRT(AW224^2+AW225^2),IF(BA224&lt;&gt;0,AX220,""))</f>
        <v/>
      </c>
      <c r="AY224" s="224">
        <f>IF(L224="",10^30,SQRT(BA222)*(BA224^2)*(N(AN222)+N(AN224)+N(AO222)+N(AV222))/(100000*L224*M222))</f>
        <v>1E+30</v>
      </c>
      <c r="AZ224" s="225"/>
      <c r="BA224" s="220">
        <f>IF(AND(J222="",SUM(S222:S225)&lt;&gt;0),BA220,J222)</f>
        <v>0</v>
      </c>
      <c r="BB224" s="221">
        <f t="shared" si="4"/>
        <v>0</v>
      </c>
      <c r="BC224" s="232"/>
      <c r="BD224" s="232"/>
    </row>
    <row r="225" spans="1:56" ht="15" customHeight="1">
      <c r="A225" s="85"/>
      <c r="B225" s="85"/>
      <c r="C225" s="271"/>
      <c r="D225" s="417"/>
      <c r="E225" s="418"/>
      <c r="F225" s="419"/>
      <c r="G225" s="270"/>
      <c r="H225" s="270"/>
      <c r="I225" s="270"/>
      <c r="J225" s="270"/>
      <c r="K225" s="268"/>
      <c r="L225" s="251" t="str">
        <f>IF(M222="","",L224*1000*M222/(SQRT(BA222)*BA224))</f>
        <v/>
      </c>
      <c r="M225" s="252"/>
      <c r="N225" s="277"/>
      <c r="O225" s="205"/>
      <c r="P225" s="106"/>
      <c r="Q225" s="206"/>
      <c r="R225" s="107"/>
      <c r="S225" s="108" t="str">
        <f>IF(R225="","",IF(Q225="",P225/R225,P225/(Q225*R225)))</f>
        <v/>
      </c>
      <c r="T225" s="207"/>
      <c r="U225" s="208" t="str">
        <f>IF(OR(BA224="",S225=""),"",S225*1000*T225/(SQRT(BA222)*BA224))</f>
        <v/>
      </c>
      <c r="V225" s="109" t="str">
        <f>IF(AND(N(U222)=0,N(U223)=0,N(U224)=0,N(U225)=0),"",IF(V222&gt;=0,SQRT(ABS(V222^2-V224^2)),-SQRT(V222^2-V224^2)))</f>
        <v/>
      </c>
      <c r="W225" s="277"/>
      <c r="X225" s="278" t="str">
        <f>IF(Y224="","",AQ222*Z224*AR222*((1+0.00393*(F225-20))/1.2751)/Y224)</f>
        <v/>
      </c>
      <c r="Y225" s="270"/>
      <c r="Z225" s="267" t="str">
        <f>IF(Y224="","",(BA225/50)*AQ222*Z224*AR223/Y224)</f>
        <v/>
      </c>
      <c r="AA225" s="252"/>
      <c r="AB225" s="279" t="str">
        <f>IF(AC224="","",AQ222*AD224*AR224*((1+0.00393*(F225-20))/1.2751)/AC224)</f>
        <v/>
      </c>
      <c r="AC225" s="270"/>
      <c r="AD225" s="267" t="str">
        <f>IF(AC224="","",(BA225/50)*AQ222*AD224*AR225/AC224)</f>
        <v/>
      </c>
      <c r="AE225" s="268"/>
      <c r="AF225" s="237" t="str">
        <f>IF(AND(AX222&lt;&gt;"",D222=""),AX222,"")</f>
        <v/>
      </c>
      <c r="AG225" s="269" t="str">
        <f>IF(AP224="","",AP224)</f>
        <v/>
      </c>
      <c r="AH225" s="270"/>
      <c r="AI225" s="238" t="str">
        <f>IF(AP225="","",AP225)</f>
        <v/>
      </c>
      <c r="AJ225" s="263"/>
      <c r="AK225" s="253"/>
      <c r="AL225" s="189"/>
      <c r="AM225" s="28"/>
      <c r="AN225" s="226" t="b">
        <f>IF(BA222="","",IF(AND(BA222=3,F224=50,L222="oil cooled type"),VLOOKUP(L224,変３,3,FALSE),IF(AND(BA222=3,F224=50,L222="(F)molded type"),VLOOKUP(L224,変３,8,FALSE),IF(AND(BA222=3,F224=60,L222="oil cooled type"),VLOOKUP(L224,変３,13,FALSE),IF(AND(BA222=3,F224=60,L222="(F)molded type"),VLOOKUP(L224,変３,18,FALSE),FALSE)))))</f>
        <v>0</v>
      </c>
      <c r="AO225" s="226" t="str">
        <f>IF(AND(L218="",N(AY223)&lt;10^29),AY223,"")</f>
        <v/>
      </c>
      <c r="AP225" s="227" t="str">
        <f>IF(V222="","",IF(AND(N(V225)=0,N(AP223)=0),0,(AQ225-AP223*(AQ224^2+AQ225^2))/((AQ224*AP223)^2+(AP223*AQ225-1)^2)))</f>
        <v/>
      </c>
      <c r="AQ225" s="228">
        <f>IF(N(V225)=0,10^30,V225)</f>
        <v>1E+30</v>
      </c>
      <c r="AR225" s="226" t="str">
        <f>IF(AB222="","",IF(AB222="600V IV",VLOOKUP(AB224,ＩＶ,3,FALSE),IF(AB222="600V CV-T",VLOOKUP(AB224,ＣＶＴ,3,FALSE),IF(OR(AB222="600V CV-1C",AB222="600V CV-2C",AB222="600V CV-3C",AB222="600V CV-4C"),VLOOKUP(AB224,ＣＶ２３Ｃ,3,FALSE),VLOOKUP(AB224,ＣＵＳＥＲ,3,FALSE)))))</f>
        <v/>
      </c>
      <c r="AS225" s="228" t="str">
        <f>IF(OR(AND(AS482="",AS483=""),AND(D222="",D482&lt;&gt;"")),AS223,(AS223*(AT482^2+AT483^2)+AT483*(AS222^2+AS223^2))/((AS222+AT482)^2+(AS223+AT483)^2))</f>
        <v/>
      </c>
      <c r="AT225" s="229" t="str">
        <f>IF(Z225="",AS225,N(AS225)+(Z225/1000))</f>
        <v/>
      </c>
      <c r="AU225" s="229" t="str">
        <f>IF(AU223="","",(AT225*(AU222^2+AU223^2)+AU223*(AT224^2+AT225^2))/((AT224+AU222)^2+(AT225+AU223)^2))</f>
        <v/>
      </c>
      <c r="AV225" s="229">
        <f>AV221+AV224</f>
        <v>52</v>
      </c>
      <c r="AW225" s="228" t="str">
        <f>IF(AO225="","",AW223+AO225)</f>
        <v/>
      </c>
      <c r="AX225" s="230"/>
      <c r="AY225" s="224">
        <f>IF(L224="",10^30,SQRT(BA222)*(BA224^2)*(N(AN223)+N(AN225)+N(AO223)+N(AV223))/(100000*L224*M222))</f>
        <v>1E+30</v>
      </c>
      <c r="AZ225" s="225"/>
      <c r="BA225" s="220">
        <f>IF(AND(F224="",SUM(S222:S225)&lt;&gt;0),BA221,F224)</f>
        <v>0</v>
      </c>
      <c r="BB225" s="221">
        <f t="shared" si="4"/>
        <v>0</v>
      </c>
      <c r="BC225" s="232"/>
      <c r="BD225" s="232"/>
    </row>
    <row r="226" spans="1:56" ht="15" customHeight="1">
      <c r="B226" s="85"/>
      <c r="C226" s="271" t="str">
        <f>IF(BC226=1,"●","・")</f>
        <v>・</v>
      </c>
      <c r="D226" s="402"/>
      <c r="E226" s="403"/>
      <c r="F226" s="404"/>
      <c r="G226" s="265" t="str">
        <f>IF(F226="","","φ")</f>
        <v/>
      </c>
      <c r="H226" s="405"/>
      <c r="I226" s="265" t="str">
        <f>IF(H226="","","W")</f>
        <v/>
      </c>
      <c r="J226" s="405"/>
      <c r="K226" s="272" t="str">
        <f>IF(J226="","","V")</f>
        <v/>
      </c>
      <c r="L226" s="406"/>
      <c r="M226" s="407"/>
      <c r="N226" s="408"/>
      <c r="O226" s="193"/>
      <c r="P226" s="86"/>
      <c r="Q226" s="194"/>
      <c r="R226" s="87"/>
      <c r="S226" s="88" t="str">
        <f>IF(R226="","",IF(Q226="",P226/R226,P226/(Q226*R226)))</f>
        <v/>
      </c>
      <c r="T226" s="195"/>
      <c r="U226" s="196" t="str">
        <f>IF(OR(BA228="",S226=""),"",S226*1000*T226/(SQRT(BA226)*BA228))</f>
        <v/>
      </c>
      <c r="V226" s="254" t="str">
        <f>IF(AND(N(U226)=0,N(U227)=0,N(U228)=0,N(U229)=0),"",BA228/(SUM(U226:U229)))</f>
        <v/>
      </c>
      <c r="W226" s="280"/>
      <c r="X226" s="281"/>
      <c r="Y226" s="242"/>
      <c r="Z226" s="243"/>
      <c r="AA226" s="239"/>
      <c r="AB226" s="241"/>
      <c r="AC226" s="242"/>
      <c r="AD226" s="243"/>
      <c r="AE226" s="247"/>
      <c r="AF226" s="233" t="str">
        <f>IF(OR(AND(AF222="",N(BA224)=0,BA228&lt;&gt;0),D226&lt;&gt;""),AX228/AQ227,"")</f>
        <v/>
      </c>
      <c r="AG226" s="249" t="str">
        <f>IF(BA228=0,"",IF(AD228="",AX226,IF(AND(D226&lt;&gt;"",AU226=""),AX228*SQRT(AP228^2+AP229^2)/SQRT(AS226^2+AS227^2)/AQ227,AX226*SQRT(AP228^2+AP229^2)/SQRT(AS226^2+AS227^2))))</f>
        <v/>
      </c>
      <c r="AH226" s="250"/>
      <c r="AI226" s="234" t="str">
        <f>IF(AG226="","",IF(N(U226)&lt;0,-AX226*AQ227/SQRT(AS226^2+AS227^2),AX226*AQ227/SQRT(AS226^2+AS227^2)))</f>
        <v/>
      </c>
      <c r="AJ226" s="256"/>
      <c r="AK226" s="257"/>
      <c r="AL226" s="186"/>
      <c r="AM226" s="28"/>
      <c r="AN226" s="213" t="b">
        <f>IF(BA226="","",IF(AND(BA226=1,F228=50,L226="oil cooled type"),VLOOKUP(L228,変１,2,FALSE),IF(AND(BA226=1,F228=50,L226="(F)molded type"),VLOOKUP(L228,変１,7,FALSE),IF(AND(BA226=1,F228=60,L226="oil cooled type"),VLOOKUP(L228,変１,12,FALSE),IF(AND(BA226=1,F228=60,L226="(F)molded type"),VLOOKUP(L228,変１,17,FALSE),FALSE)))))</f>
        <v>0</v>
      </c>
      <c r="AO226" s="213">
        <f>IF(ISNA(VLOOKUP(L228,変ＵＳＥＲ,2,FALSE)),0,VLOOKUP(L228,変ＵＳＥＲ,2,FALSE))</f>
        <v>0</v>
      </c>
      <c r="AP226" s="214">
        <f>IF(N226="",0,N226*1000/BA228^2/SQRT(BA226))</f>
        <v>0</v>
      </c>
      <c r="AQ226" s="213" t="b">
        <f>IF(BA226=1,2,IF(BA226=3,SQRT(3),FALSE))</f>
        <v>0</v>
      </c>
      <c r="AR226" s="215" t="str">
        <f>IF(X226="","",IF(X226="600V IV",VLOOKUP(X228,ＩＶ,2,FALSE),IF(X226="600V CV-T",VLOOKUP(X228,ＣＶＴ,2,FALSE),IF(OR(X226="600V CV-1C",X226="600V CV-2C",X226="600V CV-3C",X226="600V CV-4C"),VLOOKUP(X228,ＣＶ２３Ｃ,2,FALSE),VLOOKUP(X228,ＣＵＳＥＲ,2,FALSE)))))</f>
        <v/>
      </c>
      <c r="AS226" s="213" t="str">
        <f>IF(AB229="",AP228,AP228+(AB229/1000))</f>
        <v/>
      </c>
      <c r="AT226" s="216" t="str">
        <f>IF(AU228="",AT228,AU228)</f>
        <v/>
      </c>
      <c r="AU226" s="216" t="str">
        <f>IF(D226="","",IF(AND(D486="",#REF!&lt;&gt;"",AV229=#REF!),#REF!,IF(AND(D486="",#REF!="",#REF!&lt;&gt;"",AV489=#REF!),#REF!,IF(AND(D486="",#REF!="",#REF!="",#REF!&lt;&gt;"",#REF!=#REF!),#REF!,IF(AND(D486="",#REF!="",#REF!="",#REF!="",D490&lt;&gt;"",#REF!=#REF!),AT490,IF(AND(D486="",#REF!="",#REF!="",#REF!="",D490="",#REF!&lt;&gt;"",#REF!=AV494),#REF!,IF(AND(D486="",#REF!="",#REF!="",#REF!="",D490="",#REF!="",D495&lt;&gt;"",#REF!=AV498),AT495,"")))))))</f>
        <v/>
      </c>
      <c r="AV226" s="216" t="str">
        <f>IF(L226="ACG",IF(ISNA(VLOOKUP(L228,ＡＣＧ,2,FALSE)),0,VLOOKUP(L228,ＡＣＧ,2,FALSE)),"")</f>
        <v/>
      </c>
      <c r="AW226" s="217" t="str">
        <f>IF(AT226="","",AT226/((AT226*AP226)^2+(AT227*AP226-1)^2))</f>
        <v/>
      </c>
      <c r="AX226" s="218" t="str">
        <f>IF(BA228=0,"",IF(OR(AX222="",AF226&lt;&gt;""),AF226*SQRT(AS228^2+AS229^2)/SQRT(AT228^2+AT229^2),AX222*SQRT(AS228^2+AS229^2)/SQRT(AT228^2+AT229^2)))</f>
        <v/>
      </c>
      <c r="AY226" s="219">
        <f>IF(N(AY228)=10^30,10^30,IF(N(AY488)=10^30,(N(AY228)*(N(AY488)^2+N(AY489)^2)+N(AY488)*(N(AY228)^2+N(AY229)^2))/((N(AY228)+N(AY488))^2+(N(AY229)+N(AY489))^2),(N(AY228)*(N(AY486)^2+N(AY487)^2)+N(AY486)*(N(AY228)^2+N(AY229)^2))/((N(AY228)+N(AY486))^2+(N(AY229)+N(AY487))^2)))</f>
        <v>1E+30</v>
      </c>
      <c r="AZ226" s="23"/>
      <c r="BA226" s="220">
        <f>IF(AND(F226="",SUM(S226:S229)&lt;&gt;0),BA222,F226)</f>
        <v>0</v>
      </c>
      <c r="BB226" s="221">
        <f t="shared" si="4"/>
        <v>0</v>
      </c>
      <c r="BC226" s="232">
        <f>IF(OR(E226="",F229="",AND(OR(P226="",Q226="",R226="",T226=""),OR(P227="",Q227="",R227="",T227=""),OR(P228="",Q228="",R228="",T228=""),OR(P229="",Q229="",R229="",T229="")),AND(OR(X226="",X228="",Y228="",Z228=""),OR(AB226="",AB228="",AC228="",AD228=""))),0,1)</f>
        <v>0</v>
      </c>
      <c r="BD226" s="232">
        <f>BC226+BD222</f>
        <v>0</v>
      </c>
    </row>
    <row r="227" spans="1:56" ht="15" customHeight="1">
      <c r="B227" s="85"/>
      <c r="C227" s="271"/>
      <c r="D227" s="409"/>
      <c r="E227" s="362"/>
      <c r="F227" s="410"/>
      <c r="G227" s="266"/>
      <c r="H227" s="266"/>
      <c r="I227" s="266"/>
      <c r="J227" s="266"/>
      <c r="K227" s="273"/>
      <c r="L227" s="411"/>
      <c r="M227" s="197" t="str">
        <f>IF(L226="ACG",SQRT(AV226^2+AV227^2),IF(L228="","",IF(OR(L226="oil cooled type",L226="(F)molded type"),IF(BA226=1,SQRT(AN226^2+AN227^2),IF(BA226=3,SQRT(AN228^2+AN229^2))),SQRT(AO226^2+AO227^2))))</f>
        <v/>
      </c>
      <c r="N227" s="412"/>
      <c r="O227" s="198"/>
      <c r="P227" s="90"/>
      <c r="Q227" s="199"/>
      <c r="R227" s="91"/>
      <c r="S227" s="92" t="str">
        <f>IF(R228="","",IF(Q228="",P228/R228,P228/(Q228*R228)))</f>
        <v/>
      </c>
      <c r="T227" s="200"/>
      <c r="U227" s="201" t="str">
        <f>IF(OR(BA228="",S227=""),"",S227*1000*T227/(SQRT(BA226)*BA228))</f>
        <v/>
      </c>
      <c r="V227" s="255"/>
      <c r="W227" s="248"/>
      <c r="X227" s="258"/>
      <c r="Y227" s="245"/>
      <c r="Z227" s="246"/>
      <c r="AA227" s="240"/>
      <c r="AB227" s="244"/>
      <c r="AC227" s="245"/>
      <c r="AD227" s="246"/>
      <c r="AE227" s="248"/>
      <c r="AF227" s="235" t="str">
        <f>IF(OR(AF226="",AG222&lt;&gt;""),"",AF226*AQ227/SQRT(AT226^2+AT227^2))</f>
        <v/>
      </c>
      <c r="AG227" s="274" t="str">
        <f>IF(AG226="","",100*AG226*AQ227/BA228)</f>
        <v/>
      </c>
      <c r="AH227" s="275"/>
      <c r="AI227" s="260" t="str">
        <f>IF(BA228=0,"",IF(AI222="",AX228/SQRT(AT226^2+AT227^2),IF(AI230="","",IF(AT226&lt;0,-AX226*AQ223/SQRT(AT226^2+AT227^2),AX226*AQ223/SQRT(AT226^2+AT227^2)))))</f>
        <v/>
      </c>
      <c r="AJ227" s="258"/>
      <c r="AK227" s="259"/>
      <c r="AL227" s="187"/>
      <c r="AM227" s="28"/>
      <c r="AN227" s="213" t="b">
        <f>IF(BA226="","",IF(AND(BA226=1,F228=50,L226="oil cooled type"),VLOOKUP(L228,変１,3,FALSE),IF(AND(BA226=1,F228=50,L226="(F)molded type"),VLOOKUP(L228,変１,8,FALSE),IF(AND(BA226=1,F228=60,L226="oil cooled type"),VLOOKUP(L228,変１,13,FALSE),IF(AND(BA226=1,F228=60,L226="(F)molded type"),VLOOKUP(L228,変１,18,FALSE),FALSE)))))</f>
        <v>0</v>
      </c>
      <c r="AO227" s="213">
        <f>IF(ISNA(VLOOKUP(L228,変ＵＳＥＲ,3,FALSE)),0,VLOOKUP(L228,変ＵＳＥＲ,3,FALSE)*BA229/50)</f>
        <v>0</v>
      </c>
      <c r="AP227" s="214">
        <f>IF(W226="",0,W226*1000/BA228^2/SQRT(BA226))</f>
        <v>0</v>
      </c>
      <c r="AQ227" s="213">
        <f>IF(AND(BA226=1,BA227=2),1,IF(AND(BA226=3,BA227=3),1,IF(AND(BA226=1,BA227=3),2,IF(AND(BA226=3,BA227=4)*OR(BB226=1,BB227=1,BB228=1,BB229=1),1,SQRT(3)))))</f>
        <v>1.7320508075688772</v>
      </c>
      <c r="AR227" s="215" t="str">
        <f>IF(X226="","",IF(X226="600V IV",VLOOKUP(X228,ＩＶ,3,FALSE),IF(X226="600V CV-T",VLOOKUP(X228,ＣＶＴ,3,FALSE),IF(OR(X226="600V CV-1C",X226="600V CV-2C",X226="600V CV-3C",X226="600V CV-4C"),VLOOKUP(X228,ＣＶ２３Ｃ,3,FALSE),VLOOKUP(X228,ＣＵＳＥＲ,3,FALSE)))))</f>
        <v/>
      </c>
      <c r="AS227" s="213" t="str">
        <f>IF(AD229="",AP229,AP229+(AD229/1000))</f>
        <v/>
      </c>
      <c r="AT227" s="216" t="str">
        <f>IF(AU229="",AT229,AU229)</f>
        <v/>
      </c>
      <c r="AU227" s="216" t="str">
        <f>IF(D226="","",IF(AND(D486="",#REF!&lt;&gt;"",AV229=#REF!),#REF!,IF(AND(D486="",#REF!="",#REF!&lt;&gt;"",AV489=#REF!),#REF!,IF(AND(D486="",#REF!="",#REF!="",#REF!&lt;&gt;"",#REF!=#REF!),#REF!,IF(AND(D486="",#REF!="",#REF!="",#REF!="",D490&lt;&gt;"",#REF!=#REF!),AT491,IF(AND(D486="",#REF!="",#REF!="",#REF!="",D490="",#REF!&lt;&gt;"",#REF!=AV494),AT492,IF(AND(D486="",#REF!="",#REF!="",#REF!="",D490="",#REF!="",D495&lt;&gt;"",#REF!=AV498),AT496,"")))))))</f>
        <v/>
      </c>
      <c r="AV227" s="215" t="str">
        <f>IF(L226="ACG",IF(ISNA(VLOOKUP(L228,ＡＣＧ,3,FALSE)),0,VLOOKUP(L228,ＡＣＧ,3,FALSE)*BA229/50),"")</f>
        <v/>
      </c>
      <c r="AW227" s="217" t="str">
        <f>IF(AT227="","",(AT227-AP226*(AT226^2+AT227^2))/((AT226*AP226)^2+(AP226*AT227-1)^2))</f>
        <v/>
      </c>
      <c r="AX227" s="218"/>
      <c r="AY227" s="219">
        <f>IF(N(AY229)=10^30,10^30,IF(N(AY489)=10^30,(N(AY229)*(N(AY488)^2+N(AY489)^2)+N(AY489)*(N(AY228)^2+N(AY229)^2))/((N(AY228)+N(AY488))^2+(N(AY229)+N(AY489))^2),(N(AY229)*(N(AY486)^2+N(AY487)^2)+N(AY487)*(N(AY228)^2+N(AY229)^2))/((N(AY228)+N(AY486))^2+(N(AY229)+N(AY487))^2)))</f>
        <v>1E+30</v>
      </c>
      <c r="AZ227" s="23"/>
      <c r="BA227" s="220">
        <f>IF(AND(H226="",SUM(S226:S229)&lt;&gt;0),BA223,H226)</f>
        <v>0</v>
      </c>
      <c r="BB227" s="221">
        <f t="shared" si="4"/>
        <v>0</v>
      </c>
      <c r="BC227" s="232"/>
      <c r="BD227" s="232"/>
    </row>
    <row r="228" spans="1:56" ht="15" customHeight="1">
      <c r="B228" s="85"/>
      <c r="C228" s="271"/>
      <c r="D228" s="409"/>
      <c r="E228" s="362"/>
      <c r="F228" s="413"/>
      <c r="G228" s="414"/>
      <c r="H228" s="414"/>
      <c r="I228" s="414"/>
      <c r="J228" s="414"/>
      <c r="K228" s="415"/>
      <c r="L228" s="416"/>
      <c r="M228" s="275"/>
      <c r="N228" s="412"/>
      <c r="O228" s="198"/>
      <c r="P228" s="93"/>
      <c r="Q228" s="202"/>
      <c r="R228" s="91"/>
      <c r="S228" s="92" t="str">
        <f>IF(R229="","",IF(Q229="",P229/R229,P229/(Q229*R229)))</f>
        <v/>
      </c>
      <c r="T228" s="200"/>
      <c r="U228" s="203" t="str">
        <f>IF(OR(BA228="",S228=""),"",S228*1000*T228/(SQRT(BA226)*BA228))</f>
        <v/>
      </c>
      <c r="V228" s="94" t="str">
        <f>IF(AND(N(U226)=0,N(U227)=0,N(U228)=0,N(U229)=0),"",V226*(P226*R226*T226+P227*R227*T227+P228*R228*T228+P229*R229*T229)/(P226*T226+P227*T227+P228*T228+P229*T229))</f>
        <v/>
      </c>
      <c r="W228" s="276" t="str">
        <f>IF(AND(N(AP228)=0,N(AP229)=0,N(AP227)=0),"",IF(AP229&gt;=0,COS(ATAN(AP229/AP228)),-COS(ATAN(AP229/AP228))))</f>
        <v/>
      </c>
      <c r="X228" s="95"/>
      <c r="Y228" s="204"/>
      <c r="Z228" s="96"/>
      <c r="AA228" s="97"/>
      <c r="AB228" s="98"/>
      <c r="AC228" s="204"/>
      <c r="AD228" s="96"/>
      <c r="AE228" s="99"/>
      <c r="AF228" s="236" t="str">
        <f>IF(OR(AF226="",AG222&lt;&gt;""),"",BA228/SQRT(AW228^2+AW229^2))</f>
        <v/>
      </c>
      <c r="AG228" s="274" t="str">
        <f>IF(AG226="","",100*((BA228/AQ227)-AG226)/(BA228/AQ227))</f>
        <v/>
      </c>
      <c r="AH228" s="275"/>
      <c r="AI228" s="261"/>
      <c r="AJ228" s="262"/>
      <c r="AK228" s="264"/>
      <c r="AL228" s="188"/>
      <c r="AM228" s="28"/>
      <c r="AN228" s="222" t="b">
        <f>IF(BA226="","",IF(AND(BA226=3,F228=50,L226="oil cooled type"),VLOOKUP(L228,変３,2,FALSE),IF(AND(BA226=3,F228=50,L226="(F)molded type"),VLOOKUP(L228,変３,7,FALSE),IF(AND(BA226=3,F228=60,L226="oil cooled type"),VLOOKUP(L228,変３,12,FALSE),IF(AND(BA226=3,F228=60,L226="(F)molded type"),VLOOKUP(L228,変３,17,FALSE),FALSE)))))</f>
        <v>0</v>
      </c>
      <c r="AO228" s="215" t="str">
        <f>IF(AND(L222="",N(AY226)&lt;10^29),AY226,"")</f>
        <v/>
      </c>
      <c r="AP228" s="223" t="str">
        <f>IF(V226="","",IF(AND(N(V228)=0,N(AP227)=0),"",AQ228/((AQ228*AP227)^2+(AP227*AQ229-1)^2)))</f>
        <v/>
      </c>
      <c r="AQ228" s="213">
        <f>IF(N(V228)=0,10^30,V228)</f>
        <v>1E+30</v>
      </c>
      <c r="AR228" s="215" t="str">
        <f>IF(AB226="","",IF(AB226="600V IV",VLOOKUP(AB228,ＩＶ,2,FALSE),IF(AB226="600V CV-T",VLOOKUP(AB228,ＣＶＴ,2,FALSE),IF(OR(AB226="600V CV-1C",AB226="600V CV-2C",AB226="600V CV-3C",AB226="600V CV-4C"),VLOOKUP(AB228,ＣＶ２３Ｃ,2,FALSE),VLOOKUP(AB228,ＣＵＳＥＲ,2,FALSE)))))</f>
        <v/>
      </c>
      <c r="AS228" s="213" t="str">
        <f>IF(OR(AND(AS486="",AS487=""),AND(D226="",D486&lt;&gt;"")),AS226,(AS226*(AT486^2+AT487^2)+AT486*(AS226^2+AS227^2))/((AS226+AT486)^2+(AS227+AT487)^2))</f>
        <v/>
      </c>
      <c r="AT228" s="216" t="str">
        <f>IF(X229="",AS228,N(AS228)+(X229/1000))</f>
        <v/>
      </c>
      <c r="AU228" s="216" t="str">
        <f>IF(AU226="","",(AT228*(AU226^2+AU227^2)+AU226*(AT228^2+AT229^2))/((AT228+AU226)^2+(AT229+AU227)^2))</f>
        <v/>
      </c>
      <c r="AV228" s="216">
        <f>IF(BA228=0,1,0)</f>
        <v>1</v>
      </c>
      <c r="AW228" s="217" t="str">
        <f>IF(AO228="","",AW226+AO228)</f>
        <v/>
      </c>
      <c r="AX228" s="218" t="str">
        <f>IF(AND(AX224="",AW228&lt;&gt;""),BA228*SQRT(AW226^2+AW227^2)/SQRT(AW228^2+AW229^2),IF(BA228&lt;&gt;0,AX224,""))</f>
        <v/>
      </c>
      <c r="AY228" s="224">
        <f>IF(L228="",10^30,SQRT(BA226)*(BA228^2)*(N(AN226)+N(AN228)+N(AO226)+N(AV226))/(100000*L228*M226))</f>
        <v>1E+30</v>
      </c>
      <c r="AZ228" s="225"/>
      <c r="BA228" s="220">
        <f>IF(AND(J226="",SUM(S226:S229)&lt;&gt;0),BA224,J226)</f>
        <v>0</v>
      </c>
      <c r="BB228" s="221">
        <f t="shared" si="4"/>
        <v>0</v>
      </c>
      <c r="BC228" s="232"/>
      <c r="BD228" s="232"/>
    </row>
    <row r="229" spans="1:56" ht="15" customHeight="1">
      <c r="A229" s="85"/>
      <c r="B229" s="85"/>
      <c r="C229" s="271"/>
      <c r="D229" s="417"/>
      <c r="E229" s="418"/>
      <c r="F229" s="419"/>
      <c r="G229" s="270"/>
      <c r="H229" s="270"/>
      <c r="I229" s="270"/>
      <c r="J229" s="270"/>
      <c r="K229" s="268"/>
      <c r="L229" s="251" t="str">
        <f>IF(M226="","",L228*1000*M226/(SQRT(BA226)*BA228))</f>
        <v/>
      </c>
      <c r="M229" s="252"/>
      <c r="N229" s="277"/>
      <c r="O229" s="205"/>
      <c r="P229" s="106"/>
      <c r="Q229" s="206"/>
      <c r="R229" s="107"/>
      <c r="S229" s="108" t="str">
        <f>IF(R229="","",IF(Q229="",P229/R229,P229/(Q229*R229)))</f>
        <v/>
      </c>
      <c r="T229" s="207"/>
      <c r="U229" s="208" t="str">
        <f>IF(OR(BA228="",S229=""),"",S229*1000*T229/(SQRT(BA226)*BA228))</f>
        <v/>
      </c>
      <c r="V229" s="109" t="str">
        <f>IF(AND(N(U226)=0,N(U227)=0,N(U228)=0,N(U229)=0),"",IF(V226&gt;=0,SQRT(ABS(V226^2-V228^2)),-SQRT(V226^2-V228^2)))</f>
        <v/>
      </c>
      <c r="W229" s="277"/>
      <c r="X229" s="278" t="str">
        <f>IF(Y228="","",AQ226*Z228*AR226*((1+0.00393*(F229-20))/1.2751)/Y228)</f>
        <v/>
      </c>
      <c r="Y229" s="270"/>
      <c r="Z229" s="267" t="str">
        <f>IF(Y228="","",(BA229/50)*AQ226*Z228*AR227/Y228)</f>
        <v/>
      </c>
      <c r="AA229" s="252"/>
      <c r="AB229" s="279" t="str">
        <f>IF(AC228="","",AQ226*AD228*AR228*((1+0.00393*(F229-20))/1.2751)/AC228)</f>
        <v/>
      </c>
      <c r="AC229" s="270"/>
      <c r="AD229" s="267" t="str">
        <f>IF(AC228="","",(BA229/50)*AQ226*AD228*AR229/AC228)</f>
        <v/>
      </c>
      <c r="AE229" s="268"/>
      <c r="AF229" s="237" t="str">
        <f>IF(AND(AX226&lt;&gt;"",D226=""),AX226,"")</f>
        <v/>
      </c>
      <c r="AG229" s="269" t="str">
        <f>IF(AP228="","",AP228)</f>
        <v/>
      </c>
      <c r="AH229" s="270"/>
      <c r="AI229" s="238" t="str">
        <f>IF(AP229="","",AP229)</f>
        <v/>
      </c>
      <c r="AJ229" s="263"/>
      <c r="AK229" s="253"/>
      <c r="AL229" s="189"/>
      <c r="AM229" s="28"/>
      <c r="AN229" s="226" t="b">
        <f>IF(BA226="","",IF(AND(BA226=3,F228=50,L226="oil cooled type"),VLOOKUP(L228,変３,3,FALSE),IF(AND(BA226=3,F228=50,L226="(F)molded type"),VLOOKUP(L228,変３,8,FALSE),IF(AND(BA226=3,F228=60,L226="oil cooled type"),VLOOKUP(L228,変３,13,FALSE),IF(AND(BA226=3,F228=60,L226="(F)molded type"),VLOOKUP(L228,変３,18,FALSE),FALSE)))))</f>
        <v>0</v>
      </c>
      <c r="AO229" s="226" t="str">
        <f>IF(AND(L222="",N(AY227)&lt;10^29),AY227,"")</f>
        <v/>
      </c>
      <c r="AP229" s="227" t="str">
        <f>IF(V226="","",IF(AND(N(V229)=0,N(AP227)=0),0,(AQ229-AP227*(AQ228^2+AQ229^2))/((AQ228*AP227)^2+(AP227*AQ229-1)^2)))</f>
        <v/>
      </c>
      <c r="AQ229" s="228">
        <f>IF(N(V229)=0,10^30,V229)</f>
        <v>1E+30</v>
      </c>
      <c r="AR229" s="226" t="str">
        <f>IF(AB226="","",IF(AB226="600V IV",VLOOKUP(AB228,ＩＶ,3,FALSE),IF(AB226="600V CV-T",VLOOKUP(AB228,ＣＶＴ,3,FALSE),IF(OR(AB226="600V CV-1C",AB226="600V CV-2C",AB226="600V CV-3C",AB226="600V CV-4C"),VLOOKUP(AB228,ＣＶ２３Ｃ,3,FALSE),VLOOKUP(AB228,ＣＵＳＥＲ,3,FALSE)))))</f>
        <v/>
      </c>
      <c r="AS229" s="228" t="str">
        <f>IF(OR(AND(AS486="",AS487=""),AND(D226="",D486&lt;&gt;"")),AS227,(AS227*(AT486^2+AT487^2)+AT487*(AS226^2+AS227^2))/((AS226+AT486)^2+(AS227+AT487)^2))</f>
        <v/>
      </c>
      <c r="AT229" s="229" t="str">
        <f>IF(Z229="",AS229,N(AS229)+(Z229/1000))</f>
        <v/>
      </c>
      <c r="AU229" s="229" t="str">
        <f>IF(AU227="","",(AT229*(AU226^2+AU227^2)+AU227*(AT228^2+AT229^2))/((AT228+AU226)^2+(AT229+AU227)^2))</f>
        <v/>
      </c>
      <c r="AV229" s="229">
        <f>AV225+AV228</f>
        <v>53</v>
      </c>
      <c r="AW229" s="228" t="str">
        <f>IF(AO229="","",AW227+AO229)</f>
        <v/>
      </c>
      <c r="AX229" s="230"/>
      <c r="AY229" s="224">
        <f>IF(L228="",10^30,SQRT(BA226)*(BA228^2)*(N(AN227)+N(AN229)+N(AO227)+N(AV227))/(100000*L228*M226))</f>
        <v>1E+30</v>
      </c>
      <c r="AZ229" s="225"/>
      <c r="BA229" s="220">
        <f>IF(AND(F228="",SUM(S226:S229)&lt;&gt;0),BA225,F228)</f>
        <v>0</v>
      </c>
      <c r="BB229" s="221">
        <f t="shared" si="4"/>
        <v>0</v>
      </c>
      <c r="BC229" s="232"/>
      <c r="BD229" s="232"/>
    </row>
    <row r="230" spans="1:56" ht="15" customHeight="1">
      <c r="B230" s="85"/>
      <c r="C230" s="271" t="str">
        <f>IF(BC230=1,"●","・")</f>
        <v>・</v>
      </c>
      <c r="D230" s="402"/>
      <c r="E230" s="403"/>
      <c r="F230" s="404"/>
      <c r="G230" s="265" t="str">
        <f>IF(F230="","","φ")</f>
        <v/>
      </c>
      <c r="H230" s="405"/>
      <c r="I230" s="265" t="str">
        <f>IF(H230="","","W")</f>
        <v/>
      </c>
      <c r="J230" s="405"/>
      <c r="K230" s="272" t="str">
        <f>IF(J230="","","V")</f>
        <v/>
      </c>
      <c r="L230" s="406"/>
      <c r="M230" s="407"/>
      <c r="N230" s="408"/>
      <c r="O230" s="193"/>
      <c r="P230" s="86"/>
      <c r="Q230" s="194"/>
      <c r="R230" s="87"/>
      <c r="S230" s="88" t="str">
        <f>IF(R230="","",IF(Q230="",P230/R230,P230/(Q230*R230)))</f>
        <v/>
      </c>
      <c r="T230" s="195"/>
      <c r="U230" s="196" t="str">
        <f>IF(OR(BA232="",S230=""),"",S230*1000*T230/(SQRT(BA230)*BA232))</f>
        <v/>
      </c>
      <c r="V230" s="254" t="str">
        <f>IF(AND(N(U230)=0,N(U231)=0,N(U232)=0,N(U233)=0),"",BA232/(SUM(U230:U233)))</f>
        <v/>
      </c>
      <c r="W230" s="280"/>
      <c r="X230" s="281"/>
      <c r="Y230" s="242"/>
      <c r="Z230" s="243"/>
      <c r="AA230" s="239"/>
      <c r="AB230" s="241"/>
      <c r="AC230" s="242"/>
      <c r="AD230" s="243"/>
      <c r="AE230" s="247"/>
      <c r="AF230" s="233" t="str">
        <f>IF(OR(AND(AF226="",N(BA228)=0,BA232&lt;&gt;0),D230&lt;&gt;""),AX232/AQ231,"")</f>
        <v/>
      </c>
      <c r="AG230" s="249" t="str">
        <f>IF(BA232=0,"",IF(AD232="",AX230,IF(AND(D230&lt;&gt;"",AU230=""),AX232*SQRT(AP232^2+AP233^2)/SQRT(AS230^2+AS231^2)/AQ231,AX230*SQRT(AP232^2+AP233^2)/SQRT(AS230^2+AS231^2))))</f>
        <v/>
      </c>
      <c r="AH230" s="250"/>
      <c r="AI230" s="234" t="str">
        <f>IF(AG230="","",IF(N(U230)&lt;0,-AX230*AQ231/SQRT(AS230^2+AS231^2),AX230*AQ231/SQRT(AS230^2+AS231^2)))</f>
        <v/>
      </c>
      <c r="AJ230" s="256"/>
      <c r="AK230" s="257"/>
      <c r="AL230" s="186"/>
      <c r="AM230" s="28"/>
      <c r="AN230" s="213" t="b">
        <f>IF(BA230="","",IF(AND(BA230=1,F232=50,L230="oil cooled type"),VLOOKUP(L232,変１,2,FALSE),IF(AND(BA230=1,F232=50,L230="(F)molded type"),VLOOKUP(L232,変１,7,FALSE),IF(AND(BA230=1,F232=60,L230="oil cooled type"),VLOOKUP(L232,変１,12,FALSE),IF(AND(BA230=1,F232=60,L230="(F)molded type"),VLOOKUP(L232,変１,17,FALSE),FALSE)))))</f>
        <v>0</v>
      </c>
      <c r="AO230" s="213">
        <f>IF(ISNA(VLOOKUP(L232,変ＵＳＥＲ,2,FALSE)),0,VLOOKUP(L232,変ＵＳＥＲ,2,FALSE))</f>
        <v>0</v>
      </c>
      <c r="AP230" s="214">
        <f>IF(N230="",0,N230*1000/BA232^2/SQRT(BA230))</f>
        <v>0</v>
      </c>
      <c r="AQ230" s="213" t="b">
        <f>IF(BA230=1,2,IF(BA230=3,SQRT(3),FALSE))</f>
        <v>0</v>
      </c>
      <c r="AR230" s="215" t="str">
        <f>IF(X230="","",IF(X230="600V IV",VLOOKUP(X232,ＩＶ,2,FALSE),IF(X230="600V CV-T",VLOOKUP(X232,ＣＶＴ,2,FALSE),IF(OR(X230="600V CV-1C",X230="600V CV-2C",X230="600V CV-3C",X230="600V CV-4C"),VLOOKUP(X232,ＣＶ２３Ｃ,2,FALSE),VLOOKUP(X232,ＣＵＳＥＲ,2,FALSE)))))</f>
        <v/>
      </c>
      <c r="AS230" s="213" t="str">
        <f>IF(AB233="",AP232,AP232+(AB233/1000))</f>
        <v/>
      </c>
      <c r="AT230" s="216" t="str">
        <f>IF(AU232="",AT232,AU232)</f>
        <v/>
      </c>
      <c r="AU230" s="216" t="str">
        <f>IF(D230="","",IF(AND(D490="",#REF!&lt;&gt;"",AV233=#REF!),#REF!,IF(AND(D490="",#REF!="",#REF!&lt;&gt;"",AV493=#REF!),#REF!,IF(AND(D490="",#REF!="",#REF!="",#REF!&lt;&gt;"",#REF!=#REF!),#REF!,IF(AND(D490="",#REF!="",#REF!="",#REF!="",D494&lt;&gt;"",#REF!=#REF!),AT494,IF(AND(D490="",#REF!="",#REF!="",#REF!="",D494="",#REF!&lt;&gt;"",#REF!=AV498),#REF!,IF(AND(D490="",#REF!="",#REF!="",#REF!="",D494="",#REF!="",D499&lt;&gt;"",#REF!=AV502),AT499,"")))))))</f>
        <v/>
      </c>
      <c r="AV230" s="216" t="str">
        <f>IF(L230="ACG",IF(ISNA(VLOOKUP(L232,ＡＣＧ,2,FALSE)),0,VLOOKUP(L232,ＡＣＧ,2,FALSE)),"")</f>
        <v/>
      </c>
      <c r="AW230" s="217" t="str">
        <f>IF(AT230="","",AT230/((AT230*AP230)^2+(AT231*AP230-1)^2))</f>
        <v/>
      </c>
      <c r="AX230" s="218" t="str">
        <f>IF(BA232=0,"",IF(OR(AX226="",AF230&lt;&gt;""),AF230*SQRT(AS232^2+AS233^2)/SQRT(AT232^2+AT233^2),AX226*SQRT(AS232^2+AS233^2)/SQRT(AT232^2+AT233^2)))</f>
        <v/>
      </c>
      <c r="AY230" s="219">
        <f>IF(N(AY232)=10^30,10^30,IF(N(AY492)=10^30,(N(AY232)*(N(AY492)^2+N(AY493)^2)+N(AY492)*(N(AY232)^2+N(AY233)^2))/((N(AY232)+N(AY492))^2+(N(AY233)+N(AY493))^2),(N(AY232)*(N(AY490)^2+N(AY491)^2)+N(AY490)*(N(AY232)^2+N(AY233)^2))/((N(AY232)+N(AY490))^2+(N(AY233)+N(AY491))^2)))</f>
        <v>1E+30</v>
      </c>
      <c r="AZ230" s="23"/>
      <c r="BA230" s="220">
        <f>IF(AND(F230="",SUM(S230:S233)&lt;&gt;0),BA226,F230)</f>
        <v>0</v>
      </c>
      <c r="BB230" s="221">
        <f t="shared" si="4"/>
        <v>0</v>
      </c>
      <c r="BC230" s="232">
        <f>IF(OR(E230="",F233="",AND(OR(P230="",Q230="",R230="",T230=""),OR(P231="",Q231="",R231="",T231=""),OR(P232="",Q232="",R232="",T232=""),OR(P233="",Q233="",R233="",T233="")),AND(OR(X230="",X232="",Y232="",Z232=""),OR(AB230="",AB232="",AC232="",AD232=""))),0,1)</f>
        <v>0</v>
      </c>
      <c r="BD230" s="232">
        <f>BC230+BD226</f>
        <v>0</v>
      </c>
    </row>
    <row r="231" spans="1:56" ht="15" customHeight="1">
      <c r="B231" s="85"/>
      <c r="C231" s="271"/>
      <c r="D231" s="409"/>
      <c r="E231" s="362"/>
      <c r="F231" s="410"/>
      <c r="G231" s="266"/>
      <c r="H231" s="266"/>
      <c r="I231" s="266"/>
      <c r="J231" s="266"/>
      <c r="K231" s="273"/>
      <c r="L231" s="411"/>
      <c r="M231" s="197" t="str">
        <f>IF(L230="ACG",SQRT(AV230^2+AV231^2),IF(L232="","",IF(OR(L230="oil cooled type",L230="(F)molded type"),IF(BA230=1,SQRT(AN230^2+AN231^2),IF(BA230=3,SQRT(AN232^2+AN233^2))),SQRT(AO230^2+AO231^2))))</f>
        <v/>
      </c>
      <c r="N231" s="412"/>
      <c r="O231" s="198"/>
      <c r="P231" s="90"/>
      <c r="Q231" s="199"/>
      <c r="R231" s="91"/>
      <c r="S231" s="92" t="str">
        <f>IF(R232="","",IF(Q232="",P232/R232,P232/(Q232*R232)))</f>
        <v/>
      </c>
      <c r="T231" s="200"/>
      <c r="U231" s="201" t="str">
        <f>IF(OR(BA232="",S231=""),"",S231*1000*T231/(SQRT(BA230)*BA232))</f>
        <v/>
      </c>
      <c r="V231" s="255"/>
      <c r="W231" s="248"/>
      <c r="X231" s="258"/>
      <c r="Y231" s="245"/>
      <c r="Z231" s="246"/>
      <c r="AA231" s="240"/>
      <c r="AB231" s="244"/>
      <c r="AC231" s="245"/>
      <c r="AD231" s="246"/>
      <c r="AE231" s="248"/>
      <c r="AF231" s="235" t="str">
        <f>IF(OR(AF230="",AG226&lt;&gt;""),"",AF230*AQ231/SQRT(AT230^2+AT231^2))</f>
        <v/>
      </c>
      <c r="AG231" s="274" t="str">
        <f>IF(AG230="","",100*AG230*AQ231/BA232)</f>
        <v/>
      </c>
      <c r="AH231" s="275"/>
      <c r="AI231" s="260" t="str">
        <f>IF(BA232=0,"",IF(AI226="",AX232/SQRT(AT230^2+AT231^2),IF(AI234="","",IF(AT230&lt;0,-AX230*AQ227/SQRT(AT230^2+AT231^2),AX230*AQ227/SQRT(AT230^2+AT231^2)))))</f>
        <v/>
      </c>
      <c r="AJ231" s="258"/>
      <c r="AK231" s="259"/>
      <c r="AL231" s="187"/>
      <c r="AM231" s="28"/>
      <c r="AN231" s="213" t="b">
        <f>IF(BA230="","",IF(AND(BA230=1,F232=50,L230="oil cooled type"),VLOOKUP(L232,変１,3,FALSE),IF(AND(BA230=1,F232=50,L230="(F)molded type"),VLOOKUP(L232,変１,8,FALSE),IF(AND(BA230=1,F232=60,L230="oil cooled type"),VLOOKUP(L232,変１,13,FALSE),IF(AND(BA230=1,F232=60,L230="(F)molded type"),VLOOKUP(L232,変１,18,FALSE),FALSE)))))</f>
        <v>0</v>
      </c>
      <c r="AO231" s="213">
        <f>IF(ISNA(VLOOKUP(L232,変ＵＳＥＲ,3,FALSE)),0,VLOOKUP(L232,変ＵＳＥＲ,3,FALSE)*BA233/50)</f>
        <v>0</v>
      </c>
      <c r="AP231" s="214">
        <f>IF(W230="",0,W230*1000/BA232^2/SQRT(BA230))</f>
        <v>0</v>
      </c>
      <c r="AQ231" s="213">
        <f>IF(AND(BA230=1,BA231=2),1,IF(AND(BA230=3,BA231=3),1,IF(AND(BA230=1,BA231=3),2,IF(AND(BA230=3,BA231=4)*OR(BB230=1,BB231=1,BB232=1,BB233=1),1,SQRT(3)))))</f>
        <v>1.7320508075688772</v>
      </c>
      <c r="AR231" s="215" t="str">
        <f>IF(X230="","",IF(X230="600V IV",VLOOKUP(X232,ＩＶ,3,FALSE),IF(X230="600V CV-T",VLOOKUP(X232,ＣＶＴ,3,FALSE),IF(OR(X230="600V CV-1C",X230="600V CV-2C",X230="600V CV-3C",X230="600V CV-4C"),VLOOKUP(X232,ＣＶ２３Ｃ,3,FALSE),VLOOKUP(X232,ＣＵＳＥＲ,3,FALSE)))))</f>
        <v/>
      </c>
      <c r="AS231" s="213" t="str">
        <f>IF(AD233="",AP233,AP233+(AD233/1000))</f>
        <v/>
      </c>
      <c r="AT231" s="216" t="str">
        <f>IF(AU233="",AT233,AU233)</f>
        <v/>
      </c>
      <c r="AU231" s="216" t="str">
        <f>IF(D230="","",IF(AND(D490="",#REF!&lt;&gt;"",AV233=#REF!),#REF!,IF(AND(D490="",#REF!="",#REF!&lt;&gt;"",AV493=#REF!),#REF!,IF(AND(D490="",#REF!="",#REF!="",#REF!&lt;&gt;"",#REF!=#REF!),#REF!,IF(AND(D490="",#REF!="",#REF!="",#REF!="",D494&lt;&gt;"",#REF!=#REF!),AT495,IF(AND(D490="",#REF!="",#REF!="",#REF!="",D494="",#REF!&lt;&gt;"",#REF!=AV498),AT496,IF(AND(D490="",#REF!="",#REF!="",#REF!="",D494="",#REF!="",D499&lt;&gt;"",#REF!=AV502),AT500,"")))))))</f>
        <v/>
      </c>
      <c r="AV231" s="215" t="str">
        <f>IF(L230="ACG",IF(ISNA(VLOOKUP(L232,ＡＣＧ,3,FALSE)),0,VLOOKUP(L232,ＡＣＧ,3,FALSE)*BA233/50),"")</f>
        <v/>
      </c>
      <c r="AW231" s="217" t="str">
        <f>IF(AT231="","",(AT231-AP230*(AT230^2+AT231^2))/((AT230*AP230)^2+(AP230*AT231-1)^2))</f>
        <v/>
      </c>
      <c r="AX231" s="218"/>
      <c r="AY231" s="219">
        <f>IF(N(AY233)=10^30,10^30,IF(N(AY493)=10^30,(N(AY233)*(N(AY492)^2+N(AY493)^2)+N(AY493)*(N(AY232)^2+N(AY233)^2))/((N(AY232)+N(AY492))^2+(N(AY233)+N(AY493))^2),(N(AY233)*(N(AY490)^2+N(AY491)^2)+N(AY491)*(N(AY232)^2+N(AY233)^2))/((N(AY232)+N(AY490))^2+(N(AY233)+N(AY491))^2)))</f>
        <v>1E+30</v>
      </c>
      <c r="AZ231" s="23"/>
      <c r="BA231" s="220">
        <f>IF(AND(H230="",SUM(S230:S233)&lt;&gt;0),BA227,H230)</f>
        <v>0</v>
      </c>
      <c r="BB231" s="221">
        <f t="shared" si="4"/>
        <v>0</v>
      </c>
      <c r="BC231" s="232"/>
      <c r="BD231" s="232"/>
    </row>
    <row r="232" spans="1:56" ht="15" customHeight="1">
      <c r="B232" s="85"/>
      <c r="C232" s="271"/>
      <c r="D232" s="409"/>
      <c r="E232" s="362"/>
      <c r="F232" s="413"/>
      <c r="G232" s="414"/>
      <c r="H232" s="414"/>
      <c r="I232" s="414"/>
      <c r="J232" s="414"/>
      <c r="K232" s="415"/>
      <c r="L232" s="416"/>
      <c r="M232" s="275"/>
      <c r="N232" s="412"/>
      <c r="O232" s="198"/>
      <c r="P232" s="93"/>
      <c r="Q232" s="202"/>
      <c r="R232" s="91"/>
      <c r="S232" s="92" t="str">
        <f>IF(R233="","",IF(Q233="",P233/R233,P233/(Q233*R233)))</f>
        <v/>
      </c>
      <c r="T232" s="200"/>
      <c r="U232" s="203" t="str">
        <f>IF(OR(BA232="",S232=""),"",S232*1000*T232/(SQRT(BA230)*BA232))</f>
        <v/>
      </c>
      <c r="V232" s="94" t="str">
        <f>IF(AND(N(U230)=0,N(U231)=0,N(U232)=0,N(U233)=0),"",V230*(P230*R230*T230+P231*R231*T231+P232*R232*T232+P233*R233*T233)/(P230*T230+P231*T231+P232*T232+P233*T233))</f>
        <v/>
      </c>
      <c r="W232" s="276" t="str">
        <f>IF(AND(N(AP232)=0,N(AP233)=0,N(AP231)=0),"",IF(AP233&gt;=0,COS(ATAN(AP233/AP232)),-COS(ATAN(AP233/AP232))))</f>
        <v/>
      </c>
      <c r="X232" s="95"/>
      <c r="Y232" s="204"/>
      <c r="Z232" s="96"/>
      <c r="AA232" s="97"/>
      <c r="AB232" s="98"/>
      <c r="AC232" s="204"/>
      <c r="AD232" s="96"/>
      <c r="AE232" s="99"/>
      <c r="AF232" s="236" t="str">
        <f>IF(OR(AF230="",AG226&lt;&gt;""),"",BA232/SQRT(AW232^2+AW233^2))</f>
        <v/>
      </c>
      <c r="AG232" s="274" t="str">
        <f>IF(AG230="","",100*((BA232/AQ231)-AG230)/(BA232/AQ231))</f>
        <v/>
      </c>
      <c r="AH232" s="275"/>
      <c r="AI232" s="261"/>
      <c r="AJ232" s="262"/>
      <c r="AK232" s="264"/>
      <c r="AL232" s="188"/>
      <c r="AM232" s="28"/>
      <c r="AN232" s="222" t="b">
        <f>IF(BA230="","",IF(AND(BA230=3,F232=50,L230="oil cooled type"),VLOOKUP(L232,変３,2,FALSE),IF(AND(BA230=3,F232=50,L230="(F)molded type"),VLOOKUP(L232,変３,7,FALSE),IF(AND(BA230=3,F232=60,L230="oil cooled type"),VLOOKUP(L232,変３,12,FALSE),IF(AND(BA230=3,F232=60,L230="(F)molded type"),VLOOKUP(L232,変３,17,FALSE),FALSE)))))</f>
        <v>0</v>
      </c>
      <c r="AO232" s="215" t="str">
        <f>IF(AND(L226="",N(AY230)&lt;10^29),AY230,"")</f>
        <v/>
      </c>
      <c r="AP232" s="223" t="str">
        <f>IF(V230="","",IF(AND(N(V232)=0,N(AP231)=0),"",AQ232/((AQ232*AP231)^2+(AP231*AQ233-1)^2)))</f>
        <v/>
      </c>
      <c r="AQ232" s="213">
        <f>IF(N(V232)=0,10^30,V232)</f>
        <v>1E+30</v>
      </c>
      <c r="AR232" s="215" t="str">
        <f>IF(AB230="","",IF(AB230="600V IV",VLOOKUP(AB232,ＩＶ,2,FALSE),IF(AB230="600V CV-T",VLOOKUP(AB232,ＣＶＴ,2,FALSE),IF(OR(AB230="600V CV-1C",AB230="600V CV-2C",AB230="600V CV-3C",AB230="600V CV-4C"),VLOOKUP(AB232,ＣＶ２３Ｃ,2,FALSE),VLOOKUP(AB232,ＣＵＳＥＲ,2,FALSE)))))</f>
        <v/>
      </c>
      <c r="AS232" s="213" t="str">
        <f>IF(OR(AND(AS490="",AS491=""),AND(D230="",D490&lt;&gt;"")),AS230,(AS230*(AT490^2+AT491^2)+AT490*(AS230^2+AS231^2))/((AS230+AT490)^2+(AS231+AT491)^2))</f>
        <v/>
      </c>
      <c r="AT232" s="216" t="str">
        <f>IF(X233="",AS232,N(AS232)+(X233/1000))</f>
        <v/>
      </c>
      <c r="AU232" s="216" t="str">
        <f>IF(AU230="","",(AT232*(AU230^2+AU231^2)+AU230*(AT232^2+AT233^2))/((AT232+AU230)^2+(AT233+AU231)^2))</f>
        <v/>
      </c>
      <c r="AV232" s="216">
        <f>IF(BA232=0,1,0)</f>
        <v>1</v>
      </c>
      <c r="AW232" s="217" t="str">
        <f>IF(AO232="","",AW230+AO232)</f>
        <v/>
      </c>
      <c r="AX232" s="218" t="str">
        <f>IF(AND(AX228="",AW232&lt;&gt;""),BA232*SQRT(AW230^2+AW231^2)/SQRT(AW232^2+AW233^2),IF(BA232&lt;&gt;0,AX228,""))</f>
        <v/>
      </c>
      <c r="AY232" s="224">
        <f>IF(L232="",10^30,SQRT(BA230)*(BA232^2)*(N(AN230)+N(AN232)+N(AO230)+N(AV230))/(100000*L232*M230))</f>
        <v>1E+30</v>
      </c>
      <c r="AZ232" s="225"/>
      <c r="BA232" s="220">
        <f>IF(AND(J230="",SUM(S230:S233)&lt;&gt;0),BA228,J230)</f>
        <v>0</v>
      </c>
      <c r="BB232" s="221">
        <f t="shared" si="4"/>
        <v>0</v>
      </c>
      <c r="BC232" s="232"/>
      <c r="BD232" s="232"/>
    </row>
    <row r="233" spans="1:56" ht="15" customHeight="1">
      <c r="A233" s="85"/>
      <c r="B233" s="85"/>
      <c r="C233" s="271"/>
      <c r="D233" s="417"/>
      <c r="E233" s="418"/>
      <c r="F233" s="419"/>
      <c r="G233" s="270"/>
      <c r="H233" s="270"/>
      <c r="I233" s="270"/>
      <c r="J233" s="270"/>
      <c r="K233" s="268"/>
      <c r="L233" s="251" t="str">
        <f>IF(M230="","",L232*1000*M230/(SQRT(BA230)*BA232))</f>
        <v/>
      </c>
      <c r="M233" s="252"/>
      <c r="N233" s="277"/>
      <c r="O233" s="205"/>
      <c r="P233" s="106"/>
      <c r="Q233" s="206"/>
      <c r="R233" s="107"/>
      <c r="S233" s="108" t="str">
        <f>IF(R233="","",IF(Q233="",P233/R233,P233/(Q233*R233)))</f>
        <v/>
      </c>
      <c r="T233" s="207"/>
      <c r="U233" s="208" t="str">
        <f>IF(OR(BA232="",S233=""),"",S233*1000*T233/(SQRT(BA230)*BA232))</f>
        <v/>
      </c>
      <c r="V233" s="109" t="str">
        <f>IF(AND(N(U230)=0,N(U231)=0,N(U232)=0,N(U233)=0),"",IF(V230&gt;=0,SQRT(ABS(V230^2-V232^2)),-SQRT(V230^2-V232^2)))</f>
        <v/>
      </c>
      <c r="W233" s="277"/>
      <c r="X233" s="278" t="str">
        <f>IF(Y232="","",AQ230*Z232*AR230*((1+0.00393*(F233-20))/1.2751)/Y232)</f>
        <v/>
      </c>
      <c r="Y233" s="270"/>
      <c r="Z233" s="267" t="str">
        <f>IF(Y232="","",(BA233/50)*AQ230*Z232*AR231/Y232)</f>
        <v/>
      </c>
      <c r="AA233" s="252"/>
      <c r="AB233" s="279" t="str">
        <f>IF(AC232="","",AQ230*AD232*AR232*((1+0.00393*(F233-20))/1.2751)/AC232)</f>
        <v/>
      </c>
      <c r="AC233" s="270"/>
      <c r="AD233" s="267" t="str">
        <f>IF(AC232="","",(BA233/50)*AQ230*AD232*AR233/AC232)</f>
        <v/>
      </c>
      <c r="AE233" s="268"/>
      <c r="AF233" s="237" t="str">
        <f>IF(AND(AX230&lt;&gt;"",D230=""),AX230,"")</f>
        <v/>
      </c>
      <c r="AG233" s="269" t="str">
        <f>IF(AP232="","",AP232)</f>
        <v/>
      </c>
      <c r="AH233" s="270"/>
      <c r="AI233" s="238" t="str">
        <f>IF(AP233="","",AP233)</f>
        <v/>
      </c>
      <c r="AJ233" s="263"/>
      <c r="AK233" s="253"/>
      <c r="AL233" s="189"/>
      <c r="AM233" s="28"/>
      <c r="AN233" s="226" t="b">
        <f>IF(BA230="","",IF(AND(BA230=3,F232=50,L230="oil cooled type"),VLOOKUP(L232,変３,3,FALSE),IF(AND(BA230=3,F232=50,L230="(F)molded type"),VLOOKUP(L232,変３,8,FALSE),IF(AND(BA230=3,F232=60,L230="oil cooled type"),VLOOKUP(L232,変３,13,FALSE),IF(AND(BA230=3,F232=60,L230="(F)molded type"),VLOOKUP(L232,変３,18,FALSE),FALSE)))))</f>
        <v>0</v>
      </c>
      <c r="AO233" s="226" t="str">
        <f>IF(AND(L226="",N(AY231)&lt;10^29),AY231,"")</f>
        <v/>
      </c>
      <c r="AP233" s="227" t="str">
        <f>IF(V230="","",IF(AND(N(V233)=0,N(AP231)=0),0,(AQ233-AP231*(AQ232^2+AQ233^2))/((AQ232*AP231)^2+(AP231*AQ233-1)^2)))</f>
        <v/>
      </c>
      <c r="AQ233" s="228">
        <f>IF(N(V233)=0,10^30,V233)</f>
        <v>1E+30</v>
      </c>
      <c r="AR233" s="226" t="str">
        <f>IF(AB230="","",IF(AB230="600V IV",VLOOKUP(AB232,ＩＶ,3,FALSE),IF(AB230="600V CV-T",VLOOKUP(AB232,ＣＶＴ,3,FALSE),IF(OR(AB230="600V CV-1C",AB230="600V CV-2C",AB230="600V CV-3C",AB230="600V CV-4C"),VLOOKUP(AB232,ＣＶ２３Ｃ,3,FALSE),VLOOKUP(AB232,ＣＵＳＥＲ,3,FALSE)))))</f>
        <v/>
      </c>
      <c r="AS233" s="228" t="str">
        <f>IF(OR(AND(AS490="",AS491=""),AND(D230="",D490&lt;&gt;"")),AS231,(AS231*(AT490^2+AT491^2)+AT491*(AS230^2+AS231^2))/((AS230+AT490)^2+(AS231+AT491)^2))</f>
        <v/>
      </c>
      <c r="AT233" s="229" t="str">
        <f>IF(Z233="",AS233,N(AS233)+(Z233/1000))</f>
        <v/>
      </c>
      <c r="AU233" s="229" t="str">
        <f>IF(AU231="","",(AT233*(AU230^2+AU231^2)+AU231*(AT232^2+AT233^2))/((AT232+AU230)^2+(AT233+AU231)^2))</f>
        <v/>
      </c>
      <c r="AV233" s="229">
        <f>AV229+AV232</f>
        <v>54</v>
      </c>
      <c r="AW233" s="228" t="str">
        <f>IF(AO233="","",AW231+AO233)</f>
        <v/>
      </c>
      <c r="AX233" s="230"/>
      <c r="AY233" s="224">
        <f>IF(L232="",10^30,SQRT(BA230)*(BA232^2)*(N(AN231)+N(AN233)+N(AO231)+N(AV231))/(100000*L232*M230))</f>
        <v>1E+30</v>
      </c>
      <c r="AZ233" s="225"/>
      <c r="BA233" s="220">
        <f>IF(AND(F232="",SUM(S230:S233)&lt;&gt;0),BA229,F232)</f>
        <v>0</v>
      </c>
      <c r="BB233" s="221">
        <f t="shared" si="4"/>
        <v>0</v>
      </c>
      <c r="BC233" s="232"/>
      <c r="BD233" s="232"/>
    </row>
    <row r="234" spans="1:56" ht="15" customHeight="1">
      <c r="B234" s="85"/>
      <c r="C234" s="271" t="str">
        <f>IF(BC234=1,"●","・")</f>
        <v>・</v>
      </c>
      <c r="D234" s="402"/>
      <c r="E234" s="403"/>
      <c r="F234" s="404"/>
      <c r="G234" s="265" t="str">
        <f>IF(F234="","","φ")</f>
        <v/>
      </c>
      <c r="H234" s="405"/>
      <c r="I234" s="265" t="str">
        <f>IF(H234="","","W")</f>
        <v/>
      </c>
      <c r="J234" s="405"/>
      <c r="K234" s="272" t="str">
        <f>IF(J234="","","V")</f>
        <v/>
      </c>
      <c r="L234" s="406"/>
      <c r="M234" s="407"/>
      <c r="N234" s="408"/>
      <c r="O234" s="193"/>
      <c r="P234" s="86"/>
      <c r="Q234" s="194"/>
      <c r="R234" s="87"/>
      <c r="S234" s="88" t="str">
        <f>IF(R234="","",IF(Q234="",P234/R234,P234/(Q234*R234)))</f>
        <v/>
      </c>
      <c r="T234" s="195"/>
      <c r="U234" s="196" t="str">
        <f>IF(OR(BA236="",S234=""),"",S234*1000*T234/(SQRT(BA234)*BA236))</f>
        <v/>
      </c>
      <c r="V234" s="254" t="str">
        <f>IF(AND(N(U234)=0,N(U235)=0,N(U236)=0,N(U237)=0),"",BA236/(SUM(U234:U237)))</f>
        <v/>
      </c>
      <c r="W234" s="280"/>
      <c r="X234" s="281"/>
      <c r="Y234" s="242"/>
      <c r="Z234" s="243"/>
      <c r="AA234" s="239"/>
      <c r="AB234" s="241"/>
      <c r="AC234" s="242"/>
      <c r="AD234" s="243"/>
      <c r="AE234" s="247"/>
      <c r="AF234" s="233" t="str">
        <f>IF(OR(AND(AF230="",N(BA232)=0,BA236&lt;&gt;0),D234&lt;&gt;""),AX236/AQ235,"")</f>
        <v/>
      </c>
      <c r="AG234" s="249" t="str">
        <f>IF(BA236=0,"",IF(AD236="",AX234,IF(AND(D234&lt;&gt;"",AU234=""),AX236*SQRT(AP236^2+AP237^2)/SQRT(AS234^2+AS235^2)/AQ235,AX234*SQRT(AP236^2+AP237^2)/SQRT(AS234^2+AS235^2))))</f>
        <v/>
      </c>
      <c r="AH234" s="250"/>
      <c r="AI234" s="234" t="str">
        <f>IF(AG234="","",IF(N(U234)&lt;0,-AX234*AQ235/SQRT(AS234^2+AS235^2),AX234*AQ235/SQRT(AS234^2+AS235^2)))</f>
        <v/>
      </c>
      <c r="AJ234" s="256"/>
      <c r="AK234" s="257"/>
      <c r="AL234" s="186"/>
      <c r="AM234" s="28"/>
      <c r="AN234" s="213" t="b">
        <f>IF(BA234="","",IF(AND(BA234=1,F236=50,L234="oil cooled type"),VLOOKUP(L236,変１,2,FALSE),IF(AND(BA234=1,F236=50,L234="(F)molded type"),VLOOKUP(L236,変１,7,FALSE),IF(AND(BA234=1,F236=60,L234="oil cooled type"),VLOOKUP(L236,変１,12,FALSE),IF(AND(BA234=1,F236=60,L234="(F)molded type"),VLOOKUP(L236,変１,17,FALSE),FALSE)))))</f>
        <v>0</v>
      </c>
      <c r="AO234" s="213">
        <f>IF(ISNA(VLOOKUP(L236,変ＵＳＥＲ,2,FALSE)),0,VLOOKUP(L236,変ＵＳＥＲ,2,FALSE))</f>
        <v>0</v>
      </c>
      <c r="AP234" s="214">
        <f>IF(N234="",0,N234*1000/BA236^2/SQRT(BA234))</f>
        <v>0</v>
      </c>
      <c r="AQ234" s="213" t="b">
        <f>IF(BA234=1,2,IF(BA234=3,SQRT(3),FALSE))</f>
        <v>0</v>
      </c>
      <c r="AR234" s="215" t="str">
        <f>IF(X234="","",IF(X234="600V IV",VLOOKUP(X236,ＩＶ,2,FALSE),IF(X234="600V CV-T",VLOOKUP(X236,ＣＶＴ,2,FALSE),IF(OR(X234="600V CV-1C",X234="600V CV-2C",X234="600V CV-3C",X234="600V CV-4C"),VLOOKUP(X236,ＣＶ２３Ｃ,2,FALSE),VLOOKUP(X236,ＣＵＳＥＲ,2,FALSE)))))</f>
        <v/>
      </c>
      <c r="AS234" s="213" t="str">
        <f>IF(AB237="",AP236,AP236+(AB237/1000))</f>
        <v/>
      </c>
      <c r="AT234" s="216" t="str">
        <f>IF(AU236="",AT236,AU236)</f>
        <v/>
      </c>
      <c r="AU234" s="216" t="str">
        <f>IF(D234="","",IF(AND(D494="",#REF!&lt;&gt;"",AV237=#REF!),#REF!,IF(AND(D494="",#REF!="",#REF!&lt;&gt;"",AV497=#REF!),#REF!,IF(AND(D494="",#REF!="",#REF!="",#REF!&lt;&gt;"",#REF!=#REF!),#REF!,IF(AND(D494="",#REF!="",#REF!="",#REF!="",D498&lt;&gt;"",#REF!=#REF!),AT498,IF(AND(D494="",#REF!="",#REF!="",#REF!="",D498="",#REF!&lt;&gt;"",#REF!=AV502),#REF!,IF(AND(D494="",#REF!="",#REF!="",#REF!="",D498="",#REF!="",D503&lt;&gt;"",#REF!=AV506),AT503,"")))))))</f>
        <v/>
      </c>
      <c r="AV234" s="216" t="str">
        <f>IF(L234="ACG",IF(ISNA(VLOOKUP(L236,ＡＣＧ,2,FALSE)),0,VLOOKUP(L236,ＡＣＧ,2,FALSE)),"")</f>
        <v/>
      </c>
      <c r="AW234" s="217" t="str">
        <f>IF(AT234="","",AT234/((AT234*AP234)^2+(AT235*AP234-1)^2))</f>
        <v/>
      </c>
      <c r="AX234" s="218" t="str">
        <f>IF(BA236=0,"",IF(OR(AX230="",AF234&lt;&gt;""),AF234*SQRT(AS236^2+AS237^2)/SQRT(AT236^2+AT237^2),AX230*SQRT(AS236^2+AS237^2)/SQRT(AT236^2+AT237^2)))</f>
        <v/>
      </c>
      <c r="AY234" s="219">
        <f>IF(N(AY236)=10^30,10^30,IF(N(AY496)=10^30,(N(AY236)*(N(AY496)^2+N(AY497)^2)+N(AY496)*(N(AY236)^2+N(AY237)^2))/((N(AY236)+N(AY496))^2+(N(AY237)+N(AY497))^2),(N(AY236)*(N(AY494)^2+N(AY495)^2)+N(AY494)*(N(AY236)^2+N(AY237)^2))/((N(AY236)+N(AY494))^2+(N(AY237)+N(AY495))^2)))</f>
        <v>1E+30</v>
      </c>
      <c r="AZ234" s="23"/>
      <c r="BA234" s="220">
        <f>IF(AND(F234="",SUM(S234:S237)&lt;&gt;0),BA230,F234)</f>
        <v>0</v>
      </c>
      <c r="BB234" s="221">
        <f t="shared" ref="BB234:BB293" si="5">IF(OR(O234="熱源動力",O234="換気動力",O234="衛生動力",O234="生産動力",O234="動力差込",O234="防災動力"),1,0)</f>
        <v>0</v>
      </c>
      <c r="BC234" s="232">
        <f>IF(OR(E234="",F237="",AND(OR(P234="",Q234="",R234="",T234=""),OR(P235="",Q235="",R235="",T235=""),OR(P236="",Q236="",R236="",T236=""),OR(P237="",Q237="",R237="",T237="")),AND(OR(X234="",X236="",Y236="",Z236=""),OR(AB234="",AB236="",AC236="",AD236=""))),0,1)</f>
        <v>0</v>
      </c>
      <c r="BD234" s="232">
        <f>BC234+BD230</f>
        <v>0</v>
      </c>
    </row>
    <row r="235" spans="1:56" ht="15" customHeight="1">
      <c r="B235" s="85"/>
      <c r="C235" s="271"/>
      <c r="D235" s="409"/>
      <c r="E235" s="362"/>
      <c r="F235" s="410"/>
      <c r="G235" s="266"/>
      <c r="H235" s="266"/>
      <c r="I235" s="266"/>
      <c r="J235" s="266"/>
      <c r="K235" s="273"/>
      <c r="L235" s="411"/>
      <c r="M235" s="197" t="str">
        <f>IF(L234="ACG",SQRT(AV234^2+AV235^2),IF(L236="","",IF(OR(L234="oil cooled type",L234="(F)molded type"),IF(BA234=1,SQRT(AN234^2+AN235^2),IF(BA234=3,SQRT(AN236^2+AN237^2))),SQRT(AO234^2+AO235^2))))</f>
        <v/>
      </c>
      <c r="N235" s="412"/>
      <c r="O235" s="198"/>
      <c r="P235" s="90"/>
      <c r="Q235" s="199"/>
      <c r="R235" s="91"/>
      <c r="S235" s="92" t="str">
        <f>IF(R236="","",IF(Q236="",P236/R236,P236/(Q236*R236)))</f>
        <v/>
      </c>
      <c r="T235" s="200"/>
      <c r="U235" s="201" t="str">
        <f>IF(OR(BA236="",S235=""),"",S235*1000*T235/(SQRT(BA234)*BA236))</f>
        <v/>
      </c>
      <c r="V235" s="255"/>
      <c r="W235" s="248"/>
      <c r="X235" s="258"/>
      <c r="Y235" s="245"/>
      <c r="Z235" s="246"/>
      <c r="AA235" s="240"/>
      <c r="AB235" s="244"/>
      <c r="AC235" s="245"/>
      <c r="AD235" s="246"/>
      <c r="AE235" s="248"/>
      <c r="AF235" s="235" t="str">
        <f>IF(OR(AF234="",AG230&lt;&gt;""),"",AF234*AQ235/SQRT(AT234^2+AT235^2))</f>
        <v/>
      </c>
      <c r="AG235" s="274" t="str">
        <f>IF(AG234="","",100*AG234*AQ235/BA236)</f>
        <v/>
      </c>
      <c r="AH235" s="275"/>
      <c r="AI235" s="260" t="str">
        <f>IF(BA236=0,"",IF(AI230="",AX236/SQRT(AT234^2+AT235^2),IF(AI238="","",IF(AT234&lt;0,-AX234*AQ231/SQRT(AT234^2+AT235^2),AX234*AQ231/SQRT(AT234^2+AT235^2)))))</f>
        <v/>
      </c>
      <c r="AJ235" s="258"/>
      <c r="AK235" s="259"/>
      <c r="AL235" s="187"/>
      <c r="AM235" s="28"/>
      <c r="AN235" s="213" t="b">
        <f>IF(BA234="","",IF(AND(BA234=1,F236=50,L234="oil cooled type"),VLOOKUP(L236,変１,3,FALSE),IF(AND(BA234=1,F236=50,L234="(F)molded type"),VLOOKUP(L236,変１,8,FALSE),IF(AND(BA234=1,F236=60,L234="oil cooled type"),VLOOKUP(L236,変１,13,FALSE),IF(AND(BA234=1,F236=60,L234="(F)molded type"),VLOOKUP(L236,変１,18,FALSE),FALSE)))))</f>
        <v>0</v>
      </c>
      <c r="AO235" s="213">
        <f>IF(ISNA(VLOOKUP(L236,変ＵＳＥＲ,3,FALSE)),0,VLOOKUP(L236,変ＵＳＥＲ,3,FALSE)*BA237/50)</f>
        <v>0</v>
      </c>
      <c r="AP235" s="214">
        <f>IF(W234="",0,W234*1000/BA236^2/SQRT(BA234))</f>
        <v>0</v>
      </c>
      <c r="AQ235" s="213">
        <f>IF(AND(BA234=1,BA235=2),1,IF(AND(BA234=3,BA235=3),1,IF(AND(BA234=1,BA235=3),2,IF(AND(BA234=3,BA235=4)*OR(BB234=1,BB235=1,BB236=1,BB237=1),1,SQRT(3)))))</f>
        <v>1.7320508075688772</v>
      </c>
      <c r="AR235" s="215" t="str">
        <f>IF(X234="","",IF(X234="600V IV",VLOOKUP(X236,ＩＶ,3,FALSE),IF(X234="600V CV-T",VLOOKUP(X236,ＣＶＴ,3,FALSE),IF(OR(X234="600V CV-1C",X234="600V CV-2C",X234="600V CV-3C",X234="600V CV-4C"),VLOOKUP(X236,ＣＶ２３Ｃ,3,FALSE),VLOOKUP(X236,ＣＵＳＥＲ,3,FALSE)))))</f>
        <v/>
      </c>
      <c r="AS235" s="213" t="str">
        <f>IF(AD237="",AP237,AP237+(AD237/1000))</f>
        <v/>
      </c>
      <c r="AT235" s="216" t="str">
        <f>IF(AU237="",AT237,AU237)</f>
        <v/>
      </c>
      <c r="AU235" s="216" t="str">
        <f>IF(D234="","",IF(AND(D494="",#REF!&lt;&gt;"",AV237=#REF!),#REF!,IF(AND(D494="",#REF!="",#REF!&lt;&gt;"",AV497=#REF!),#REF!,IF(AND(D494="",#REF!="",#REF!="",#REF!&lt;&gt;"",#REF!=#REF!),#REF!,IF(AND(D494="",#REF!="",#REF!="",#REF!="",D498&lt;&gt;"",#REF!=#REF!),AT499,IF(AND(D494="",#REF!="",#REF!="",#REF!="",D498="",#REF!&lt;&gt;"",#REF!=AV502),AT500,IF(AND(D494="",#REF!="",#REF!="",#REF!="",D498="",#REF!="",D503&lt;&gt;"",#REF!=AV506),AT504,"")))))))</f>
        <v/>
      </c>
      <c r="AV235" s="215" t="str">
        <f>IF(L234="ACG",IF(ISNA(VLOOKUP(L236,ＡＣＧ,3,FALSE)),0,VLOOKUP(L236,ＡＣＧ,3,FALSE)*BA237/50),"")</f>
        <v/>
      </c>
      <c r="AW235" s="217" t="str">
        <f>IF(AT235="","",(AT235-AP234*(AT234^2+AT235^2))/((AT234*AP234)^2+(AP234*AT235-1)^2))</f>
        <v/>
      </c>
      <c r="AX235" s="218"/>
      <c r="AY235" s="219">
        <f>IF(N(AY237)=10^30,10^30,IF(N(AY497)=10^30,(N(AY237)*(N(AY496)^2+N(AY497)^2)+N(AY497)*(N(AY236)^2+N(AY237)^2))/((N(AY236)+N(AY496))^2+(N(AY237)+N(AY497))^2),(N(AY237)*(N(AY494)^2+N(AY495)^2)+N(AY495)*(N(AY236)^2+N(AY237)^2))/((N(AY236)+N(AY494))^2+(N(AY237)+N(AY495))^2)))</f>
        <v>1E+30</v>
      </c>
      <c r="AZ235" s="23"/>
      <c r="BA235" s="220">
        <f>IF(AND(H234="",SUM(S234:S237)&lt;&gt;0),BA231,H234)</f>
        <v>0</v>
      </c>
      <c r="BB235" s="221">
        <f t="shared" si="5"/>
        <v>0</v>
      </c>
      <c r="BC235" s="232"/>
      <c r="BD235" s="232"/>
    </row>
    <row r="236" spans="1:56" ht="15" customHeight="1">
      <c r="B236" s="85"/>
      <c r="C236" s="271"/>
      <c r="D236" s="409"/>
      <c r="E236" s="362"/>
      <c r="F236" s="413"/>
      <c r="G236" s="414"/>
      <c r="H236" s="414"/>
      <c r="I236" s="414"/>
      <c r="J236" s="414"/>
      <c r="K236" s="415"/>
      <c r="L236" s="416"/>
      <c r="M236" s="275"/>
      <c r="N236" s="412"/>
      <c r="O236" s="198"/>
      <c r="P236" s="93"/>
      <c r="Q236" s="202"/>
      <c r="R236" s="91"/>
      <c r="S236" s="92" t="str">
        <f>IF(R237="","",IF(Q237="",P237/R237,P237/(Q237*R237)))</f>
        <v/>
      </c>
      <c r="T236" s="200"/>
      <c r="U236" s="203" t="str">
        <f>IF(OR(BA236="",S236=""),"",S236*1000*T236/(SQRT(BA234)*BA236))</f>
        <v/>
      </c>
      <c r="V236" s="94" t="str">
        <f>IF(AND(N(U234)=0,N(U235)=0,N(U236)=0,N(U237)=0),"",V234*(P234*R234*T234+P235*R235*T235+P236*R236*T236+P237*R237*T237)/(P234*T234+P235*T235+P236*T236+P237*T237))</f>
        <v/>
      </c>
      <c r="W236" s="276" t="str">
        <f>IF(AND(N(AP236)=0,N(AP237)=0,N(AP235)=0),"",IF(AP237&gt;=0,COS(ATAN(AP237/AP236)),-COS(ATAN(AP237/AP236))))</f>
        <v/>
      </c>
      <c r="X236" s="95"/>
      <c r="Y236" s="204"/>
      <c r="Z236" s="96"/>
      <c r="AA236" s="97"/>
      <c r="AB236" s="98"/>
      <c r="AC236" s="204"/>
      <c r="AD236" s="96"/>
      <c r="AE236" s="99"/>
      <c r="AF236" s="236" t="str">
        <f>IF(OR(AF234="",AG230&lt;&gt;""),"",BA236/SQRT(AW236^2+AW237^2))</f>
        <v/>
      </c>
      <c r="AG236" s="274" t="str">
        <f>IF(AG234="","",100*((BA236/AQ235)-AG234)/(BA236/AQ235))</f>
        <v/>
      </c>
      <c r="AH236" s="275"/>
      <c r="AI236" s="261"/>
      <c r="AJ236" s="262"/>
      <c r="AK236" s="264"/>
      <c r="AL236" s="188"/>
      <c r="AM236" s="28"/>
      <c r="AN236" s="222" t="b">
        <f>IF(BA234="","",IF(AND(BA234=3,F236=50,L234="oil cooled type"),VLOOKUP(L236,変３,2,FALSE),IF(AND(BA234=3,F236=50,L234="(F)molded type"),VLOOKUP(L236,変３,7,FALSE),IF(AND(BA234=3,F236=60,L234="oil cooled type"),VLOOKUP(L236,変３,12,FALSE),IF(AND(BA234=3,F236=60,L234="(F)molded type"),VLOOKUP(L236,変３,17,FALSE),FALSE)))))</f>
        <v>0</v>
      </c>
      <c r="AO236" s="215" t="str">
        <f>IF(AND(L230="",N(AY234)&lt;10^29),AY234,"")</f>
        <v/>
      </c>
      <c r="AP236" s="223" t="str">
        <f>IF(V234="","",IF(AND(N(V236)=0,N(AP235)=0),"",AQ236/((AQ236*AP235)^2+(AP235*AQ237-1)^2)))</f>
        <v/>
      </c>
      <c r="AQ236" s="213">
        <f>IF(N(V236)=0,10^30,V236)</f>
        <v>1E+30</v>
      </c>
      <c r="AR236" s="215" t="str">
        <f>IF(AB234="","",IF(AB234="600V IV",VLOOKUP(AB236,ＩＶ,2,FALSE),IF(AB234="600V CV-T",VLOOKUP(AB236,ＣＶＴ,2,FALSE),IF(OR(AB234="600V CV-1C",AB234="600V CV-2C",AB234="600V CV-3C",AB234="600V CV-4C"),VLOOKUP(AB236,ＣＶ２３Ｃ,2,FALSE),VLOOKUP(AB236,ＣＵＳＥＲ,2,FALSE)))))</f>
        <v/>
      </c>
      <c r="AS236" s="213" t="str">
        <f>IF(OR(AND(AS494="",AS495=""),AND(D234="",D494&lt;&gt;"")),AS234,(AS234*(AT494^2+AT495^2)+AT494*(AS234^2+AS235^2))/((AS234+AT494)^2+(AS235+AT495)^2))</f>
        <v/>
      </c>
      <c r="AT236" s="216" t="str">
        <f>IF(X237="",AS236,N(AS236)+(X237/1000))</f>
        <v/>
      </c>
      <c r="AU236" s="216" t="str">
        <f>IF(AU234="","",(AT236*(AU234^2+AU235^2)+AU234*(AT236^2+AT237^2))/((AT236+AU234)^2+(AT237+AU235)^2))</f>
        <v/>
      </c>
      <c r="AV236" s="216">
        <f>IF(BA236=0,1,0)</f>
        <v>1</v>
      </c>
      <c r="AW236" s="217" t="str">
        <f>IF(AO236="","",AW234+AO236)</f>
        <v/>
      </c>
      <c r="AX236" s="218" t="str">
        <f>IF(AND(AX232="",AW236&lt;&gt;""),BA236*SQRT(AW234^2+AW235^2)/SQRT(AW236^2+AW237^2),IF(BA236&lt;&gt;0,AX232,""))</f>
        <v/>
      </c>
      <c r="AY236" s="224">
        <f>IF(L236="",10^30,SQRT(BA234)*(BA236^2)*(N(AN234)+N(AN236)+N(AO234)+N(AV234))/(100000*L236*M234))</f>
        <v>1E+30</v>
      </c>
      <c r="AZ236" s="225"/>
      <c r="BA236" s="220">
        <f>IF(AND(J234="",SUM(S234:S237)&lt;&gt;0),BA232,J234)</f>
        <v>0</v>
      </c>
      <c r="BB236" s="221">
        <f t="shared" si="5"/>
        <v>0</v>
      </c>
      <c r="BC236" s="232"/>
      <c r="BD236" s="232"/>
    </row>
    <row r="237" spans="1:56" ht="15" customHeight="1">
      <c r="A237" s="85"/>
      <c r="B237" s="85"/>
      <c r="C237" s="271"/>
      <c r="D237" s="417"/>
      <c r="E237" s="418"/>
      <c r="F237" s="419"/>
      <c r="G237" s="270"/>
      <c r="H237" s="270"/>
      <c r="I237" s="270"/>
      <c r="J237" s="270"/>
      <c r="K237" s="268"/>
      <c r="L237" s="251" t="str">
        <f>IF(M234="","",L236*1000*M234/(SQRT(BA234)*BA236))</f>
        <v/>
      </c>
      <c r="M237" s="252"/>
      <c r="N237" s="277"/>
      <c r="O237" s="205"/>
      <c r="P237" s="106"/>
      <c r="Q237" s="206"/>
      <c r="R237" s="107"/>
      <c r="S237" s="108" t="str">
        <f>IF(R237="","",IF(Q237="",P237/R237,P237/(Q237*R237)))</f>
        <v/>
      </c>
      <c r="T237" s="207"/>
      <c r="U237" s="208" t="str">
        <f>IF(OR(BA236="",S237=""),"",S237*1000*T237/(SQRT(BA234)*BA236))</f>
        <v/>
      </c>
      <c r="V237" s="109" t="str">
        <f>IF(AND(N(U234)=0,N(U235)=0,N(U236)=0,N(U237)=0),"",IF(V234&gt;=0,SQRT(ABS(V234^2-V236^2)),-SQRT(V234^2-V236^2)))</f>
        <v/>
      </c>
      <c r="W237" s="277"/>
      <c r="X237" s="278" t="str">
        <f>IF(Y236="","",AQ234*Z236*AR234*((1+0.00393*(F237-20))/1.2751)/Y236)</f>
        <v/>
      </c>
      <c r="Y237" s="270"/>
      <c r="Z237" s="267" t="str">
        <f>IF(Y236="","",(BA237/50)*AQ234*Z236*AR235/Y236)</f>
        <v/>
      </c>
      <c r="AA237" s="252"/>
      <c r="AB237" s="279" t="str">
        <f>IF(AC236="","",AQ234*AD236*AR236*((1+0.00393*(F237-20))/1.2751)/AC236)</f>
        <v/>
      </c>
      <c r="AC237" s="270"/>
      <c r="AD237" s="267" t="str">
        <f>IF(AC236="","",(BA237/50)*AQ234*AD236*AR237/AC236)</f>
        <v/>
      </c>
      <c r="AE237" s="268"/>
      <c r="AF237" s="237" t="str">
        <f>IF(AND(AX234&lt;&gt;"",D234=""),AX234,"")</f>
        <v/>
      </c>
      <c r="AG237" s="269" t="str">
        <f>IF(AP236="","",AP236)</f>
        <v/>
      </c>
      <c r="AH237" s="270"/>
      <c r="AI237" s="238" t="str">
        <f>IF(AP237="","",AP237)</f>
        <v/>
      </c>
      <c r="AJ237" s="263"/>
      <c r="AK237" s="253"/>
      <c r="AL237" s="189"/>
      <c r="AM237" s="28"/>
      <c r="AN237" s="226" t="b">
        <f>IF(BA234="","",IF(AND(BA234=3,F236=50,L234="oil cooled type"),VLOOKUP(L236,変３,3,FALSE),IF(AND(BA234=3,F236=50,L234="(F)molded type"),VLOOKUP(L236,変３,8,FALSE),IF(AND(BA234=3,F236=60,L234="oil cooled type"),VLOOKUP(L236,変３,13,FALSE),IF(AND(BA234=3,F236=60,L234="(F)molded type"),VLOOKUP(L236,変３,18,FALSE),FALSE)))))</f>
        <v>0</v>
      </c>
      <c r="AO237" s="226" t="str">
        <f>IF(AND(L230="",N(AY235)&lt;10^29),AY235,"")</f>
        <v/>
      </c>
      <c r="AP237" s="227" t="str">
        <f>IF(V234="","",IF(AND(N(V237)=0,N(AP235)=0),0,(AQ237-AP235*(AQ236^2+AQ237^2))/((AQ236*AP235)^2+(AP235*AQ237-1)^2)))</f>
        <v/>
      </c>
      <c r="AQ237" s="228">
        <f>IF(N(V237)=0,10^30,V237)</f>
        <v>1E+30</v>
      </c>
      <c r="AR237" s="226" t="str">
        <f>IF(AB234="","",IF(AB234="600V IV",VLOOKUP(AB236,ＩＶ,3,FALSE),IF(AB234="600V CV-T",VLOOKUP(AB236,ＣＶＴ,3,FALSE),IF(OR(AB234="600V CV-1C",AB234="600V CV-2C",AB234="600V CV-3C",AB234="600V CV-4C"),VLOOKUP(AB236,ＣＶ２３Ｃ,3,FALSE),VLOOKUP(AB236,ＣＵＳＥＲ,3,FALSE)))))</f>
        <v/>
      </c>
      <c r="AS237" s="228" t="str">
        <f>IF(OR(AND(AS494="",AS495=""),AND(D234="",D494&lt;&gt;"")),AS235,(AS235*(AT494^2+AT495^2)+AT495*(AS234^2+AS235^2))/((AS234+AT494)^2+(AS235+AT495)^2))</f>
        <v/>
      </c>
      <c r="AT237" s="229" t="str">
        <f>IF(Z237="",AS237,N(AS237)+(Z237/1000))</f>
        <v/>
      </c>
      <c r="AU237" s="229" t="str">
        <f>IF(AU235="","",(AT237*(AU234^2+AU235^2)+AU235*(AT236^2+AT237^2))/((AT236+AU234)^2+(AT237+AU235)^2))</f>
        <v/>
      </c>
      <c r="AV237" s="229">
        <f>AV233+AV236</f>
        <v>55</v>
      </c>
      <c r="AW237" s="228" t="str">
        <f>IF(AO237="","",AW235+AO237)</f>
        <v/>
      </c>
      <c r="AX237" s="230"/>
      <c r="AY237" s="224">
        <f>IF(L236="",10^30,SQRT(BA234)*(BA236^2)*(N(AN235)+N(AN237)+N(AO235)+N(AV235))/(100000*L236*M234))</f>
        <v>1E+30</v>
      </c>
      <c r="AZ237" s="225"/>
      <c r="BA237" s="220">
        <f>IF(AND(F236="",SUM(S234:S237)&lt;&gt;0),BA233,F236)</f>
        <v>0</v>
      </c>
      <c r="BB237" s="221">
        <f t="shared" si="5"/>
        <v>0</v>
      </c>
      <c r="BC237" s="232"/>
      <c r="BD237" s="232"/>
    </row>
    <row r="238" spans="1:56" ht="15" customHeight="1">
      <c r="B238" s="85"/>
      <c r="C238" s="271" t="str">
        <f>IF(BC238=1,"●","・")</f>
        <v>・</v>
      </c>
      <c r="D238" s="402"/>
      <c r="E238" s="403"/>
      <c r="F238" s="404"/>
      <c r="G238" s="265" t="str">
        <f>IF(F238="","","φ")</f>
        <v/>
      </c>
      <c r="H238" s="405"/>
      <c r="I238" s="265" t="str">
        <f>IF(H238="","","W")</f>
        <v/>
      </c>
      <c r="J238" s="405"/>
      <c r="K238" s="272" t="str">
        <f>IF(J238="","","V")</f>
        <v/>
      </c>
      <c r="L238" s="406"/>
      <c r="M238" s="407"/>
      <c r="N238" s="408"/>
      <c r="O238" s="193"/>
      <c r="P238" s="86"/>
      <c r="Q238" s="194"/>
      <c r="R238" s="87"/>
      <c r="S238" s="88" t="str">
        <f>IF(R238="","",IF(Q238="",P238/R238,P238/(Q238*R238)))</f>
        <v/>
      </c>
      <c r="T238" s="195"/>
      <c r="U238" s="196" t="str">
        <f>IF(OR(BA240="",S238=""),"",S238*1000*T238/(SQRT(BA238)*BA240))</f>
        <v/>
      </c>
      <c r="V238" s="254" t="str">
        <f>IF(AND(N(U238)=0,N(U239)=0,N(U240)=0,N(U241)=0),"",BA240/(SUM(U238:U241)))</f>
        <v/>
      </c>
      <c r="W238" s="280"/>
      <c r="X238" s="281"/>
      <c r="Y238" s="242"/>
      <c r="Z238" s="243"/>
      <c r="AA238" s="239"/>
      <c r="AB238" s="241"/>
      <c r="AC238" s="242"/>
      <c r="AD238" s="243"/>
      <c r="AE238" s="247"/>
      <c r="AF238" s="233" t="str">
        <f>IF(OR(AND(AF234="",N(BA236)=0,BA240&lt;&gt;0),D238&lt;&gt;""),AX240/AQ239,"")</f>
        <v/>
      </c>
      <c r="AG238" s="249" t="str">
        <f>IF(BA240=0,"",IF(AD240="",AX238,IF(AND(D238&lt;&gt;"",AU238=""),AX240*SQRT(AP240^2+AP241^2)/SQRT(AS238^2+AS239^2)/AQ239,AX238*SQRT(AP240^2+AP241^2)/SQRT(AS238^2+AS239^2))))</f>
        <v/>
      </c>
      <c r="AH238" s="250"/>
      <c r="AI238" s="234" t="str">
        <f>IF(AG238="","",IF(N(U238)&lt;0,-AX238*AQ239/SQRT(AS238^2+AS239^2),AX238*AQ239/SQRT(AS238^2+AS239^2)))</f>
        <v/>
      </c>
      <c r="AJ238" s="256"/>
      <c r="AK238" s="257"/>
      <c r="AL238" s="186"/>
      <c r="AM238" s="28"/>
      <c r="AN238" s="213" t="b">
        <f>IF(BA238="","",IF(AND(BA238=1,F240=50,L238="oil cooled type"),VLOOKUP(L240,変１,2,FALSE),IF(AND(BA238=1,F240=50,L238="(F)molded type"),VLOOKUP(L240,変１,7,FALSE),IF(AND(BA238=1,F240=60,L238="oil cooled type"),VLOOKUP(L240,変１,12,FALSE),IF(AND(BA238=1,F240=60,L238="(F)molded type"),VLOOKUP(L240,変１,17,FALSE),FALSE)))))</f>
        <v>0</v>
      </c>
      <c r="AO238" s="213">
        <f>IF(ISNA(VLOOKUP(L240,変ＵＳＥＲ,2,FALSE)),0,VLOOKUP(L240,変ＵＳＥＲ,2,FALSE))</f>
        <v>0</v>
      </c>
      <c r="AP238" s="214">
        <f>IF(N238="",0,N238*1000/BA240^2/SQRT(BA238))</f>
        <v>0</v>
      </c>
      <c r="AQ238" s="213" t="b">
        <f>IF(BA238=1,2,IF(BA238=3,SQRT(3),FALSE))</f>
        <v>0</v>
      </c>
      <c r="AR238" s="215" t="str">
        <f>IF(X238="","",IF(X238="600V IV",VLOOKUP(X240,ＩＶ,2,FALSE),IF(X238="600V CV-T",VLOOKUP(X240,ＣＶＴ,2,FALSE),IF(OR(X238="600V CV-1C",X238="600V CV-2C",X238="600V CV-3C",X238="600V CV-4C"),VLOOKUP(X240,ＣＶ２３Ｃ,2,FALSE),VLOOKUP(X240,ＣＵＳＥＲ,2,FALSE)))))</f>
        <v/>
      </c>
      <c r="AS238" s="213" t="str">
        <f>IF(AB241="",AP240,AP240+(AB241/1000))</f>
        <v/>
      </c>
      <c r="AT238" s="216" t="str">
        <f>IF(AU240="",AT240,AU240)</f>
        <v/>
      </c>
      <c r="AU238" s="216" t="str">
        <f>IF(D238="","",IF(AND(D498="",#REF!&lt;&gt;"",AV241=#REF!),#REF!,IF(AND(D498="",#REF!="",#REF!&lt;&gt;"",AV501=#REF!),#REF!,IF(AND(D498="",#REF!="",#REF!="",#REF!&lt;&gt;"",#REF!=#REF!),#REF!,IF(AND(D498="",#REF!="",#REF!="",#REF!="",D502&lt;&gt;"",#REF!=#REF!),AT502,IF(AND(D498="",#REF!="",#REF!="",#REF!="",D502="",#REF!&lt;&gt;"",#REF!=AV506),#REF!,IF(AND(D498="",#REF!="",#REF!="",#REF!="",D502="",#REF!="",D507&lt;&gt;"",#REF!=AV510),AT507,"")))))))</f>
        <v/>
      </c>
      <c r="AV238" s="216" t="str">
        <f>IF(L238="ACG",IF(ISNA(VLOOKUP(L240,ＡＣＧ,2,FALSE)),0,VLOOKUP(L240,ＡＣＧ,2,FALSE)),"")</f>
        <v/>
      </c>
      <c r="AW238" s="217" t="str">
        <f>IF(AT238="","",AT238/((AT238*AP238)^2+(AT239*AP238-1)^2))</f>
        <v/>
      </c>
      <c r="AX238" s="218" t="str">
        <f>IF(BA240=0,"",IF(OR(AX234="",AF238&lt;&gt;""),AF238*SQRT(AS240^2+AS241^2)/SQRT(AT240^2+AT241^2),AX234*SQRT(AS240^2+AS241^2)/SQRT(AT240^2+AT241^2)))</f>
        <v/>
      </c>
      <c r="AY238" s="219">
        <f>IF(N(AY240)=10^30,10^30,IF(N(AY500)=10^30,(N(AY240)*(N(AY500)^2+N(AY501)^2)+N(AY500)*(N(AY240)^2+N(AY241)^2))/((N(AY240)+N(AY500))^2+(N(AY241)+N(AY501))^2),(N(AY240)*(N(AY498)^2+N(AY499)^2)+N(AY498)*(N(AY240)^2+N(AY241)^2))/((N(AY240)+N(AY498))^2+(N(AY241)+N(AY499))^2)))</f>
        <v>1E+30</v>
      </c>
      <c r="AZ238" s="23"/>
      <c r="BA238" s="220">
        <f>IF(AND(F238="",SUM(S238:S241)&lt;&gt;0),BA234,F238)</f>
        <v>0</v>
      </c>
      <c r="BB238" s="221">
        <f t="shared" si="5"/>
        <v>0</v>
      </c>
      <c r="BC238" s="232">
        <f>IF(OR(E238="",F241="",AND(OR(P238="",Q238="",R238="",T238=""),OR(P239="",Q239="",R239="",T239=""),OR(P240="",Q240="",R240="",T240=""),OR(P241="",Q241="",R241="",T241="")),AND(OR(X238="",X240="",Y240="",Z240=""),OR(AB238="",AB240="",AC240="",AD240=""))),0,1)</f>
        <v>0</v>
      </c>
      <c r="BD238" s="232">
        <f>BC238+BD234</f>
        <v>0</v>
      </c>
    </row>
    <row r="239" spans="1:56" ht="15" customHeight="1">
      <c r="B239" s="85"/>
      <c r="C239" s="271"/>
      <c r="D239" s="409"/>
      <c r="E239" s="362"/>
      <c r="F239" s="410"/>
      <c r="G239" s="266"/>
      <c r="H239" s="266"/>
      <c r="I239" s="266"/>
      <c r="J239" s="266"/>
      <c r="K239" s="273"/>
      <c r="L239" s="411"/>
      <c r="M239" s="197" t="str">
        <f>IF(L238="ACG",SQRT(AV238^2+AV239^2),IF(L240="","",IF(OR(L238="oil cooled type",L238="(F)molded type"),IF(BA238=1,SQRT(AN238^2+AN239^2),IF(BA238=3,SQRT(AN240^2+AN241^2))),SQRT(AO238^2+AO239^2))))</f>
        <v/>
      </c>
      <c r="N239" s="412"/>
      <c r="O239" s="198"/>
      <c r="P239" s="90"/>
      <c r="Q239" s="199"/>
      <c r="R239" s="91"/>
      <c r="S239" s="92" t="str">
        <f>IF(R240="","",IF(Q240="",P240/R240,P240/(Q240*R240)))</f>
        <v/>
      </c>
      <c r="T239" s="200"/>
      <c r="U239" s="201" t="str">
        <f>IF(OR(BA240="",S239=""),"",S239*1000*T239/(SQRT(BA238)*BA240))</f>
        <v/>
      </c>
      <c r="V239" s="255"/>
      <c r="W239" s="248"/>
      <c r="X239" s="258"/>
      <c r="Y239" s="245"/>
      <c r="Z239" s="246"/>
      <c r="AA239" s="240"/>
      <c r="AB239" s="244"/>
      <c r="AC239" s="245"/>
      <c r="AD239" s="246"/>
      <c r="AE239" s="248"/>
      <c r="AF239" s="235" t="str">
        <f>IF(OR(AF238="",AG234&lt;&gt;""),"",AF238*AQ239/SQRT(AT238^2+AT239^2))</f>
        <v/>
      </c>
      <c r="AG239" s="274" t="str">
        <f>IF(AG238="","",100*AG238*AQ239/BA240)</f>
        <v/>
      </c>
      <c r="AH239" s="275"/>
      <c r="AI239" s="260" t="str">
        <f>IF(BA240=0,"",IF(AI234="",AX240/SQRT(AT238^2+AT239^2),IF(AI242="","",IF(AT238&lt;0,-AX238*AQ235/SQRT(AT238^2+AT239^2),AX238*AQ235/SQRT(AT238^2+AT239^2)))))</f>
        <v/>
      </c>
      <c r="AJ239" s="258"/>
      <c r="AK239" s="259"/>
      <c r="AL239" s="187"/>
      <c r="AM239" s="28"/>
      <c r="AN239" s="213" t="b">
        <f>IF(BA238="","",IF(AND(BA238=1,F240=50,L238="oil cooled type"),VLOOKUP(L240,変１,3,FALSE),IF(AND(BA238=1,F240=50,L238="(F)molded type"),VLOOKUP(L240,変１,8,FALSE),IF(AND(BA238=1,F240=60,L238="oil cooled type"),VLOOKUP(L240,変１,13,FALSE),IF(AND(BA238=1,F240=60,L238="(F)molded type"),VLOOKUP(L240,変１,18,FALSE),FALSE)))))</f>
        <v>0</v>
      </c>
      <c r="AO239" s="213">
        <f>IF(ISNA(VLOOKUP(L240,変ＵＳＥＲ,3,FALSE)),0,VLOOKUP(L240,変ＵＳＥＲ,3,FALSE)*BA241/50)</f>
        <v>0</v>
      </c>
      <c r="AP239" s="214">
        <f>IF(W238="",0,W238*1000/BA240^2/SQRT(BA238))</f>
        <v>0</v>
      </c>
      <c r="AQ239" s="213">
        <f>IF(AND(BA238=1,BA239=2),1,IF(AND(BA238=3,BA239=3),1,IF(AND(BA238=1,BA239=3),2,IF(AND(BA238=3,BA239=4)*OR(BB238=1,BB239=1,BB240=1,BB241=1),1,SQRT(3)))))</f>
        <v>1.7320508075688772</v>
      </c>
      <c r="AR239" s="215" t="str">
        <f>IF(X238="","",IF(X238="600V IV",VLOOKUP(X240,ＩＶ,3,FALSE),IF(X238="600V CV-T",VLOOKUP(X240,ＣＶＴ,3,FALSE),IF(OR(X238="600V CV-1C",X238="600V CV-2C",X238="600V CV-3C",X238="600V CV-4C"),VLOOKUP(X240,ＣＶ２３Ｃ,3,FALSE),VLOOKUP(X240,ＣＵＳＥＲ,3,FALSE)))))</f>
        <v/>
      </c>
      <c r="AS239" s="213" t="str">
        <f>IF(AD241="",AP241,AP241+(AD241/1000))</f>
        <v/>
      </c>
      <c r="AT239" s="216" t="str">
        <f>IF(AU241="",AT241,AU241)</f>
        <v/>
      </c>
      <c r="AU239" s="216" t="str">
        <f>IF(D238="","",IF(AND(D498="",#REF!&lt;&gt;"",AV241=#REF!),#REF!,IF(AND(D498="",#REF!="",#REF!&lt;&gt;"",AV501=#REF!),#REF!,IF(AND(D498="",#REF!="",#REF!="",#REF!&lt;&gt;"",#REF!=#REF!),#REF!,IF(AND(D498="",#REF!="",#REF!="",#REF!="",D502&lt;&gt;"",#REF!=#REF!),AT503,IF(AND(D498="",#REF!="",#REF!="",#REF!="",D502="",#REF!&lt;&gt;"",#REF!=AV506),AT504,IF(AND(D498="",#REF!="",#REF!="",#REF!="",D502="",#REF!="",D507&lt;&gt;"",#REF!=AV510),AT508,"")))))))</f>
        <v/>
      </c>
      <c r="AV239" s="215" t="str">
        <f>IF(L238="ACG",IF(ISNA(VLOOKUP(L240,ＡＣＧ,3,FALSE)),0,VLOOKUP(L240,ＡＣＧ,3,FALSE)*BA241/50),"")</f>
        <v/>
      </c>
      <c r="AW239" s="217" t="str">
        <f>IF(AT239="","",(AT239-AP238*(AT238^2+AT239^2))/((AT238*AP238)^2+(AP238*AT239-1)^2))</f>
        <v/>
      </c>
      <c r="AX239" s="218"/>
      <c r="AY239" s="219">
        <f>IF(N(AY241)=10^30,10^30,IF(N(AY501)=10^30,(N(AY241)*(N(AY500)^2+N(AY501)^2)+N(AY501)*(N(AY240)^2+N(AY241)^2))/((N(AY240)+N(AY500))^2+(N(AY241)+N(AY501))^2),(N(AY241)*(N(AY498)^2+N(AY499)^2)+N(AY499)*(N(AY240)^2+N(AY241)^2))/((N(AY240)+N(AY498))^2+(N(AY241)+N(AY499))^2)))</f>
        <v>1E+30</v>
      </c>
      <c r="AZ239" s="23"/>
      <c r="BA239" s="220">
        <f>IF(AND(H238="",SUM(S238:S241)&lt;&gt;0),BA235,H238)</f>
        <v>0</v>
      </c>
      <c r="BB239" s="221">
        <f t="shared" si="5"/>
        <v>0</v>
      </c>
      <c r="BC239" s="232"/>
      <c r="BD239" s="232"/>
    </row>
    <row r="240" spans="1:56" ht="15" customHeight="1">
      <c r="B240" s="85"/>
      <c r="C240" s="271"/>
      <c r="D240" s="409"/>
      <c r="E240" s="362"/>
      <c r="F240" s="413"/>
      <c r="G240" s="414"/>
      <c r="H240" s="414"/>
      <c r="I240" s="414"/>
      <c r="J240" s="414"/>
      <c r="K240" s="415"/>
      <c r="L240" s="416"/>
      <c r="M240" s="275"/>
      <c r="N240" s="412"/>
      <c r="O240" s="198"/>
      <c r="P240" s="93"/>
      <c r="Q240" s="202"/>
      <c r="R240" s="91"/>
      <c r="S240" s="92" t="str">
        <f>IF(R241="","",IF(Q241="",P241/R241,P241/(Q241*R241)))</f>
        <v/>
      </c>
      <c r="T240" s="200"/>
      <c r="U240" s="203" t="str">
        <f>IF(OR(BA240="",S240=""),"",S240*1000*T240/(SQRT(BA238)*BA240))</f>
        <v/>
      </c>
      <c r="V240" s="94" t="str">
        <f>IF(AND(N(U238)=0,N(U239)=0,N(U240)=0,N(U241)=0),"",V238*(P238*R238*T238+P239*R239*T239+P240*R240*T240+P241*R241*T241)/(P238*T238+P239*T239+P240*T240+P241*T241))</f>
        <v/>
      </c>
      <c r="W240" s="276" t="str">
        <f>IF(AND(N(AP240)=0,N(AP241)=0,N(AP239)=0),"",IF(AP241&gt;=0,COS(ATAN(AP241/AP240)),-COS(ATAN(AP241/AP240))))</f>
        <v/>
      </c>
      <c r="X240" s="95"/>
      <c r="Y240" s="204"/>
      <c r="Z240" s="96"/>
      <c r="AA240" s="97"/>
      <c r="AB240" s="98"/>
      <c r="AC240" s="204"/>
      <c r="AD240" s="96"/>
      <c r="AE240" s="99"/>
      <c r="AF240" s="236" t="str">
        <f>IF(OR(AF238="",AG234&lt;&gt;""),"",BA240/SQRT(AW240^2+AW241^2))</f>
        <v/>
      </c>
      <c r="AG240" s="274" t="str">
        <f>IF(AG238="","",100*((BA240/AQ239)-AG238)/(BA240/AQ239))</f>
        <v/>
      </c>
      <c r="AH240" s="275"/>
      <c r="AI240" s="261"/>
      <c r="AJ240" s="262"/>
      <c r="AK240" s="264"/>
      <c r="AL240" s="188"/>
      <c r="AM240" s="28"/>
      <c r="AN240" s="222" t="b">
        <f>IF(BA238="","",IF(AND(BA238=3,F240=50,L238="oil cooled type"),VLOOKUP(L240,変３,2,FALSE),IF(AND(BA238=3,F240=50,L238="(F)molded type"),VLOOKUP(L240,変３,7,FALSE),IF(AND(BA238=3,F240=60,L238="oil cooled type"),VLOOKUP(L240,変３,12,FALSE),IF(AND(BA238=3,F240=60,L238="(F)molded type"),VLOOKUP(L240,変３,17,FALSE),FALSE)))))</f>
        <v>0</v>
      </c>
      <c r="AO240" s="215" t="str">
        <f>IF(AND(L234="",N(AY238)&lt;10^29),AY238,"")</f>
        <v/>
      </c>
      <c r="AP240" s="223" t="str">
        <f>IF(V238="","",IF(AND(N(V240)=0,N(AP239)=0),"",AQ240/((AQ240*AP239)^2+(AP239*AQ241-1)^2)))</f>
        <v/>
      </c>
      <c r="AQ240" s="213">
        <f>IF(N(V240)=0,10^30,V240)</f>
        <v>1E+30</v>
      </c>
      <c r="AR240" s="215" t="str">
        <f>IF(AB238="","",IF(AB238="600V IV",VLOOKUP(AB240,ＩＶ,2,FALSE),IF(AB238="600V CV-T",VLOOKUP(AB240,ＣＶＴ,2,FALSE),IF(OR(AB238="600V CV-1C",AB238="600V CV-2C",AB238="600V CV-3C",AB238="600V CV-4C"),VLOOKUP(AB240,ＣＶ２３Ｃ,2,FALSE),VLOOKUP(AB240,ＣＵＳＥＲ,2,FALSE)))))</f>
        <v/>
      </c>
      <c r="AS240" s="213" t="str">
        <f>IF(OR(AND(AS498="",AS499=""),AND(D238="",D498&lt;&gt;"")),AS238,(AS238*(AT498^2+AT499^2)+AT498*(AS238^2+AS239^2))/((AS238+AT498)^2+(AS239+AT499)^2))</f>
        <v/>
      </c>
      <c r="AT240" s="216" t="str">
        <f>IF(X241="",AS240,N(AS240)+(X241/1000))</f>
        <v/>
      </c>
      <c r="AU240" s="216" t="str">
        <f>IF(AU238="","",(AT240*(AU238^2+AU239^2)+AU238*(AT240^2+AT241^2))/((AT240+AU238)^2+(AT241+AU239)^2))</f>
        <v/>
      </c>
      <c r="AV240" s="216">
        <f>IF(BA240=0,1,0)</f>
        <v>1</v>
      </c>
      <c r="AW240" s="217" t="str">
        <f>IF(AO240="","",AW238+AO240)</f>
        <v/>
      </c>
      <c r="AX240" s="218" t="str">
        <f>IF(AND(AX236="",AW240&lt;&gt;""),BA240*SQRT(AW238^2+AW239^2)/SQRT(AW240^2+AW241^2),IF(BA240&lt;&gt;0,AX236,""))</f>
        <v/>
      </c>
      <c r="AY240" s="224">
        <f>IF(L240="",10^30,SQRT(BA238)*(BA240^2)*(N(AN238)+N(AN240)+N(AO238)+N(AV238))/(100000*L240*M238))</f>
        <v>1E+30</v>
      </c>
      <c r="AZ240" s="225"/>
      <c r="BA240" s="220">
        <f>IF(AND(J238="",SUM(S238:S241)&lt;&gt;0),BA236,J238)</f>
        <v>0</v>
      </c>
      <c r="BB240" s="221">
        <f t="shared" si="5"/>
        <v>0</v>
      </c>
      <c r="BC240" s="232"/>
      <c r="BD240" s="232"/>
    </row>
    <row r="241" spans="1:56" ht="15" customHeight="1">
      <c r="A241" s="85"/>
      <c r="B241" s="85"/>
      <c r="C241" s="271"/>
      <c r="D241" s="417"/>
      <c r="E241" s="418"/>
      <c r="F241" s="419"/>
      <c r="G241" s="270"/>
      <c r="H241" s="270"/>
      <c r="I241" s="270"/>
      <c r="J241" s="270"/>
      <c r="K241" s="268"/>
      <c r="L241" s="251" t="str">
        <f>IF(M238="","",L240*1000*M238/(SQRT(BA238)*BA240))</f>
        <v/>
      </c>
      <c r="M241" s="252"/>
      <c r="N241" s="277"/>
      <c r="O241" s="205"/>
      <c r="P241" s="106"/>
      <c r="Q241" s="206"/>
      <c r="R241" s="107"/>
      <c r="S241" s="108" t="str">
        <f>IF(R241="","",IF(Q241="",P241/R241,P241/(Q241*R241)))</f>
        <v/>
      </c>
      <c r="T241" s="207"/>
      <c r="U241" s="208" t="str">
        <f>IF(OR(BA240="",S241=""),"",S241*1000*T241/(SQRT(BA238)*BA240))</f>
        <v/>
      </c>
      <c r="V241" s="109" t="str">
        <f>IF(AND(N(U238)=0,N(U239)=0,N(U240)=0,N(U241)=0),"",IF(V238&gt;=0,SQRT(ABS(V238^2-V240^2)),-SQRT(V238^2-V240^2)))</f>
        <v/>
      </c>
      <c r="W241" s="277"/>
      <c r="X241" s="278" t="str">
        <f>IF(Y240="","",AQ238*Z240*AR238*((1+0.00393*(F241-20))/1.2751)/Y240)</f>
        <v/>
      </c>
      <c r="Y241" s="270"/>
      <c r="Z241" s="267" t="str">
        <f>IF(Y240="","",(BA241/50)*AQ238*Z240*AR239/Y240)</f>
        <v/>
      </c>
      <c r="AA241" s="252"/>
      <c r="AB241" s="279" t="str">
        <f>IF(AC240="","",AQ238*AD240*AR240*((1+0.00393*(F241-20))/1.2751)/AC240)</f>
        <v/>
      </c>
      <c r="AC241" s="270"/>
      <c r="AD241" s="267" t="str">
        <f>IF(AC240="","",(BA241/50)*AQ238*AD240*AR241/AC240)</f>
        <v/>
      </c>
      <c r="AE241" s="268"/>
      <c r="AF241" s="237" t="str">
        <f>IF(AND(AX238&lt;&gt;"",D238=""),AX238,"")</f>
        <v/>
      </c>
      <c r="AG241" s="269" t="str">
        <f>IF(AP240="","",AP240)</f>
        <v/>
      </c>
      <c r="AH241" s="270"/>
      <c r="AI241" s="238" t="str">
        <f>IF(AP241="","",AP241)</f>
        <v/>
      </c>
      <c r="AJ241" s="263"/>
      <c r="AK241" s="253"/>
      <c r="AL241" s="189"/>
      <c r="AM241" s="28"/>
      <c r="AN241" s="226" t="b">
        <f>IF(BA238="","",IF(AND(BA238=3,F240=50,L238="oil cooled type"),VLOOKUP(L240,変３,3,FALSE),IF(AND(BA238=3,F240=50,L238="(F)molded type"),VLOOKUP(L240,変３,8,FALSE),IF(AND(BA238=3,F240=60,L238="oil cooled type"),VLOOKUP(L240,変３,13,FALSE),IF(AND(BA238=3,F240=60,L238="(F)molded type"),VLOOKUP(L240,変３,18,FALSE),FALSE)))))</f>
        <v>0</v>
      </c>
      <c r="AO241" s="226" t="str">
        <f>IF(AND(L234="",N(AY239)&lt;10^29),AY239,"")</f>
        <v/>
      </c>
      <c r="AP241" s="227" t="str">
        <f>IF(V238="","",IF(AND(N(V241)=0,N(AP239)=0),0,(AQ241-AP239*(AQ240^2+AQ241^2))/((AQ240*AP239)^2+(AP239*AQ241-1)^2)))</f>
        <v/>
      </c>
      <c r="AQ241" s="228">
        <f>IF(N(V241)=0,10^30,V241)</f>
        <v>1E+30</v>
      </c>
      <c r="AR241" s="226" t="str">
        <f>IF(AB238="","",IF(AB238="600V IV",VLOOKUP(AB240,ＩＶ,3,FALSE),IF(AB238="600V CV-T",VLOOKUP(AB240,ＣＶＴ,3,FALSE),IF(OR(AB238="600V CV-1C",AB238="600V CV-2C",AB238="600V CV-3C",AB238="600V CV-4C"),VLOOKUP(AB240,ＣＶ２３Ｃ,3,FALSE),VLOOKUP(AB240,ＣＵＳＥＲ,3,FALSE)))))</f>
        <v/>
      </c>
      <c r="AS241" s="228" t="str">
        <f>IF(OR(AND(AS498="",AS499=""),AND(D238="",D498&lt;&gt;"")),AS239,(AS239*(AT498^2+AT499^2)+AT499*(AS238^2+AS239^2))/((AS238+AT498)^2+(AS239+AT499)^2))</f>
        <v/>
      </c>
      <c r="AT241" s="229" t="str">
        <f>IF(Z241="",AS241,N(AS241)+(Z241/1000))</f>
        <v/>
      </c>
      <c r="AU241" s="229" t="str">
        <f>IF(AU239="","",(AT241*(AU238^2+AU239^2)+AU239*(AT240^2+AT241^2))/((AT240+AU238)^2+(AT241+AU239)^2))</f>
        <v/>
      </c>
      <c r="AV241" s="229">
        <f>AV237+AV240</f>
        <v>56</v>
      </c>
      <c r="AW241" s="228" t="str">
        <f>IF(AO241="","",AW239+AO241)</f>
        <v/>
      </c>
      <c r="AX241" s="230"/>
      <c r="AY241" s="224">
        <f>IF(L240="",10^30,SQRT(BA238)*(BA240^2)*(N(AN239)+N(AN241)+N(AO239)+N(AV239))/(100000*L240*M238))</f>
        <v>1E+30</v>
      </c>
      <c r="AZ241" s="225"/>
      <c r="BA241" s="220">
        <f>IF(AND(F240="",SUM(S238:S241)&lt;&gt;0),BA237,F240)</f>
        <v>0</v>
      </c>
      <c r="BB241" s="221">
        <f t="shared" si="5"/>
        <v>0</v>
      </c>
      <c r="BC241" s="232"/>
      <c r="BD241" s="232"/>
    </row>
    <row r="242" spans="1:56" ht="15" customHeight="1">
      <c r="B242" s="85"/>
      <c r="C242" s="271" t="str">
        <f>IF(BC242=1,"●","・")</f>
        <v>・</v>
      </c>
      <c r="D242" s="402"/>
      <c r="E242" s="403"/>
      <c r="F242" s="404"/>
      <c r="G242" s="265" t="str">
        <f>IF(F242="","","φ")</f>
        <v/>
      </c>
      <c r="H242" s="405"/>
      <c r="I242" s="265" t="str">
        <f>IF(H242="","","W")</f>
        <v/>
      </c>
      <c r="J242" s="405"/>
      <c r="K242" s="272" t="str">
        <f>IF(J242="","","V")</f>
        <v/>
      </c>
      <c r="L242" s="406"/>
      <c r="M242" s="407"/>
      <c r="N242" s="408"/>
      <c r="O242" s="193"/>
      <c r="P242" s="86"/>
      <c r="Q242" s="194"/>
      <c r="R242" s="87"/>
      <c r="S242" s="88" t="str">
        <f>IF(R242="","",IF(Q242="",P242/R242,P242/(Q242*R242)))</f>
        <v/>
      </c>
      <c r="T242" s="195"/>
      <c r="U242" s="196" t="str">
        <f>IF(OR(BA244="",S242=""),"",S242*1000*T242/(SQRT(BA242)*BA244))</f>
        <v/>
      </c>
      <c r="V242" s="254" t="str">
        <f>IF(AND(N(U242)=0,N(U243)=0,N(U244)=0,N(U245)=0),"",BA244/(SUM(U242:U245)))</f>
        <v/>
      </c>
      <c r="W242" s="280"/>
      <c r="X242" s="281"/>
      <c r="Y242" s="242"/>
      <c r="Z242" s="243"/>
      <c r="AA242" s="239"/>
      <c r="AB242" s="241"/>
      <c r="AC242" s="242"/>
      <c r="AD242" s="243"/>
      <c r="AE242" s="247"/>
      <c r="AF242" s="233" t="str">
        <f>IF(OR(AND(AF238="",N(BA240)=0,BA244&lt;&gt;0),D242&lt;&gt;""),AX244/AQ243,"")</f>
        <v/>
      </c>
      <c r="AG242" s="249" t="str">
        <f>IF(BA244=0,"",IF(AD244="",AX242,IF(AND(D242&lt;&gt;"",AU242=""),AX244*SQRT(AP244^2+AP245^2)/SQRT(AS242^2+AS243^2)/AQ243,AX242*SQRT(AP244^2+AP245^2)/SQRT(AS242^2+AS243^2))))</f>
        <v/>
      </c>
      <c r="AH242" s="250"/>
      <c r="AI242" s="234" t="str">
        <f>IF(AG242="","",IF(N(U242)&lt;0,-AX242*AQ243/SQRT(AS242^2+AS243^2),AX242*AQ243/SQRT(AS242^2+AS243^2)))</f>
        <v/>
      </c>
      <c r="AJ242" s="256"/>
      <c r="AK242" s="257"/>
      <c r="AL242" s="186"/>
      <c r="AM242" s="28"/>
      <c r="AN242" s="213" t="b">
        <f>IF(BA242="","",IF(AND(BA242=1,F244=50,L242="oil cooled type"),VLOOKUP(L244,変１,2,FALSE),IF(AND(BA242=1,F244=50,L242="(F)molded type"),VLOOKUP(L244,変１,7,FALSE),IF(AND(BA242=1,F244=60,L242="oil cooled type"),VLOOKUP(L244,変１,12,FALSE),IF(AND(BA242=1,F244=60,L242="(F)molded type"),VLOOKUP(L244,変１,17,FALSE),FALSE)))))</f>
        <v>0</v>
      </c>
      <c r="AO242" s="213">
        <f>IF(ISNA(VLOOKUP(L244,変ＵＳＥＲ,2,FALSE)),0,VLOOKUP(L244,変ＵＳＥＲ,2,FALSE))</f>
        <v>0</v>
      </c>
      <c r="AP242" s="214">
        <f>IF(N242="",0,N242*1000/BA244^2/SQRT(BA242))</f>
        <v>0</v>
      </c>
      <c r="AQ242" s="213" t="b">
        <f>IF(BA242=1,2,IF(BA242=3,SQRT(3),FALSE))</f>
        <v>0</v>
      </c>
      <c r="AR242" s="215" t="str">
        <f>IF(X242="","",IF(X242="600V IV",VLOOKUP(X244,ＩＶ,2,FALSE),IF(X242="600V CV-T",VLOOKUP(X244,ＣＶＴ,2,FALSE),IF(OR(X242="600V CV-1C",X242="600V CV-2C",X242="600V CV-3C",X242="600V CV-4C"),VLOOKUP(X244,ＣＶ２３Ｃ,2,FALSE),VLOOKUP(X244,ＣＵＳＥＲ,2,FALSE)))))</f>
        <v/>
      </c>
      <c r="AS242" s="213" t="str">
        <f>IF(AB245="",AP244,AP244+(AB245/1000))</f>
        <v/>
      </c>
      <c r="AT242" s="216" t="str">
        <f>IF(AU244="",AT244,AU244)</f>
        <v/>
      </c>
      <c r="AU242" s="216" t="str">
        <f>IF(D242="","",IF(AND(D502="",#REF!&lt;&gt;"",AV245=#REF!),#REF!,IF(AND(D502="",#REF!="",#REF!&lt;&gt;"",AV505=#REF!),#REF!,IF(AND(D502="",#REF!="",#REF!="",#REF!&lt;&gt;"",#REF!=#REF!),#REF!,IF(AND(D502="",#REF!="",#REF!="",#REF!="",D506&lt;&gt;"",#REF!=#REF!),AT506,IF(AND(D502="",#REF!="",#REF!="",#REF!="",D506="",#REF!&lt;&gt;"",#REF!=AV510),#REF!,IF(AND(D502="",#REF!="",#REF!="",#REF!="",D506="",#REF!="",D511&lt;&gt;"",#REF!=AV514),AT511,"")))))))</f>
        <v/>
      </c>
      <c r="AV242" s="216" t="str">
        <f>IF(L242="ACG",IF(ISNA(VLOOKUP(L244,ＡＣＧ,2,FALSE)),0,VLOOKUP(L244,ＡＣＧ,2,FALSE)),"")</f>
        <v/>
      </c>
      <c r="AW242" s="217" t="str">
        <f>IF(AT242="","",AT242/((AT242*AP242)^2+(AT243*AP242-1)^2))</f>
        <v/>
      </c>
      <c r="AX242" s="218" t="str">
        <f>IF(BA244=0,"",IF(OR(AX238="",AF242&lt;&gt;""),AF242*SQRT(AS244^2+AS245^2)/SQRT(AT244^2+AT245^2),AX238*SQRT(AS244^2+AS245^2)/SQRT(AT244^2+AT245^2)))</f>
        <v/>
      </c>
      <c r="AY242" s="219">
        <f>IF(N(AY244)=10^30,10^30,IF(N(AY504)=10^30,(N(AY244)*(N(AY504)^2+N(AY505)^2)+N(AY504)*(N(AY244)^2+N(AY245)^2))/((N(AY244)+N(AY504))^2+(N(AY245)+N(AY505))^2),(N(AY244)*(N(AY502)^2+N(AY503)^2)+N(AY502)*(N(AY244)^2+N(AY245)^2))/((N(AY244)+N(AY502))^2+(N(AY245)+N(AY503))^2)))</f>
        <v>1E+30</v>
      </c>
      <c r="AZ242" s="23"/>
      <c r="BA242" s="220">
        <f>IF(AND(F242="",SUM(S242:S245)&lt;&gt;0),BA238,F242)</f>
        <v>0</v>
      </c>
      <c r="BB242" s="221">
        <f t="shared" si="5"/>
        <v>0</v>
      </c>
      <c r="BC242" s="232">
        <f>IF(OR(E242="",F245="",AND(OR(P242="",Q242="",R242="",T242=""),OR(P243="",Q243="",R243="",T243=""),OR(P244="",Q244="",R244="",T244=""),OR(P245="",Q245="",R245="",T245="")),AND(OR(X242="",X244="",Y244="",Z244=""),OR(AB242="",AB244="",AC244="",AD244=""))),0,1)</f>
        <v>0</v>
      </c>
      <c r="BD242" s="232">
        <f>BC242+BD238</f>
        <v>0</v>
      </c>
    </row>
    <row r="243" spans="1:56" ht="15" customHeight="1">
      <c r="B243" s="85"/>
      <c r="C243" s="271"/>
      <c r="D243" s="409"/>
      <c r="E243" s="362"/>
      <c r="F243" s="410"/>
      <c r="G243" s="266"/>
      <c r="H243" s="266"/>
      <c r="I243" s="266"/>
      <c r="J243" s="266"/>
      <c r="K243" s="273"/>
      <c r="L243" s="411"/>
      <c r="M243" s="197" t="str">
        <f>IF(L242="ACG",SQRT(AV242^2+AV243^2),IF(L244="","",IF(OR(L242="oil cooled type",L242="(F)molded type"),IF(BA242=1,SQRT(AN242^2+AN243^2),IF(BA242=3,SQRT(AN244^2+AN245^2))),SQRT(AO242^2+AO243^2))))</f>
        <v/>
      </c>
      <c r="N243" s="412"/>
      <c r="O243" s="198"/>
      <c r="P243" s="90"/>
      <c r="Q243" s="199"/>
      <c r="R243" s="91"/>
      <c r="S243" s="92" t="str">
        <f>IF(R244="","",IF(Q244="",P244/R244,P244/(Q244*R244)))</f>
        <v/>
      </c>
      <c r="T243" s="200"/>
      <c r="U243" s="201" t="str">
        <f>IF(OR(BA244="",S243=""),"",S243*1000*T243/(SQRT(BA242)*BA244))</f>
        <v/>
      </c>
      <c r="V243" s="255"/>
      <c r="W243" s="248"/>
      <c r="X243" s="258"/>
      <c r="Y243" s="245"/>
      <c r="Z243" s="246"/>
      <c r="AA243" s="240"/>
      <c r="AB243" s="244"/>
      <c r="AC243" s="245"/>
      <c r="AD243" s="246"/>
      <c r="AE243" s="248"/>
      <c r="AF243" s="235" t="str">
        <f>IF(OR(AF242="",AG238&lt;&gt;""),"",AF242*AQ243/SQRT(AT242^2+AT243^2))</f>
        <v/>
      </c>
      <c r="AG243" s="274" t="str">
        <f>IF(AG242="","",100*AG242*AQ243/BA244)</f>
        <v/>
      </c>
      <c r="AH243" s="275"/>
      <c r="AI243" s="260" t="str">
        <f>IF(BA244=0,"",IF(AI238="",AX244/SQRT(AT242^2+AT243^2),IF(AI246="","",IF(AT242&lt;0,-AX242*AQ239/SQRT(AT242^2+AT243^2),AX242*AQ239/SQRT(AT242^2+AT243^2)))))</f>
        <v/>
      </c>
      <c r="AJ243" s="258"/>
      <c r="AK243" s="259"/>
      <c r="AL243" s="187"/>
      <c r="AM243" s="28"/>
      <c r="AN243" s="213" t="b">
        <f>IF(BA242="","",IF(AND(BA242=1,F244=50,L242="oil cooled type"),VLOOKUP(L244,変１,3,FALSE),IF(AND(BA242=1,F244=50,L242="(F)molded type"),VLOOKUP(L244,変１,8,FALSE),IF(AND(BA242=1,F244=60,L242="oil cooled type"),VLOOKUP(L244,変１,13,FALSE),IF(AND(BA242=1,F244=60,L242="(F)molded type"),VLOOKUP(L244,変１,18,FALSE),FALSE)))))</f>
        <v>0</v>
      </c>
      <c r="AO243" s="213">
        <f>IF(ISNA(VLOOKUP(L244,変ＵＳＥＲ,3,FALSE)),0,VLOOKUP(L244,変ＵＳＥＲ,3,FALSE)*BA245/50)</f>
        <v>0</v>
      </c>
      <c r="AP243" s="214">
        <f>IF(W242="",0,W242*1000/BA244^2/SQRT(BA242))</f>
        <v>0</v>
      </c>
      <c r="AQ243" s="213">
        <f>IF(AND(BA242=1,BA243=2),1,IF(AND(BA242=3,BA243=3),1,IF(AND(BA242=1,BA243=3),2,IF(AND(BA242=3,BA243=4)*OR(BB242=1,BB243=1,BB244=1,BB245=1),1,SQRT(3)))))</f>
        <v>1.7320508075688772</v>
      </c>
      <c r="AR243" s="215" t="str">
        <f>IF(X242="","",IF(X242="600V IV",VLOOKUP(X244,ＩＶ,3,FALSE),IF(X242="600V CV-T",VLOOKUP(X244,ＣＶＴ,3,FALSE),IF(OR(X242="600V CV-1C",X242="600V CV-2C",X242="600V CV-3C",X242="600V CV-4C"),VLOOKUP(X244,ＣＶ２３Ｃ,3,FALSE),VLOOKUP(X244,ＣＵＳＥＲ,3,FALSE)))))</f>
        <v/>
      </c>
      <c r="AS243" s="213" t="str">
        <f>IF(AD245="",AP245,AP245+(AD245/1000))</f>
        <v/>
      </c>
      <c r="AT243" s="216" t="str">
        <f>IF(AU245="",AT245,AU245)</f>
        <v/>
      </c>
      <c r="AU243" s="216" t="str">
        <f>IF(D242="","",IF(AND(D502="",#REF!&lt;&gt;"",AV245=#REF!),#REF!,IF(AND(D502="",#REF!="",#REF!&lt;&gt;"",AV505=#REF!),#REF!,IF(AND(D502="",#REF!="",#REF!="",#REF!&lt;&gt;"",#REF!=#REF!),#REF!,IF(AND(D502="",#REF!="",#REF!="",#REF!="",D506&lt;&gt;"",#REF!=#REF!),AT507,IF(AND(D502="",#REF!="",#REF!="",#REF!="",D506="",#REF!&lt;&gt;"",#REF!=AV510),AT508,IF(AND(D502="",#REF!="",#REF!="",#REF!="",D506="",#REF!="",D511&lt;&gt;"",#REF!=AV514),AT512,"")))))))</f>
        <v/>
      </c>
      <c r="AV243" s="215" t="str">
        <f>IF(L242="ACG",IF(ISNA(VLOOKUP(L244,ＡＣＧ,3,FALSE)),0,VLOOKUP(L244,ＡＣＧ,3,FALSE)*BA245/50),"")</f>
        <v/>
      </c>
      <c r="AW243" s="217" t="str">
        <f>IF(AT243="","",(AT243-AP242*(AT242^2+AT243^2))/((AT242*AP242)^2+(AP242*AT243-1)^2))</f>
        <v/>
      </c>
      <c r="AX243" s="218"/>
      <c r="AY243" s="219">
        <f>IF(N(AY245)=10^30,10^30,IF(N(AY505)=10^30,(N(AY245)*(N(AY504)^2+N(AY505)^2)+N(AY505)*(N(AY244)^2+N(AY245)^2))/((N(AY244)+N(AY504))^2+(N(AY245)+N(AY505))^2),(N(AY245)*(N(AY502)^2+N(AY503)^2)+N(AY503)*(N(AY244)^2+N(AY245)^2))/((N(AY244)+N(AY502))^2+(N(AY245)+N(AY503))^2)))</f>
        <v>1E+30</v>
      </c>
      <c r="AZ243" s="23"/>
      <c r="BA243" s="220">
        <f>IF(AND(H242="",SUM(S242:S245)&lt;&gt;0),BA239,H242)</f>
        <v>0</v>
      </c>
      <c r="BB243" s="221">
        <f t="shared" si="5"/>
        <v>0</v>
      </c>
      <c r="BC243" s="232"/>
      <c r="BD243" s="232"/>
    </row>
    <row r="244" spans="1:56" ht="15" customHeight="1">
      <c r="B244" s="85"/>
      <c r="C244" s="271"/>
      <c r="D244" s="409"/>
      <c r="E244" s="362"/>
      <c r="F244" s="413"/>
      <c r="G244" s="414"/>
      <c r="H244" s="414"/>
      <c r="I244" s="414"/>
      <c r="J244" s="414"/>
      <c r="K244" s="415"/>
      <c r="L244" s="416"/>
      <c r="M244" s="275"/>
      <c r="N244" s="412"/>
      <c r="O244" s="198"/>
      <c r="P244" s="93"/>
      <c r="Q244" s="202"/>
      <c r="R244" s="91"/>
      <c r="S244" s="92" t="str">
        <f>IF(R245="","",IF(Q245="",P245/R245,P245/(Q245*R245)))</f>
        <v/>
      </c>
      <c r="T244" s="200"/>
      <c r="U244" s="203" t="str">
        <f>IF(OR(BA244="",S244=""),"",S244*1000*T244/(SQRT(BA242)*BA244))</f>
        <v/>
      </c>
      <c r="V244" s="94" t="str">
        <f>IF(AND(N(U242)=0,N(U243)=0,N(U244)=0,N(U245)=0),"",V242*(P242*R242*T242+P243*R243*T243+P244*R244*T244+P245*R245*T245)/(P242*T242+P243*T243+P244*T244+P245*T245))</f>
        <v/>
      </c>
      <c r="W244" s="276" t="str">
        <f>IF(AND(N(AP244)=0,N(AP245)=0,N(AP243)=0),"",IF(AP245&gt;=0,COS(ATAN(AP245/AP244)),-COS(ATAN(AP245/AP244))))</f>
        <v/>
      </c>
      <c r="X244" s="95"/>
      <c r="Y244" s="204"/>
      <c r="Z244" s="96"/>
      <c r="AA244" s="97"/>
      <c r="AB244" s="98"/>
      <c r="AC244" s="204"/>
      <c r="AD244" s="96"/>
      <c r="AE244" s="99"/>
      <c r="AF244" s="236" t="str">
        <f>IF(OR(AF242="",AG238&lt;&gt;""),"",BA244/SQRT(AW244^2+AW245^2))</f>
        <v/>
      </c>
      <c r="AG244" s="274" t="str">
        <f>IF(AG242="","",100*((BA244/AQ243)-AG242)/(BA244/AQ243))</f>
        <v/>
      </c>
      <c r="AH244" s="275"/>
      <c r="AI244" s="261"/>
      <c r="AJ244" s="262"/>
      <c r="AK244" s="264"/>
      <c r="AL244" s="188"/>
      <c r="AM244" s="28"/>
      <c r="AN244" s="222" t="b">
        <f>IF(BA242="","",IF(AND(BA242=3,F244=50,L242="oil cooled type"),VLOOKUP(L244,変３,2,FALSE),IF(AND(BA242=3,F244=50,L242="(F)molded type"),VLOOKUP(L244,変３,7,FALSE),IF(AND(BA242=3,F244=60,L242="oil cooled type"),VLOOKUP(L244,変３,12,FALSE),IF(AND(BA242=3,F244=60,L242="(F)molded type"),VLOOKUP(L244,変３,17,FALSE),FALSE)))))</f>
        <v>0</v>
      </c>
      <c r="AO244" s="215" t="str">
        <f>IF(AND(L238="",N(AY242)&lt;10^29),AY242,"")</f>
        <v/>
      </c>
      <c r="AP244" s="223" t="str">
        <f>IF(V242="","",IF(AND(N(V244)=0,N(AP243)=0),"",AQ244/((AQ244*AP243)^2+(AP243*AQ245-1)^2)))</f>
        <v/>
      </c>
      <c r="AQ244" s="213">
        <f>IF(N(V244)=0,10^30,V244)</f>
        <v>1E+30</v>
      </c>
      <c r="AR244" s="215" t="str">
        <f>IF(AB242="","",IF(AB242="600V IV",VLOOKUP(AB244,ＩＶ,2,FALSE),IF(AB242="600V CV-T",VLOOKUP(AB244,ＣＶＴ,2,FALSE),IF(OR(AB242="600V CV-1C",AB242="600V CV-2C",AB242="600V CV-3C",AB242="600V CV-4C"),VLOOKUP(AB244,ＣＶ２３Ｃ,2,FALSE),VLOOKUP(AB244,ＣＵＳＥＲ,2,FALSE)))))</f>
        <v/>
      </c>
      <c r="AS244" s="213" t="str">
        <f>IF(OR(AND(AS502="",AS503=""),AND(D242="",D502&lt;&gt;"")),AS242,(AS242*(AT502^2+AT503^2)+AT502*(AS242^2+AS243^2))/((AS242+AT502)^2+(AS243+AT503)^2))</f>
        <v/>
      </c>
      <c r="AT244" s="216" t="str">
        <f>IF(X245="",AS244,N(AS244)+(X245/1000))</f>
        <v/>
      </c>
      <c r="AU244" s="216" t="str">
        <f>IF(AU242="","",(AT244*(AU242^2+AU243^2)+AU242*(AT244^2+AT245^2))/((AT244+AU242)^2+(AT245+AU243)^2))</f>
        <v/>
      </c>
      <c r="AV244" s="216">
        <f>IF(BA244=0,1,0)</f>
        <v>1</v>
      </c>
      <c r="AW244" s="217" t="str">
        <f>IF(AO244="","",AW242+AO244)</f>
        <v/>
      </c>
      <c r="AX244" s="218" t="str">
        <f>IF(AND(AX240="",AW244&lt;&gt;""),BA244*SQRT(AW242^2+AW243^2)/SQRT(AW244^2+AW245^2),IF(BA244&lt;&gt;0,AX240,""))</f>
        <v/>
      </c>
      <c r="AY244" s="224">
        <f>IF(L244="",10^30,SQRT(BA242)*(BA244^2)*(N(AN242)+N(AN244)+N(AO242)+N(AV242))/(100000*L244*M242))</f>
        <v>1E+30</v>
      </c>
      <c r="AZ244" s="225"/>
      <c r="BA244" s="220">
        <f>IF(AND(J242="",SUM(S242:S245)&lt;&gt;0),BA240,J242)</f>
        <v>0</v>
      </c>
      <c r="BB244" s="221">
        <f t="shared" si="5"/>
        <v>0</v>
      </c>
      <c r="BC244" s="232"/>
      <c r="BD244" s="232"/>
    </row>
    <row r="245" spans="1:56" ht="15" customHeight="1">
      <c r="A245" s="85"/>
      <c r="B245" s="85"/>
      <c r="C245" s="271"/>
      <c r="D245" s="417"/>
      <c r="E245" s="418"/>
      <c r="F245" s="419"/>
      <c r="G245" s="270"/>
      <c r="H245" s="270"/>
      <c r="I245" s="270"/>
      <c r="J245" s="270"/>
      <c r="K245" s="268"/>
      <c r="L245" s="251" t="str">
        <f>IF(M242="","",L244*1000*M242/(SQRT(BA242)*BA244))</f>
        <v/>
      </c>
      <c r="M245" s="252"/>
      <c r="N245" s="277"/>
      <c r="O245" s="205"/>
      <c r="P245" s="106"/>
      <c r="Q245" s="206"/>
      <c r="R245" s="107"/>
      <c r="S245" s="108" t="str">
        <f>IF(R245="","",IF(Q245="",P245/R245,P245/(Q245*R245)))</f>
        <v/>
      </c>
      <c r="T245" s="207"/>
      <c r="U245" s="208" t="str">
        <f>IF(OR(BA244="",S245=""),"",S245*1000*T245/(SQRT(BA242)*BA244))</f>
        <v/>
      </c>
      <c r="V245" s="109" t="str">
        <f>IF(AND(N(U242)=0,N(U243)=0,N(U244)=0,N(U245)=0),"",IF(V242&gt;=0,SQRT(ABS(V242^2-V244^2)),-SQRT(V242^2-V244^2)))</f>
        <v/>
      </c>
      <c r="W245" s="277"/>
      <c r="X245" s="278" t="str">
        <f>IF(Y244="","",AQ242*Z244*AR242*((1+0.00393*(F245-20))/1.2751)/Y244)</f>
        <v/>
      </c>
      <c r="Y245" s="270"/>
      <c r="Z245" s="267" t="str">
        <f>IF(Y244="","",(BA245/50)*AQ242*Z244*AR243/Y244)</f>
        <v/>
      </c>
      <c r="AA245" s="252"/>
      <c r="AB245" s="279" t="str">
        <f>IF(AC244="","",AQ242*AD244*AR244*((1+0.00393*(F245-20))/1.2751)/AC244)</f>
        <v/>
      </c>
      <c r="AC245" s="270"/>
      <c r="AD245" s="267" t="str">
        <f>IF(AC244="","",(BA245/50)*AQ242*AD244*AR245/AC244)</f>
        <v/>
      </c>
      <c r="AE245" s="268"/>
      <c r="AF245" s="237" t="str">
        <f>IF(AND(AX242&lt;&gt;"",D242=""),AX242,"")</f>
        <v/>
      </c>
      <c r="AG245" s="269" t="str">
        <f>IF(AP244="","",AP244)</f>
        <v/>
      </c>
      <c r="AH245" s="270"/>
      <c r="AI245" s="238" t="str">
        <f>IF(AP245="","",AP245)</f>
        <v/>
      </c>
      <c r="AJ245" s="263"/>
      <c r="AK245" s="253"/>
      <c r="AL245" s="189"/>
      <c r="AM245" s="28"/>
      <c r="AN245" s="226" t="b">
        <f>IF(BA242="","",IF(AND(BA242=3,F244=50,L242="oil cooled type"),VLOOKUP(L244,変３,3,FALSE),IF(AND(BA242=3,F244=50,L242="(F)molded type"),VLOOKUP(L244,変３,8,FALSE),IF(AND(BA242=3,F244=60,L242="oil cooled type"),VLOOKUP(L244,変３,13,FALSE),IF(AND(BA242=3,F244=60,L242="(F)molded type"),VLOOKUP(L244,変３,18,FALSE),FALSE)))))</f>
        <v>0</v>
      </c>
      <c r="AO245" s="226" t="str">
        <f>IF(AND(L238="",N(AY243)&lt;10^29),AY243,"")</f>
        <v/>
      </c>
      <c r="AP245" s="227" t="str">
        <f>IF(V242="","",IF(AND(N(V245)=0,N(AP243)=0),0,(AQ245-AP243*(AQ244^2+AQ245^2))/((AQ244*AP243)^2+(AP243*AQ245-1)^2)))</f>
        <v/>
      </c>
      <c r="AQ245" s="228">
        <f>IF(N(V245)=0,10^30,V245)</f>
        <v>1E+30</v>
      </c>
      <c r="AR245" s="226" t="str">
        <f>IF(AB242="","",IF(AB242="600V IV",VLOOKUP(AB244,ＩＶ,3,FALSE),IF(AB242="600V CV-T",VLOOKUP(AB244,ＣＶＴ,3,FALSE),IF(OR(AB242="600V CV-1C",AB242="600V CV-2C",AB242="600V CV-3C",AB242="600V CV-4C"),VLOOKUP(AB244,ＣＶ２３Ｃ,3,FALSE),VLOOKUP(AB244,ＣＵＳＥＲ,3,FALSE)))))</f>
        <v/>
      </c>
      <c r="AS245" s="228" t="str">
        <f>IF(OR(AND(AS502="",AS503=""),AND(D242="",D502&lt;&gt;"")),AS243,(AS243*(AT502^2+AT503^2)+AT503*(AS242^2+AS243^2))/((AS242+AT502)^2+(AS243+AT503)^2))</f>
        <v/>
      </c>
      <c r="AT245" s="229" t="str">
        <f>IF(Z245="",AS245,N(AS245)+(Z245/1000))</f>
        <v/>
      </c>
      <c r="AU245" s="229" t="str">
        <f>IF(AU243="","",(AT245*(AU242^2+AU243^2)+AU243*(AT244^2+AT245^2))/((AT244+AU242)^2+(AT245+AU243)^2))</f>
        <v/>
      </c>
      <c r="AV245" s="229">
        <f>AV241+AV244</f>
        <v>57</v>
      </c>
      <c r="AW245" s="228" t="str">
        <f>IF(AO245="","",AW243+AO245)</f>
        <v/>
      </c>
      <c r="AX245" s="230"/>
      <c r="AY245" s="224">
        <f>IF(L244="",10^30,SQRT(BA242)*(BA244^2)*(N(AN243)+N(AN245)+N(AO243)+N(AV243))/(100000*L244*M242))</f>
        <v>1E+30</v>
      </c>
      <c r="AZ245" s="225"/>
      <c r="BA245" s="220">
        <f>IF(AND(F244="",SUM(S242:S245)&lt;&gt;0),BA241,F244)</f>
        <v>0</v>
      </c>
      <c r="BB245" s="221">
        <f t="shared" si="5"/>
        <v>0</v>
      </c>
      <c r="BC245" s="232"/>
      <c r="BD245" s="232"/>
    </row>
    <row r="246" spans="1:56" ht="15" customHeight="1">
      <c r="B246" s="85"/>
      <c r="C246" s="271" t="str">
        <f>IF(BC246=1,"●","・")</f>
        <v>・</v>
      </c>
      <c r="D246" s="402"/>
      <c r="E246" s="403"/>
      <c r="F246" s="404"/>
      <c r="G246" s="265" t="str">
        <f>IF(F246="","","φ")</f>
        <v/>
      </c>
      <c r="H246" s="405"/>
      <c r="I246" s="265" t="str">
        <f>IF(H246="","","W")</f>
        <v/>
      </c>
      <c r="J246" s="405"/>
      <c r="K246" s="272" t="str">
        <f>IF(J246="","","V")</f>
        <v/>
      </c>
      <c r="L246" s="406"/>
      <c r="M246" s="407"/>
      <c r="N246" s="408"/>
      <c r="O246" s="193"/>
      <c r="P246" s="86"/>
      <c r="Q246" s="194"/>
      <c r="R246" s="87"/>
      <c r="S246" s="88" t="str">
        <f>IF(R246="","",IF(Q246="",P246/R246,P246/(Q246*R246)))</f>
        <v/>
      </c>
      <c r="T246" s="195"/>
      <c r="U246" s="196" t="str">
        <f>IF(OR(BA248="",S246=""),"",S246*1000*T246/(SQRT(BA246)*BA248))</f>
        <v/>
      </c>
      <c r="V246" s="254" t="str">
        <f>IF(AND(N(U246)=0,N(U247)=0,N(U248)=0,N(U249)=0),"",BA248/(SUM(U246:U249)))</f>
        <v/>
      </c>
      <c r="W246" s="280"/>
      <c r="X246" s="281"/>
      <c r="Y246" s="242"/>
      <c r="Z246" s="243"/>
      <c r="AA246" s="239"/>
      <c r="AB246" s="241"/>
      <c r="AC246" s="242"/>
      <c r="AD246" s="243"/>
      <c r="AE246" s="247"/>
      <c r="AF246" s="233" t="str">
        <f>IF(OR(AND(AF242="",N(BA244)=0,BA248&lt;&gt;0),D246&lt;&gt;""),AX248/AQ247,"")</f>
        <v/>
      </c>
      <c r="AG246" s="249" t="str">
        <f>IF(BA248=0,"",IF(AD248="",AX246,IF(AND(D246&lt;&gt;"",AU246=""),AX248*SQRT(AP248^2+AP249^2)/SQRT(AS246^2+AS247^2)/AQ247,AX246*SQRT(AP248^2+AP249^2)/SQRT(AS246^2+AS247^2))))</f>
        <v/>
      </c>
      <c r="AH246" s="250"/>
      <c r="AI246" s="234" t="str">
        <f>IF(AG246="","",IF(N(U246)&lt;0,-AX246*AQ247/SQRT(AS246^2+AS247^2),AX246*AQ247/SQRT(AS246^2+AS247^2)))</f>
        <v/>
      </c>
      <c r="AJ246" s="256"/>
      <c r="AK246" s="257"/>
      <c r="AL246" s="186"/>
      <c r="AM246" s="28"/>
      <c r="AN246" s="213" t="b">
        <f>IF(BA246="","",IF(AND(BA246=1,F248=50,L246="oil cooled type"),VLOOKUP(L248,変１,2,FALSE),IF(AND(BA246=1,F248=50,L246="(F)molded type"),VLOOKUP(L248,変１,7,FALSE),IF(AND(BA246=1,F248=60,L246="oil cooled type"),VLOOKUP(L248,変１,12,FALSE),IF(AND(BA246=1,F248=60,L246="(F)molded type"),VLOOKUP(L248,変１,17,FALSE),FALSE)))))</f>
        <v>0</v>
      </c>
      <c r="AO246" s="213">
        <f>IF(ISNA(VLOOKUP(L248,変ＵＳＥＲ,2,FALSE)),0,VLOOKUP(L248,変ＵＳＥＲ,2,FALSE))</f>
        <v>0</v>
      </c>
      <c r="AP246" s="214">
        <f>IF(N246="",0,N246*1000/BA248^2/SQRT(BA246))</f>
        <v>0</v>
      </c>
      <c r="AQ246" s="213" t="b">
        <f>IF(BA246=1,2,IF(BA246=3,SQRT(3),FALSE))</f>
        <v>0</v>
      </c>
      <c r="AR246" s="215" t="str">
        <f>IF(X246="","",IF(X246="600V IV",VLOOKUP(X248,ＩＶ,2,FALSE),IF(X246="600V CV-T",VLOOKUP(X248,ＣＶＴ,2,FALSE),IF(OR(X246="600V CV-1C",X246="600V CV-2C",X246="600V CV-3C",X246="600V CV-4C"),VLOOKUP(X248,ＣＶ２３Ｃ,2,FALSE),VLOOKUP(X248,ＣＵＳＥＲ,2,FALSE)))))</f>
        <v/>
      </c>
      <c r="AS246" s="213" t="str">
        <f>IF(AB249="",AP248,AP248+(AB249/1000))</f>
        <v/>
      </c>
      <c r="AT246" s="216" t="str">
        <f>IF(AU248="",AT248,AU248)</f>
        <v/>
      </c>
      <c r="AU246" s="216" t="str">
        <f>IF(D246="","",IF(AND(D506="",#REF!&lt;&gt;"",AV249=#REF!),#REF!,IF(AND(D506="",#REF!="",#REF!&lt;&gt;"",AV509=#REF!),#REF!,IF(AND(D506="",#REF!="",#REF!="",#REF!&lt;&gt;"",#REF!=#REF!),#REF!,IF(AND(D506="",#REF!="",#REF!="",#REF!="",D510&lt;&gt;"",#REF!=#REF!),AT510,IF(AND(D506="",#REF!="",#REF!="",#REF!="",D510="",#REF!&lt;&gt;"",#REF!=AV514),#REF!,IF(AND(D506="",#REF!="",#REF!="",#REF!="",D510="",#REF!="",D515&lt;&gt;"",#REF!=AV518),AT515,"")))))))</f>
        <v/>
      </c>
      <c r="AV246" s="216" t="str">
        <f>IF(L246="ACG",IF(ISNA(VLOOKUP(L248,ＡＣＧ,2,FALSE)),0,VLOOKUP(L248,ＡＣＧ,2,FALSE)),"")</f>
        <v/>
      </c>
      <c r="AW246" s="217" t="str">
        <f>IF(AT246="","",AT246/((AT246*AP246)^2+(AT247*AP246-1)^2))</f>
        <v/>
      </c>
      <c r="AX246" s="218" t="str">
        <f>IF(BA248=0,"",IF(OR(AX242="",AF246&lt;&gt;""),AF246*SQRT(AS248^2+AS249^2)/SQRT(AT248^2+AT249^2),AX242*SQRT(AS248^2+AS249^2)/SQRT(AT248^2+AT249^2)))</f>
        <v/>
      </c>
      <c r="AY246" s="219">
        <f>IF(N(AY248)=10^30,10^30,IF(N(AY508)=10^30,(N(AY248)*(N(AY508)^2+N(AY509)^2)+N(AY508)*(N(AY248)^2+N(AY249)^2))/((N(AY248)+N(AY508))^2+(N(AY249)+N(AY509))^2),(N(AY248)*(N(AY506)^2+N(AY507)^2)+N(AY506)*(N(AY248)^2+N(AY249)^2))/((N(AY248)+N(AY506))^2+(N(AY249)+N(AY507))^2)))</f>
        <v>1E+30</v>
      </c>
      <c r="AZ246" s="23"/>
      <c r="BA246" s="220">
        <f>IF(AND(F246="",SUM(S246:S249)&lt;&gt;0),BA242,F246)</f>
        <v>0</v>
      </c>
      <c r="BB246" s="221">
        <f t="shared" si="5"/>
        <v>0</v>
      </c>
      <c r="BC246" s="232">
        <f>IF(OR(E246="",F249="",AND(OR(P246="",Q246="",R246="",T246=""),OR(P247="",Q247="",R247="",T247=""),OR(P248="",Q248="",R248="",T248=""),OR(P249="",Q249="",R249="",T249="")),AND(OR(X246="",X248="",Y248="",Z248=""),OR(AB246="",AB248="",AC248="",AD248=""))),0,1)</f>
        <v>0</v>
      </c>
      <c r="BD246" s="232">
        <f>BC246+BD242</f>
        <v>0</v>
      </c>
    </row>
    <row r="247" spans="1:56" ht="15" customHeight="1">
      <c r="B247" s="85"/>
      <c r="C247" s="271"/>
      <c r="D247" s="409"/>
      <c r="E247" s="362"/>
      <c r="F247" s="410"/>
      <c r="G247" s="266"/>
      <c r="H247" s="266"/>
      <c r="I247" s="266"/>
      <c r="J247" s="266"/>
      <c r="K247" s="273"/>
      <c r="L247" s="411"/>
      <c r="M247" s="197" t="str">
        <f>IF(L246="ACG",SQRT(AV246^2+AV247^2),IF(L248="","",IF(OR(L246="oil cooled type",L246="(F)molded type"),IF(BA246=1,SQRT(AN246^2+AN247^2),IF(BA246=3,SQRT(AN248^2+AN249^2))),SQRT(AO246^2+AO247^2))))</f>
        <v/>
      </c>
      <c r="N247" s="412"/>
      <c r="O247" s="198"/>
      <c r="P247" s="90"/>
      <c r="Q247" s="199"/>
      <c r="R247" s="91"/>
      <c r="S247" s="92" t="str">
        <f>IF(R248="","",IF(Q248="",P248/R248,P248/(Q248*R248)))</f>
        <v/>
      </c>
      <c r="T247" s="200"/>
      <c r="U247" s="201" t="str">
        <f>IF(OR(BA248="",S247=""),"",S247*1000*T247/(SQRT(BA246)*BA248))</f>
        <v/>
      </c>
      <c r="V247" s="255"/>
      <c r="W247" s="248"/>
      <c r="X247" s="258"/>
      <c r="Y247" s="245"/>
      <c r="Z247" s="246"/>
      <c r="AA247" s="240"/>
      <c r="AB247" s="244"/>
      <c r="AC247" s="245"/>
      <c r="AD247" s="246"/>
      <c r="AE247" s="248"/>
      <c r="AF247" s="235" t="str">
        <f>IF(OR(AF246="",AG242&lt;&gt;""),"",AF246*AQ247/SQRT(AT246^2+AT247^2))</f>
        <v/>
      </c>
      <c r="AG247" s="274" t="str">
        <f>IF(AG246="","",100*AG246*AQ247/BA248)</f>
        <v/>
      </c>
      <c r="AH247" s="275"/>
      <c r="AI247" s="260" t="str">
        <f>IF(BA248=0,"",IF(AI242="",AX248/SQRT(AT246^2+AT247^2),IF(AI250="","",IF(AT246&lt;0,-AX246*AQ243/SQRT(AT246^2+AT247^2),AX246*AQ243/SQRT(AT246^2+AT247^2)))))</f>
        <v/>
      </c>
      <c r="AJ247" s="258"/>
      <c r="AK247" s="259"/>
      <c r="AL247" s="187"/>
      <c r="AM247" s="28"/>
      <c r="AN247" s="213" t="b">
        <f>IF(BA246="","",IF(AND(BA246=1,F248=50,L246="oil cooled type"),VLOOKUP(L248,変１,3,FALSE),IF(AND(BA246=1,F248=50,L246="(F)molded type"),VLOOKUP(L248,変１,8,FALSE),IF(AND(BA246=1,F248=60,L246="oil cooled type"),VLOOKUP(L248,変１,13,FALSE),IF(AND(BA246=1,F248=60,L246="(F)molded type"),VLOOKUP(L248,変１,18,FALSE),FALSE)))))</f>
        <v>0</v>
      </c>
      <c r="AO247" s="213">
        <f>IF(ISNA(VLOOKUP(L248,変ＵＳＥＲ,3,FALSE)),0,VLOOKUP(L248,変ＵＳＥＲ,3,FALSE)*BA249/50)</f>
        <v>0</v>
      </c>
      <c r="AP247" s="214">
        <f>IF(W246="",0,W246*1000/BA248^2/SQRT(BA246))</f>
        <v>0</v>
      </c>
      <c r="AQ247" s="213">
        <f>IF(AND(BA246=1,BA247=2),1,IF(AND(BA246=3,BA247=3),1,IF(AND(BA246=1,BA247=3),2,IF(AND(BA246=3,BA247=4)*OR(BB246=1,BB247=1,BB248=1,BB249=1),1,SQRT(3)))))</f>
        <v>1.7320508075688772</v>
      </c>
      <c r="AR247" s="215" t="str">
        <f>IF(X246="","",IF(X246="600V IV",VLOOKUP(X248,ＩＶ,3,FALSE),IF(X246="600V CV-T",VLOOKUP(X248,ＣＶＴ,3,FALSE),IF(OR(X246="600V CV-1C",X246="600V CV-2C",X246="600V CV-3C",X246="600V CV-4C"),VLOOKUP(X248,ＣＶ２３Ｃ,3,FALSE),VLOOKUP(X248,ＣＵＳＥＲ,3,FALSE)))))</f>
        <v/>
      </c>
      <c r="AS247" s="213" t="str">
        <f>IF(AD249="",AP249,AP249+(AD249/1000))</f>
        <v/>
      </c>
      <c r="AT247" s="216" t="str">
        <f>IF(AU249="",AT249,AU249)</f>
        <v/>
      </c>
      <c r="AU247" s="216" t="str">
        <f>IF(D246="","",IF(AND(D506="",#REF!&lt;&gt;"",AV249=#REF!),#REF!,IF(AND(D506="",#REF!="",#REF!&lt;&gt;"",AV509=#REF!),#REF!,IF(AND(D506="",#REF!="",#REF!="",#REF!&lt;&gt;"",#REF!=#REF!),#REF!,IF(AND(D506="",#REF!="",#REF!="",#REF!="",D510&lt;&gt;"",#REF!=#REF!),AT511,IF(AND(D506="",#REF!="",#REF!="",#REF!="",D510="",#REF!&lt;&gt;"",#REF!=AV514),AT512,IF(AND(D506="",#REF!="",#REF!="",#REF!="",D510="",#REF!="",D515&lt;&gt;"",#REF!=AV518),AT516,"")))))))</f>
        <v/>
      </c>
      <c r="AV247" s="215" t="str">
        <f>IF(L246="ACG",IF(ISNA(VLOOKUP(L248,ＡＣＧ,3,FALSE)),0,VLOOKUP(L248,ＡＣＧ,3,FALSE)*BA249/50),"")</f>
        <v/>
      </c>
      <c r="AW247" s="217" t="str">
        <f>IF(AT247="","",(AT247-AP246*(AT246^2+AT247^2))/((AT246*AP246)^2+(AP246*AT247-1)^2))</f>
        <v/>
      </c>
      <c r="AX247" s="218"/>
      <c r="AY247" s="219">
        <f>IF(N(AY249)=10^30,10^30,IF(N(AY509)=10^30,(N(AY249)*(N(AY508)^2+N(AY509)^2)+N(AY509)*(N(AY248)^2+N(AY249)^2))/((N(AY248)+N(AY508))^2+(N(AY249)+N(AY509))^2),(N(AY249)*(N(AY506)^2+N(AY507)^2)+N(AY507)*(N(AY248)^2+N(AY249)^2))/((N(AY248)+N(AY506))^2+(N(AY249)+N(AY507))^2)))</f>
        <v>1E+30</v>
      </c>
      <c r="AZ247" s="23"/>
      <c r="BA247" s="220">
        <f>IF(AND(H246="",SUM(S246:S249)&lt;&gt;0),BA243,H246)</f>
        <v>0</v>
      </c>
      <c r="BB247" s="221">
        <f t="shared" si="5"/>
        <v>0</v>
      </c>
      <c r="BC247" s="232"/>
      <c r="BD247" s="232"/>
    </row>
    <row r="248" spans="1:56" ht="15" customHeight="1">
      <c r="B248" s="85"/>
      <c r="C248" s="271"/>
      <c r="D248" s="409"/>
      <c r="E248" s="362"/>
      <c r="F248" s="413"/>
      <c r="G248" s="414"/>
      <c r="H248" s="414"/>
      <c r="I248" s="414"/>
      <c r="J248" s="414"/>
      <c r="K248" s="415"/>
      <c r="L248" s="416"/>
      <c r="M248" s="275"/>
      <c r="N248" s="412"/>
      <c r="O248" s="198"/>
      <c r="P248" s="93"/>
      <c r="Q248" s="202"/>
      <c r="R248" s="91"/>
      <c r="S248" s="92" t="str">
        <f>IF(R249="","",IF(Q249="",P249/R249,P249/(Q249*R249)))</f>
        <v/>
      </c>
      <c r="T248" s="200"/>
      <c r="U248" s="203" t="str">
        <f>IF(OR(BA248="",S248=""),"",S248*1000*T248/(SQRT(BA246)*BA248))</f>
        <v/>
      </c>
      <c r="V248" s="94" t="str">
        <f>IF(AND(N(U246)=0,N(U247)=0,N(U248)=0,N(U249)=0),"",V246*(P246*R246*T246+P247*R247*T247+P248*R248*T248+P249*R249*T249)/(P246*T246+P247*T247+P248*T248+P249*T249))</f>
        <v/>
      </c>
      <c r="W248" s="276" t="str">
        <f>IF(AND(N(AP248)=0,N(AP249)=0,N(AP247)=0),"",IF(AP249&gt;=0,COS(ATAN(AP249/AP248)),-COS(ATAN(AP249/AP248))))</f>
        <v/>
      </c>
      <c r="X248" s="95"/>
      <c r="Y248" s="204"/>
      <c r="Z248" s="96"/>
      <c r="AA248" s="97"/>
      <c r="AB248" s="98"/>
      <c r="AC248" s="204"/>
      <c r="AD248" s="96"/>
      <c r="AE248" s="99"/>
      <c r="AF248" s="236" t="str">
        <f>IF(OR(AF246="",AG242&lt;&gt;""),"",BA248/SQRT(AW248^2+AW249^2))</f>
        <v/>
      </c>
      <c r="AG248" s="274" t="str">
        <f>IF(AG246="","",100*((BA248/AQ247)-AG246)/(BA248/AQ247))</f>
        <v/>
      </c>
      <c r="AH248" s="275"/>
      <c r="AI248" s="261"/>
      <c r="AJ248" s="262"/>
      <c r="AK248" s="264"/>
      <c r="AL248" s="188"/>
      <c r="AM248" s="28"/>
      <c r="AN248" s="222" t="b">
        <f>IF(BA246="","",IF(AND(BA246=3,F248=50,L246="oil cooled type"),VLOOKUP(L248,変３,2,FALSE),IF(AND(BA246=3,F248=50,L246="(F)molded type"),VLOOKUP(L248,変３,7,FALSE),IF(AND(BA246=3,F248=60,L246="oil cooled type"),VLOOKUP(L248,変３,12,FALSE),IF(AND(BA246=3,F248=60,L246="(F)molded type"),VLOOKUP(L248,変３,17,FALSE),FALSE)))))</f>
        <v>0</v>
      </c>
      <c r="AO248" s="215" t="str">
        <f>IF(AND(L242="",N(AY246)&lt;10^29),AY246,"")</f>
        <v/>
      </c>
      <c r="AP248" s="223" t="str">
        <f>IF(V246="","",IF(AND(N(V248)=0,N(AP247)=0),"",AQ248/((AQ248*AP247)^2+(AP247*AQ249-1)^2)))</f>
        <v/>
      </c>
      <c r="AQ248" s="213">
        <f>IF(N(V248)=0,10^30,V248)</f>
        <v>1E+30</v>
      </c>
      <c r="AR248" s="215" t="str">
        <f>IF(AB246="","",IF(AB246="600V IV",VLOOKUP(AB248,ＩＶ,2,FALSE),IF(AB246="600V CV-T",VLOOKUP(AB248,ＣＶＴ,2,FALSE),IF(OR(AB246="600V CV-1C",AB246="600V CV-2C",AB246="600V CV-3C",AB246="600V CV-4C"),VLOOKUP(AB248,ＣＶ２３Ｃ,2,FALSE),VLOOKUP(AB248,ＣＵＳＥＲ,2,FALSE)))))</f>
        <v/>
      </c>
      <c r="AS248" s="213" t="str">
        <f>IF(OR(AND(AS506="",AS507=""),AND(D246="",D506&lt;&gt;"")),AS246,(AS246*(AT506^2+AT507^2)+AT506*(AS246^2+AS247^2))/((AS246+AT506)^2+(AS247+AT507)^2))</f>
        <v/>
      </c>
      <c r="AT248" s="216" t="str">
        <f>IF(X249="",AS248,N(AS248)+(X249/1000))</f>
        <v/>
      </c>
      <c r="AU248" s="216" t="str">
        <f>IF(AU246="","",(AT248*(AU246^2+AU247^2)+AU246*(AT248^2+AT249^2))/((AT248+AU246)^2+(AT249+AU247)^2))</f>
        <v/>
      </c>
      <c r="AV248" s="216">
        <f>IF(BA248=0,1,0)</f>
        <v>1</v>
      </c>
      <c r="AW248" s="217" t="str">
        <f>IF(AO248="","",AW246+AO248)</f>
        <v/>
      </c>
      <c r="AX248" s="218" t="str">
        <f>IF(AND(AX244="",AW248&lt;&gt;""),BA248*SQRT(AW246^2+AW247^2)/SQRT(AW248^2+AW249^2),IF(BA248&lt;&gt;0,AX244,""))</f>
        <v/>
      </c>
      <c r="AY248" s="224">
        <f>IF(L248="",10^30,SQRT(BA246)*(BA248^2)*(N(AN246)+N(AN248)+N(AO246)+N(AV246))/(100000*L248*M246))</f>
        <v>1E+30</v>
      </c>
      <c r="AZ248" s="225"/>
      <c r="BA248" s="220">
        <f>IF(AND(J246="",SUM(S246:S249)&lt;&gt;0),BA244,J246)</f>
        <v>0</v>
      </c>
      <c r="BB248" s="221">
        <f t="shared" si="5"/>
        <v>0</v>
      </c>
      <c r="BC248" s="232"/>
      <c r="BD248" s="232"/>
    </row>
    <row r="249" spans="1:56" ht="15" customHeight="1">
      <c r="A249" s="85"/>
      <c r="B249" s="85"/>
      <c r="C249" s="271"/>
      <c r="D249" s="417"/>
      <c r="E249" s="418"/>
      <c r="F249" s="419"/>
      <c r="G249" s="270"/>
      <c r="H249" s="270"/>
      <c r="I249" s="270"/>
      <c r="J249" s="270"/>
      <c r="K249" s="268"/>
      <c r="L249" s="251" t="str">
        <f>IF(M246="","",L248*1000*M246/(SQRT(BA246)*BA248))</f>
        <v/>
      </c>
      <c r="M249" s="252"/>
      <c r="N249" s="277"/>
      <c r="O249" s="205"/>
      <c r="P249" s="106"/>
      <c r="Q249" s="206"/>
      <c r="R249" s="107"/>
      <c r="S249" s="108" t="str">
        <f>IF(R249="","",IF(Q249="",P249/R249,P249/(Q249*R249)))</f>
        <v/>
      </c>
      <c r="T249" s="207"/>
      <c r="U249" s="208" t="str">
        <f>IF(OR(BA248="",S249=""),"",S249*1000*T249/(SQRT(BA246)*BA248))</f>
        <v/>
      </c>
      <c r="V249" s="109" t="str">
        <f>IF(AND(N(U246)=0,N(U247)=0,N(U248)=0,N(U249)=0),"",IF(V246&gt;=0,SQRT(ABS(V246^2-V248^2)),-SQRT(V246^2-V248^2)))</f>
        <v/>
      </c>
      <c r="W249" s="277"/>
      <c r="X249" s="278" t="str">
        <f>IF(Y248="","",AQ246*Z248*AR246*((1+0.00393*(F249-20))/1.2751)/Y248)</f>
        <v/>
      </c>
      <c r="Y249" s="270"/>
      <c r="Z249" s="267" t="str">
        <f>IF(Y248="","",(BA249/50)*AQ246*Z248*AR247/Y248)</f>
        <v/>
      </c>
      <c r="AA249" s="252"/>
      <c r="AB249" s="279" t="str">
        <f>IF(AC248="","",AQ246*AD248*AR248*((1+0.00393*(F249-20))/1.2751)/AC248)</f>
        <v/>
      </c>
      <c r="AC249" s="270"/>
      <c r="AD249" s="267" t="str">
        <f>IF(AC248="","",(BA249/50)*AQ246*AD248*AR249/AC248)</f>
        <v/>
      </c>
      <c r="AE249" s="268"/>
      <c r="AF249" s="237" t="str">
        <f>IF(AND(AX246&lt;&gt;"",D246=""),AX246,"")</f>
        <v/>
      </c>
      <c r="AG249" s="269" t="str">
        <f>IF(AP248="","",AP248)</f>
        <v/>
      </c>
      <c r="AH249" s="270"/>
      <c r="AI249" s="238" t="str">
        <f>IF(AP249="","",AP249)</f>
        <v/>
      </c>
      <c r="AJ249" s="263"/>
      <c r="AK249" s="253"/>
      <c r="AL249" s="189"/>
      <c r="AM249" s="28"/>
      <c r="AN249" s="226" t="b">
        <f>IF(BA246="","",IF(AND(BA246=3,F248=50,L246="oil cooled type"),VLOOKUP(L248,変３,3,FALSE),IF(AND(BA246=3,F248=50,L246="(F)molded type"),VLOOKUP(L248,変３,8,FALSE),IF(AND(BA246=3,F248=60,L246="oil cooled type"),VLOOKUP(L248,変３,13,FALSE),IF(AND(BA246=3,F248=60,L246="(F)molded type"),VLOOKUP(L248,変３,18,FALSE),FALSE)))))</f>
        <v>0</v>
      </c>
      <c r="AO249" s="226" t="str">
        <f>IF(AND(L242="",N(AY247)&lt;10^29),AY247,"")</f>
        <v/>
      </c>
      <c r="AP249" s="227" t="str">
        <f>IF(V246="","",IF(AND(N(V249)=0,N(AP247)=0),0,(AQ249-AP247*(AQ248^2+AQ249^2))/((AQ248*AP247)^2+(AP247*AQ249-1)^2)))</f>
        <v/>
      </c>
      <c r="AQ249" s="228">
        <f>IF(N(V249)=0,10^30,V249)</f>
        <v>1E+30</v>
      </c>
      <c r="AR249" s="226" t="str">
        <f>IF(AB246="","",IF(AB246="600V IV",VLOOKUP(AB248,ＩＶ,3,FALSE),IF(AB246="600V CV-T",VLOOKUP(AB248,ＣＶＴ,3,FALSE),IF(OR(AB246="600V CV-1C",AB246="600V CV-2C",AB246="600V CV-3C",AB246="600V CV-4C"),VLOOKUP(AB248,ＣＶ２３Ｃ,3,FALSE),VLOOKUP(AB248,ＣＵＳＥＲ,3,FALSE)))))</f>
        <v/>
      </c>
      <c r="AS249" s="228" t="str">
        <f>IF(OR(AND(AS506="",AS507=""),AND(D246="",D506&lt;&gt;"")),AS247,(AS247*(AT506^2+AT507^2)+AT507*(AS246^2+AS247^2))/((AS246+AT506)^2+(AS247+AT507)^2))</f>
        <v/>
      </c>
      <c r="AT249" s="229" t="str">
        <f>IF(Z249="",AS249,N(AS249)+(Z249/1000))</f>
        <v/>
      </c>
      <c r="AU249" s="229" t="str">
        <f>IF(AU247="","",(AT249*(AU246^2+AU247^2)+AU247*(AT248^2+AT249^2))/((AT248+AU246)^2+(AT249+AU247)^2))</f>
        <v/>
      </c>
      <c r="AV249" s="229">
        <f>AV245+AV248</f>
        <v>58</v>
      </c>
      <c r="AW249" s="228" t="str">
        <f>IF(AO249="","",AW247+AO249)</f>
        <v/>
      </c>
      <c r="AX249" s="230"/>
      <c r="AY249" s="224">
        <f>IF(L248="",10^30,SQRT(BA246)*(BA248^2)*(N(AN247)+N(AN249)+N(AO247)+N(AV247))/(100000*L248*M246))</f>
        <v>1E+30</v>
      </c>
      <c r="AZ249" s="225"/>
      <c r="BA249" s="220">
        <f>IF(AND(F248="",SUM(S246:S249)&lt;&gt;0),BA245,F248)</f>
        <v>0</v>
      </c>
      <c r="BB249" s="221">
        <f t="shared" si="5"/>
        <v>0</v>
      </c>
      <c r="BC249" s="232"/>
      <c r="BD249" s="232"/>
    </row>
    <row r="250" spans="1:56" ht="15" customHeight="1">
      <c r="B250" s="85"/>
      <c r="C250" s="271" t="str">
        <f>IF(BC250=1,"●","・")</f>
        <v>・</v>
      </c>
      <c r="D250" s="402"/>
      <c r="E250" s="403"/>
      <c r="F250" s="404"/>
      <c r="G250" s="265" t="str">
        <f>IF(F250="","","φ")</f>
        <v/>
      </c>
      <c r="H250" s="405"/>
      <c r="I250" s="265" t="str">
        <f>IF(H250="","","W")</f>
        <v/>
      </c>
      <c r="J250" s="405"/>
      <c r="K250" s="272" t="str">
        <f>IF(J250="","","V")</f>
        <v/>
      </c>
      <c r="L250" s="406"/>
      <c r="M250" s="407"/>
      <c r="N250" s="408"/>
      <c r="O250" s="193"/>
      <c r="P250" s="86"/>
      <c r="Q250" s="194"/>
      <c r="R250" s="87"/>
      <c r="S250" s="88" t="str">
        <f>IF(R250="","",IF(Q250="",P250/R250,P250/(Q250*R250)))</f>
        <v/>
      </c>
      <c r="T250" s="195"/>
      <c r="U250" s="196" t="str">
        <f>IF(OR(BA252="",S250=""),"",S250*1000*T250/(SQRT(BA250)*BA252))</f>
        <v/>
      </c>
      <c r="V250" s="254" t="str">
        <f>IF(AND(N(U250)=0,N(U251)=0,N(U252)=0,N(U253)=0),"",BA252/(SUM(U250:U253)))</f>
        <v/>
      </c>
      <c r="W250" s="280"/>
      <c r="X250" s="281"/>
      <c r="Y250" s="242"/>
      <c r="Z250" s="243"/>
      <c r="AA250" s="239"/>
      <c r="AB250" s="241"/>
      <c r="AC250" s="242"/>
      <c r="AD250" s="243"/>
      <c r="AE250" s="247"/>
      <c r="AF250" s="233" t="str">
        <f>IF(OR(AND(AF246="",N(BA248)=0,BA252&lt;&gt;0),D250&lt;&gt;""),AX252/AQ251,"")</f>
        <v/>
      </c>
      <c r="AG250" s="249" t="str">
        <f>IF(BA252=0,"",IF(AD252="",AX250,IF(AND(D250&lt;&gt;"",AU250=""),AX252*SQRT(AP252^2+AP253^2)/SQRT(AS250^2+AS251^2)/AQ251,AX250*SQRT(AP252^2+AP253^2)/SQRT(AS250^2+AS251^2))))</f>
        <v/>
      </c>
      <c r="AH250" s="250"/>
      <c r="AI250" s="234" t="str">
        <f>IF(AG250="","",IF(N(U250)&lt;0,-AX250*AQ251/SQRT(AS250^2+AS251^2),AX250*AQ251/SQRT(AS250^2+AS251^2)))</f>
        <v/>
      </c>
      <c r="AJ250" s="256"/>
      <c r="AK250" s="257"/>
      <c r="AL250" s="186"/>
      <c r="AM250" s="28"/>
      <c r="AN250" s="213" t="b">
        <f>IF(BA250="","",IF(AND(BA250=1,F252=50,L250="oil cooled type"),VLOOKUP(L252,変１,2,FALSE),IF(AND(BA250=1,F252=50,L250="(F)molded type"),VLOOKUP(L252,変１,7,FALSE),IF(AND(BA250=1,F252=60,L250="oil cooled type"),VLOOKUP(L252,変１,12,FALSE),IF(AND(BA250=1,F252=60,L250="(F)molded type"),VLOOKUP(L252,変１,17,FALSE),FALSE)))))</f>
        <v>0</v>
      </c>
      <c r="AO250" s="213">
        <f>IF(ISNA(VLOOKUP(L252,変ＵＳＥＲ,2,FALSE)),0,VLOOKUP(L252,変ＵＳＥＲ,2,FALSE))</f>
        <v>0</v>
      </c>
      <c r="AP250" s="214">
        <f>IF(N250="",0,N250*1000/BA252^2/SQRT(BA250))</f>
        <v>0</v>
      </c>
      <c r="AQ250" s="213" t="b">
        <f>IF(BA250=1,2,IF(BA250=3,SQRT(3),FALSE))</f>
        <v>0</v>
      </c>
      <c r="AR250" s="215" t="str">
        <f>IF(X250="","",IF(X250="600V IV",VLOOKUP(X252,ＩＶ,2,FALSE),IF(X250="600V CV-T",VLOOKUP(X252,ＣＶＴ,2,FALSE),IF(OR(X250="600V CV-1C",X250="600V CV-2C",X250="600V CV-3C",X250="600V CV-4C"),VLOOKUP(X252,ＣＶ２３Ｃ,2,FALSE),VLOOKUP(X252,ＣＵＳＥＲ,2,FALSE)))))</f>
        <v/>
      </c>
      <c r="AS250" s="213" t="str">
        <f>IF(AB253="",AP252,AP252+(AB253/1000))</f>
        <v/>
      </c>
      <c r="AT250" s="216" t="str">
        <f>IF(AU252="",AT252,AU252)</f>
        <v/>
      </c>
      <c r="AU250" s="216" t="str">
        <f>IF(D250="","",IF(AND(D510="",#REF!&lt;&gt;"",AV253=#REF!),#REF!,IF(AND(D510="",#REF!="",#REF!&lt;&gt;"",AV513=#REF!),#REF!,IF(AND(D510="",#REF!="",#REF!="",#REF!&lt;&gt;"",#REF!=#REF!),#REF!,IF(AND(D510="",#REF!="",#REF!="",#REF!="",D514&lt;&gt;"",#REF!=#REF!),AT514,IF(AND(D510="",#REF!="",#REF!="",#REF!="",D514="",#REF!&lt;&gt;"",#REF!=AV518),#REF!,IF(AND(D510="",#REF!="",#REF!="",#REF!="",D514="",#REF!="",D519&lt;&gt;"",#REF!=AV522),AT519,"")))))))</f>
        <v/>
      </c>
      <c r="AV250" s="216" t="str">
        <f>IF(L250="ACG",IF(ISNA(VLOOKUP(L252,ＡＣＧ,2,FALSE)),0,VLOOKUP(L252,ＡＣＧ,2,FALSE)),"")</f>
        <v/>
      </c>
      <c r="AW250" s="217" t="str">
        <f>IF(AT250="","",AT250/((AT250*AP250)^2+(AT251*AP250-1)^2))</f>
        <v/>
      </c>
      <c r="AX250" s="218" t="str">
        <f>IF(BA252=0,"",IF(OR(AX246="",AF250&lt;&gt;""),AF250*SQRT(AS252^2+AS253^2)/SQRT(AT252^2+AT253^2),AX246*SQRT(AS252^2+AS253^2)/SQRT(AT252^2+AT253^2)))</f>
        <v/>
      </c>
      <c r="AY250" s="219">
        <f>IF(N(AY252)=10^30,10^30,IF(N(AY512)=10^30,(N(AY252)*(N(AY512)^2+N(AY513)^2)+N(AY512)*(N(AY252)^2+N(AY253)^2))/((N(AY252)+N(AY512))^2+(N(AY253)+N(AY513))^2),(N(AY252)*(N(AY510)^2+N(AY511)^2)+N(AY510)*(N(AY252)^2+N(AY253)^2))/((N(AY252)+N(AY510))^2+(N(AY253)+N(AY511))^2)))</f>
        <v>1E+30</v>
      </c>
      <c r="AZ250" s="23"/>
      <c r="BA250" s="220">
        <f>IF(AND(F250="",SUM(S250:S253)&lt;&gt;0),BA246,F250)</f>
        <v>0</v>
      </c>
      <c r="BB250" s="221">
        <f t="shared" si="5"/>
        <v>0</v>
      </c>
      <c r="BC250" s="232">
        <f>IF(OR(E250="",F253="",AND(OR(P250="",Q250="",R250="",T250=""),OR(P251="",Q251="",R251="",T251=""),OR(P252="",Q252="",R252="",T252=""),OR(P253="",Q253="",R253="",T253="")),AND(OR(X250="",X252="",Y252="",Z252=""),OR(AB250="",AB252="",AC252="",AD252=""))),0,1)</f>
        <v>0</v>
      </c>
      <c r="BD250" s="232">
        <f>BC250+BD246</f>
        <v>0</v>
      </c>
    </row>
    <row r="251" spans="1:56" ht="15" customHeight="1">
      <c r="B251" s="85"/>
      <c r="C251" s="271"/>
      <c r="D251" s="409"/>
      <c r="E251" s="362"/>
      <c r="F251" s="410"/>
      <c r="G251" s="266"/>
      <c r="H251" s="266"/>
      <c r="I251" s="266"/>
      <c r="J251" s="266"/>
      <c r="K251" s="273"/>
      <c r="L251" s="411"/>
      <c r="M251" s="197" t="str">
        <f>IF(L250="ACG",SQRT(AV250^2+AV251^2),IF(L252="","",IF(OR(L250="oil cooled type",L250="(F)molded type"),IF(BA250=1,SQRT(AN250^2+AN251^2),IF(BA250=3,SQRT(AN252^2+AN253^2))),SQRT(AO250^2+AO251^2))))</f>
        <v/>
      </c>
      <c r="N251" s="412"/>
      <c r="O251" s="198"/>
      <c r="P251" s="90"/>
      <c r="Q251" s="199"/>
      <c r="R251" s="91"/>
      <c r="S251" s="92" t="str">
        <f>IF(R252="","",IF(Q252="",P252/R252,P252/(Q252*R252)))</f>
        <v/>
      </c>
      <c r="T251" s="200"/>
      <c r="U251" s="201" t="str">
        <f>IF(OR(BA252="",S251=""),"",S251*1000*T251/(SQRT(BA250)*BA252))</f>
        <v/>
      </c>
      <c r="V251" s="255"/>
      <c r="W251" s="248"/>
      <c r="X251" s="258"/>
      <c r="Y251" s="245"/>
      <c r="Z251" s="246"/>
      <c r="AA251" s="240"/>
      <c r="AB251" s="244"/>
      <c r="AC251" s="245"/>
      <c r="AD251" s="246"/>
      <c r="AE251" s="248"/>
      <c r="AF251" s="235" t="str">
        <f>IF(OR(AF250="",AG246&lt;&gt;""),"",AF250*AQ251/SQRT(AT250^2+AT251^2))</f>
        <v/>
      </c>
      <c r="AG251" s="274" t="str">
        <f>IF(AG250="","",100*AG250*AQ251/BA252)</f>
        <v/>
      </c>
      <c r="AH251" s="275"/>
      <c r="AI251" s="260" t="str">
        <f>IF(BA252=0,"",IF(AI246="",AX252/SQRT(AT250^2+AT251^2),IF(AI254="","",IF(AT250&lt;0,-AX250*AQ247/SQRT(AT250^2+AT251^2),AX250*AQ247/SQRT(AT250^2+AT251^2)))))</f>
        <v/>
      </c>
      <c r="AJ251" s="258"/>
      <c r="AK251" s="259"/>
      <c r="AL251" s="187"/>
      <c r="AM251" s="28"/>
      <c r="AN251" s="213" t="b">
        <f>IF(BA250="","",IF(AND(BA250=1,F252=50,L250="oil cooled type"),VLOOKUP(L252,変１,3,FALSE),IF(AND(BA250=1,F252=50,L250="(F)molded type"),VLOOKUP(L252,変１,8,FALSE),IF(AND(BA250=1,F252=60,L250="oil cooled type"),VLOOKUP(L252,変１,13,FALSE),IF(AND(BA250=1,F252=60,L250="(F)molded type"),VLOOKUP(L252,変１,18,FALSE),FALSE)))))</f>
        <v>0</v>
      </c>
      <c r="AO251" s="213">
        <f>IF(ISNA(VLOOKUP(L252,変ＵＳＥＲ,3,FALSE)),0,VLOOKUP(L252,変ＵＳＥＲ,3,FALSE)*BA253/50)</f>
        <v>0</v>
      </c>
      <c r="AP251" s="214">
        <f>IF(W250="",0,W250*1000/BA252^2/SQRT(BA250))</f>
        <v>0</v>
      </c>
      <c r="AQ251" s="213">
        <f>IF(AND(BA250=1,BA251=2),1,IF(AND(BA250=3,BA251=3),1,IF(AND(BA250=1,BA251=3),2,IF(AND(BA250=3,BA251=4)*OR(BB250=1,BB251=1,BB252=1,BB253=1),1,SQRT(3)))))</f>
        <v>1.7320508075688772</v>
      </c>
      <c r="AR251" s="215" t="str">
        <f>IF(X250="","",IF(X250="600V IV",VLOOKUP(X252,ＩＶ,3,FALSE),IF(X250="600V CV-T",VLOOKUP(X252,ＣＶＴ,3,FALSE),IF(OR(X250="600V CV-1C",X250="600V CV-2C",X250="600V CV-3C",X250="600V CV-4C"),VLOOKUP(X252,ＣＶ２３Ｃ,3,FALSE),VLOOKUP(X252,ＣＵＳＥＲ,3,FALSE)))))</f>
        <v/>
      </c>
      <c r="AS251" s="213" t="str">
        <f>IF(AD253="",AP253,AP253+(AD253/1000))</f>
        <v/>
      </c>
      <c r="AT251" s="216" t="str">
        <f>IF(AU253="",AT253,AU253)</f>
        <v/>
      </c>
      <c r="AU251" s="216" t="str">
        <f>IF(D250="","",IF(AND(D510="",#REF!&lt;&gt;"",AV253=#REF!),#REF!,IF(AND(D510="",#REF!="",#REF!&lt;&gt;"",AV513=#REF!),#REF!,IF(AND(D510="",#REF!="",#REF!="",#REF!&lt;&gt;"",#REF!=#REF!),#REF!,IF(AND(D510="",#REF!="",#REF!="",#REF!="",D514&lt;&gt;"",#REF!=#REF!),AT515,IF(AND(D510="",#REF!="",#REF!="",#REF!="",D514="",#REF!&lt;&gt;"",#REF!=AV518),AT516,IF(AND(D510="",#REF!="",#REF!="",#REF!="",D514="",#REF!="",D519&lt;&gt;"",#REF!=AV522),AT520,"")))))))</f>
        <v/>
      </c>
      <c r="AV251" s="215" t="str">
        <f>IF(L250="ACG",IF(ISNA(VLOOKUP(L252,ＡＣＧ,3,FALSE)),0,VLOOKUP(L252,ＡＣＧ,3,FALSE)*BA253/50),"")</f>
        <v/>
      </c>
      <c r="AW251" s="217" t="str">
        <f>IF(AT251="","",(AT251-AP250*(AT250^2+AT251^2))/((AT250*AP250)^2+(AP250*AT251-1)^2))</f>
        <v/>
      </c>
      <c r="AX251" s="218"/>
      <c r="AY251" s="219">
        <f>IF(N(AY253)=10^30,10^30,IF(N(AY513)=10^30,(N(AY253)*(N(AY512)^2+N(AY513)^2)+N(AY513)*(N(AY252)^2+N(AY253)^2))/((N(AY252)+N(AY512))^2+(N(AY253)+N(AY513))^2),(N(AY253)*(N(AY510)^2+N(AY511)^2)+N(AY511)*(N(AY252)^2+N(AY253)^2))/((N(AY252)+N(AY510))^2+(N(AY253)+N(AY511))^2)))</f>
        <v>1E+30</v>
      </c>
      <c r="AZ251" s="23"/>
      <c r="BA251" s="220">
        <f>IF(AND(H250="",SUM(S250:S253)&lt;&gt;0),BA247,H250)</f>
        <v>0</v>
      </c>
      <c r="BB251" s="221">
        <f t="shared" si="5"/>
        <v>0</v>
      </c>
      <c r="BC251" s="232"/>
      <c r="BD251" s="232"/>
    </row>
    <row r="252" spans="1:56" ht="15" customHeight="1">
      <c r="B252" s="85"/>
      <c r="C252" s="271"/>
      <c r="D252" s="409"/>
      <c r="E252" s="362"/>
      <c r="F252" s="413"/>
      <c r="G252" s="414"/>
      <c r="H252" s="414"/>
      <c r="I252" s="414"/>
      <c r="J252" s="414"/>
      <c r="K252" s="415"/>
      <c r="L252" s="416"/>
      <c r="M252" s="275"/>
      <c r="N252" s="412"/>
      <c r="O252" s="198"/>
      <c r="P252" s="93"/>
      <c r="Q252" s="202"/>
      <c r="R252" s="91"/>
      <c r="S252" s="92" t="str">
        <f>IF(R253="","",IF(Q253="",P253/R253,P253/(Q253*R253)))</f>
        <v/>
      </c>
      <c r="T252" s="200"/>
      <c r="U252" s="203" t="str">
        <f>IF(OR(BA252="",S252=""),"",S252*1000*T252/(SQRT(BA250)*BA252))</f>
        <v/>
      </c>
      <c r="V252" s="94" t="str">
        <f>IF(AND(N(U250)=0,N(U251)=0,N(U252)=0,N(U253)=0),"",V250*(P250*R250*T250+P251*R251*T251+P252*R252*T252+P253*R253*T253)/(P250*T250+P251*T251+P252*T252+P253*T253))</f>
        <v/>
      </c>
      <c r="W252" s="276" t="str">
        <f>IF(AND(N(AP252)=0,N(AP253)=0,N(AP251)=0),"",IF(AP253&gt;=0,COS(ATAN(AP253/AP252)),-COS(ATAN(AP253/AP252))))</f>
        <v/>
      </c>
      <c r="X252" s="95"/>
      <c r="Y252" s="204"/>
      <c r="Z252" s="96"/>
      <c r="AA252" s="97"/>
      <c r="AB252" s="98"/>
      <c r="AC252" s="204"/>
      <c r="AD252" s="96"/>
      <c r="AE252" s="99"/>
      <c r="AF252" s="236" t="str">
        <f>IF(OR(AF250="",AG246&lt;&gt;""),"",BA252/SQRT(AW252^2+AW253^2))</f>
        <v/>
      </c>
      <c r="AG252" s="274" t="str">
        <f>IF(AG250="","",100*((BA252/AQ251)-AG250)/(BA252/AQ251))</f>
        <v/>
      </c>
      <c r="AH252" s="275"/>
      <c r="AI252" s="261"/>
      <c r="AJ252" s="262"/>
      <c r="AK252" s="264"/>
      <c r="AL252" s="188"/>
      <c r="AM252" s="28"/>
      <c r="AN252" s="222" t="b">
        <f>IF(BA250="","",IF(AND(BA250=3,F252=50,L250="oil cooled type"),VLOOKUP(L252,変３,2,FALSE),IF(AND(BA250=3,F252=50,L250="(F)molded type"),VLOOKUP(L252,変３,7,FALSE),IF(AND(BA250=3,F252=60,L250="oil cooled type"),VLOOKUP(L252,変３,12,FALSE),IF(AND(BA250=3,F252=60,L250="(F)molded type"),VLOOKUP(L252,変３,17,FALSE),FALSE)))))</f>
        <v>0</v>
      </c>
      <c r="AO252" s="215" t="str">
        <f>IF(AND(L246="",N(AY250)&lt;10^29),AY250,"")</f>
        <v/>
      </c>
      <c r="AP252" s="223" t="str">
        <f>IF(V250="","",IF(AND(N(V252)=0,N(AP251)=0),"",AQ252/((AQ252*AP251)^2+(AP251*AQ253-1)^2)))</f>
        <v/>
      </c>
      <c r="AQ252" s="213">
        <f>IF(N(V252)=0,10^30,V252)</f>
        <v>1E+30</v>
      </c>
      <c r="AR252" s="215" t="str">
        <f>IF(AB250="","",IF(AB250="600V IV",VLOOKUP(AB252,ＩＶ,2,FALSE),IF(AB250="600V CV-T",VLOOKUP(AB252,ＣＶＴ,2,FALSE),IF(OR(AB250="600V CV-1C",AB250="600V CV-2C",AB250="600V CV-3C",AB250="600V CV-4C"),VLOOKUP(AB252,ＣＶ２３Ｃ,2,FALSE),VLOOKUP(AB252,ＣＵＳＥＲ,2,FALSE)))))</f>
        <v/>
      </c>
      <c r="AS252" s="213" t="str">
        <f>IF(OR(AND(AS510="",AS511=""),AND(D250="",D510&lt;&gt;"")),AS250,(AS250*(AT510^2+AT511^2)+AT510*(AS250^2+AS251^2))/((AS250+AT510)^2+(AS251+AT511)^2))</f>
        <v/>
      </c>
      <c r="AT252" s="216" t="str">
        <f>IF(X253="",AS252,N(AS252)+(X253/1000))</f>
        <v/>
      </c>
      <c r="AU252" s="216" t="str">
        <f>IF(AU250="","",(AT252*(AU250^2+AU251^2)+AU250*(AT252^2+AT253^2))/((AT252+AU250)^2+(AT253+AU251)^2))</f>
        <v/>
      </c>
      <c r="AV252" s="216">
        <f>IF(BA252=0,1,0)</f>
        <v>1</v>
      </c>
      <c r="AW252" s="217" t="str">
        <f>IF(AO252="","",AW250+AO252)</f>
        <v/>
      </c>
      <c r="AX252" s="218" t="str">
        <f>IF(AND(AX248="",AW252&lt;&gt;""),BA252*SQRT(AW250^2+AW251^2)/SQRT(AW252^2+AW253^2),IF(BA252&lt;&gt;0,AX248,""))</f>
        <v/>
      </c>
      <c r="AY252" s="224">
        <f>IF(L252="",10^30,SQRT(BA250)*(BA252^2)*(N(AN250)+N(AN252)+N(AO250)+N(AV250))/(100000*L252*M250))</f>
        <v>1E+30</v>
      </c>
      <c r="AZ252" s="225"/>
      <c r="BA252" s="220">
        <f>IF(AND(J250="",SUM(S250:S253)&lt;&gt;0),BA248,J250)</f>
        <v>0</v>
      </c>
      <c r="BB252" s="221">
        <f t="shared" si="5"/>
        <v>0</v>
      </c>
      <c r="BC252" s="232"/>
      <c r="BD252" s="232"/>
    </row>
    <row r="253" spans="1:56" ht="15" customHeight="1">
      <c r="A253" s="85"/>
      <c r="B253" s="85"/>
      <c r="C253" s="271"/>
      <c r="D253" s="417"/>
      <c r="E253" s="418"/>
      <c r="F253" s="419"/>
      <c r="G253" s="270"/>
      <c r="H253" s="270"/>
      <c r="I253" s="270"/>
      <c r="J253" s="270"/>
      <c r="K253" s="268"/>
      <c r="L253" s="251" t="str">
        <f>IF(M250="","",L252*1000*M250/(SQRT(BA250)*BA252))</f>
        <v/>
      </c>
      <c r="M253" s="252"/>
      <c r="N253" s="277"/>
      <c r="O253" s="205"/>
      <c r="P253" s="106"/>
      <c r="Q253" s="206"/>
      <c r="R253" s="107"/>
      <c r="S253" s="108" t="str">
        <f>IF(R253="","",IF(Q253="",P253/R253,P253/(Q253*R253)))</f>
        <v/>
      </c>
      <c r="T253" s="207"/>
      <c r="U253" s="208" t="str">
        <f>IF(OR(BA252="",S253=""),"",S253*1000*T253/(SQRT(BA250)*BA252))</f>
        <v/>
      </c>
      <c r="V253" s="109" t="str">
        <f>IF(AND(N(U250)=0,N(U251)=0,N(U252)=0,N(U253)=0),"",IF(V250&gt;=0,SQRT(ABS(V250^2-V252^2)),-SQRT(V250^2-V252^2)))</f>
        <v/>
      </c>
      <c r="W253" s="277"/>
      <c r="X253" s="278" t="str">
        <f>IF(Y252="","",AQ250*Z252*AR250*((1+0.00393*(F253-20))/1.2751)/Y252)</f>
        <v/>
      </c>
      <c r="Y253" s="270"/>
      <c r="Z253" s="267" t="str">
        <f>IF(Y252="","",(BA253/50)*AQ250*Z252*AR251/Y252)</f>
        <v/>
      </c>
      <c r="AA253" s="252"/>
      <c r="AB253" s="279" t="str">
        <f>IF(AC252="","",AQ250*AD252*AR252*((1+0.00393*(F253-20))/1.2751)/AC252)</f>
        <v/>
      </c>
      <c r="AC253" s="270"/>
      <c r="AD253" s="267" t="str">
        <f>IF(AC252="","",(BA253/50)*AQ250*AD252*AR253/AC252)</f>
        <v/>
      </c>
      <c r="AE253" s="268"/>
      <c r="AF253" s="237" t="str">
        <f>IF(AND(AX250&lt;&gt;"",D250=""),AX250,"")</f>
        <v/>
      </c>
      <c r="AG253" s="269" t="str">
        <f>IF(AP252="","",AP252)</f>
        <v/>
      </c>
      <c r="AH253" s="270"/>
      <c r="AI253" s="238" t="str">
        <f>IF(AP253="","",AP253)</f>
        <v/>
      </c>
      <c r="AJ253" s="263"/>
      <c r="AK253" s="253"/>
      <c r="AL253" s="189"/>
      <c r="AM253" s="28"/>
      <c r="AN253" s="226" t="b">
        <f>IF(BA250="","",IF(AND(BA250=3,F252=50,L250="oil cooled type"),VLOOKUP(L252,変３,3,FALSE),IF(AND(BA250=3,F252=50,L250="(F)molded type"),VLOOKUP(L252,変３,8,FALSE),IF(AND(BA250=3,F252=60,L250="oil cooled type"),VLOOKUP(L252,変３,13,FALSE),IF(AND(BA250=3,F252=60,L250="(F)molded type"),VLOOKUP(L252,変３,18,FALSE),FALSE)))))</f>
        <v>0</v>
      </c>
      <c r="AO253" s="226" t="str">
        <f>IF(AND(L246="",N(AY251)&lt;10^29),AY251,"")</f>
        <v/>
      </c>
      <c r="AP253" s="227" t="str">
        <f>IF(V250="","",IF(AND(N(V253)=0,N(AP251)=0),0,(AQ253-AP251*(AQ252^2+AQ253^2))/((AQ252*AP251)^2+(AP251*AQ253-1)^2)))</f>
        <v/>
      </c>
      <c r="AQ253" s="228">
        <f>IF(N(V253)=0,10^30,V253)</f>
        <v>1E+30</v>
      </c>
      <c r="AR253" s="226" t="str">
        <f>IF(AB250="","",IF(AB250="600V IV",VLOOKUP(AB252,ＩＶ,3,FALSE),IF(AB250="600V CV-T",VLOOKUP(AB252,ＣＶＴ,3,FALSE),IF(OR(AB250="600V CV-1C",AB250="600V CV-2C",AB250="600V CV-3C",AB250="600V CV-4C"),VLOOKUP(AB252,ＣＶ２３Ｃ,3,FALSE),VLOOKUP(AB252,ＣＵＳＥＲ,3,FALSE)))))</f>
        <v/>
      </c>
      <c r="AS253" s="228" t="str">
        <f>IF(OR(AND(AS510="",AS511=""),AND(D250="",D510&lt;&gt;"")),AS251,(AS251*(AT510^2+AT511^2)+AT511*(AS250^2+AS251^2))/((AS250+AT510)^2+(AS251+AT511)^2))</f>
        <v/>
      </c>
      <c r="AT253" s="229" t="str">
        <f>IF(Z253="",AS253,N(AS253)+(Z253/1000))</f>
        <v/>
      </c>
      <c r="AU253" s="229" t="str">
        <f>IF(AU251="","",(AT253*(AU250^2+AU251^2)+AU251*(AT252^2+AT253^2))/((AT252+AU250)^2+(AT253+AU251)^2))</f>
        <v/>
      </c>
      <c r="AV253" s="229">
        <f>AV249+AV252</f>
        <v>59</v>
      </c>
      <c r="AW253" s="228" t="str">
        <f>IF(AO253="","",AW251+AO253)</f>
        <v/>
      </c>
      <c r="AX253" s="230"/>
      <c r="AY253" s="224">
        <f>IF(L252="",10^30,SQRT(BA250)*(BA252^2)*(N(AN251)+N(AN253)+N(AO251)+N(AV251))/(100000*L252*M250))</f>
        <v>1E+30</v>
      </c>
      <c r="AZ253" s="225"/>
      <c r="BA253" s="220">
        <f>IF(AND(F252="",SUM(S250:S253)&lt;&gt;0),BA249,F252)</f>
        <v>0</v>
      </c>
      <c r="BB253" s="221">
        <f t="shared" si="5"/>
        <v>0</v>
      </c>
      <c r="BC253" s="232"/>
      <c r="BD253" s="232"/>
    </row>
    <row r="254" spans="1:56" ht="15" customHeight="1">
      <c r="B254" s="85"/>
      <c r="C254" s="271" t="str">
        <f>IF(BC254=1,"●","・")</f>
        <v>・</v>
      </c>
      <c r="D254" s="402"/>
      <c r="E254" s="403"/>
      <c r="F254" s="404"/>
      <c r="G254" s="265" t="str">
        <f>IF(F254="","","φ")</f>
        <v/>
      </c>
      <c r="H254" s="405"/>
      <c r="I254" s="265" t="str">
        <f>IF(H254="","","W")</f>
        <v/>
      </c>
      <c r="J254" s="405"/>
      <c r="K254" s="272" t="str">
        <f>IF(J254="","","V")</f>
        <v/>
      </c>
      <c r="L254" s="406"/>
      <c r="M254" s="407"/>
      <c r="N254" s="408"/>
      <c r="O254" s="193"/>
      <c r="P254" s="86"/>
      <c r="Q254" s="194"/>
      <c r="R254" s="87"/>
      <c r="S254" s="88" t="str">
        <f>IF(R254="","",IF(Q254="",P254/R254,P254/(Q254*R254)))</f>
        <v/>
      </c>
      <c r="T254" s="195"/>
      <c r="U254" s="196" t="str">
        <f>IF(OR(BA256="",S254=""),"",S254*1000*T254/(SQRT(BA254)*BA256))</f>
        <v/>
      </c>
      <c r="V254" s="254" t="str">
        <f>IF(AND(N(U254)=0,N(U255)=0,N(U256)=0,N(U257)=0),"",BA256/(SUM(U254:U257)))</f>
        <v/>
      </c>
      <c r="W254" s="280"/>
      <c r="X254" s="281"/>
      <c r="Y254" s="242"/>
      <c r="Z254" s="243"/>
      <c r="AA254" s="239"/>
      <c r="AB254" s="241"/>
      <c r="AC254" s="242"/>
      <c r="AD254" s="243"/>
      <c r="AE254" s="247"/>
      <c r="AF254" s="233" t="str">
        <f>IF(OR(AND(AF250="",N(BA252)=0,BA256&lt;&gt;0),D254&lt;&gt;""),AX256/AQ255,"")</f>
        <v/>
      </c>
      <c r="AG254" s="249" t="str">
        <f>IF(BA256=0,"",IF(AD256="",AX254,IF(AND(D254&lt;&gt;"",AU254=""),AX256*SQRT(AP256^2+AP257^2)/SQRT(AS254^2+AS255^2)/AQ255,AX254*SQRT(AP256^2+AP257^2)/SQRT(AS254^2+AS255^2))))</f>
        <v/>
      </c>
      <c r="AH254" s="250"/>
      <c r="AI254" s="234" t="str">
        <f>IF(AG254="","",IF(N(U254)&lt;0,-AX254*AQ255/SQRT(AS254^2+AS255^2),AX254*AQ255/SQRT(AS254^2+AS255^2)))</f>
        <v/>
      </c>
      <c r="AJ254" s="256"/>
      <c r="AK254" s="257"/>
      <c r="AL254" s="186"/>
      <c r="AM254" s="28"/>
      <c r="AN254" s="213" t="b">
        <f>IF(BA254="","",IF(AND(BA254=1,F256=50,L254="oil cooled type"),VLOOKUP(L256,変１,2,FALSE),IF(AND(BA254=1,F256=50,L254="(F)molded type"),VLOOKUP(L256,変１,7,FALSE),IF(AND(BA254=1,F256=60,L254="oil cooled type"),VLOOKUP(L256,変１,12,FALSE),IF(AND(BA254=1,F256=60,L254="(F)molded type"),VLOOKUP(L256,変１,17,FALSE),FALSE)))))</f>
        <v>0</v>
      </c>
      <c r="AO254" s="213">
        <f>IF(ISNA(VLOOKUP(L256,変ＵＳＥＲ,2,FALSE)),0,VLOOKUP(L256,変ＵＳＥＲ,2,FALSE))</f>
        <v>0</v>
      </c>
      <c r="AP254" s="214">
        <f>IF(N254="",0,N254*1000/BA256^2/SQRT(BA254))</f>
        <v>0</v>
      </c>
      <c r="AQ254" s="213" t="b">
        <f>IF(BA254=1,2,IF(BA254=3,SQRT(3),FALSE))</f>
        <v>0</v>
      </c>
      <c r="AR254" s="215" t="str">
        <f>IF(X254="","",IF(X254="600V IV",VLOOKUP(X256,ＩＶ,2,FALSE),IF(X254="600V CV-T",VLOOKUP(X256,ＣＶＴ,2,FALSE),IF(OR(X254="600V CV-1C",X254="600V CV-2C",X254="600V CV-3C",X254="600V CV-4C"),VLOOKUP(X256,ＣＶ２３Ｃ,2,FALSE),VLOOKUP(X256,ＣＵＳＥＲ,2,FALSE)))))</f>
        <v/>
      </c>
      <c r="AS254" s="213" t="str">
        <f>IF(AB257="",AP256,AP256+(AB257/1000))</f>
        <v/>
      </c>
      <c r="AT254" s="216" t="str">
        <f>IF(AU256="",AT256,AU256)</f>
        <v/>
      </c>
      <c r="AU254" s="216" t="str">
        <f>IF(D254="","",IF(AND(D514="",#REF!&lt;&gt;"",AV257=#REF!),#REF!,IF(AND(D514="",#REF!="",#REF!&lt;&gt;"",AV517=#REF!),#REF!,IF(AND(D514="",#REF!="",#REF!="",#REF!&lt;&gt;"",#REF!=#REF!),#REF!,IF(AND(D514="",#REF!="",#REF!="",#REF!="",D518&lt;&gt;"",#REF!=#REF!),AT518,IF(AND(D514="",#REF!="",#REF!="",#REF!="",D518="",#REF!&lt;&gt;"",#REF!=AV522),#REF!,IF(AND(D514="",#REF!="",#REF!="",#REF!="",D518="",#REF!="",D523&lt;&gt;"",#REF!=AV526),AT523,"")))))))</f>
        <v/>
      </c>
      <c r="AV254" s="216" t="str">
        <f>IF(L254="ACG",IF(ISNA(VLOOKUP(L256,ＡＣＧ,2,FALSE)),0,VLOOKUP(L256,ＡＣＧ,2,FALSE)),"")</f>
        <v/>
      </c>
      <c r="AW254" s="217" t="str">
        <f>IF(AT254="","",AT254/((AT254*AP254)^2+(AT255*AP254-1)^2))</f>
        <v/>
      </c>
      <c r="AX254" s="218" t="str">
        <f>IF(BA256=0,"",IF(OR(AX250="",AF254&lt;&gt;""),AF254*SQRT(AS256^2+AS257^2)/SQRT(AT256^2+AT257^2),AX250*SQRT(AS256^2+AS257^2)/SQRT(AT256^2+AT257^2)))</f>
        <v/>
      </c>
      <c r="AY254" s="219">
        <f>IF(N(AY256)=10^30,10^30,IF(N(AY516)=10^30,(N(AY256)*(N(AY516)^2+N(AY517)^2)+N(AY516)*(N(AY256)^2+N(AY257)^2))/((N(AY256)+N(AY516))^2+(N(AY257)+N(AY517))^2),(N(AY256)*(N(AY514)^2+N(AY515)^2)+N(AY514)*(N(AY256)^2+N(AY257)^2))/((N(AY256)+N(AY514))^2+(N(AY257)+N(AY515))^2)))</f>
        <v>1E+30</v>
      </c>
      <c r="AZ254" s="23"/>
      <c r="BA254" s="220">
        <f>IF(AND(F254="",SUM(S254:S257)&lt;&gt;0),BA250,F254)</f>
        <v>0</v>
      </c>
      <c r="BB254" s="221">
        <f t="shared" si="5"/>
        <v>0</v>
      </c>
      <c r="BC254" s="232">
        <f>IF(OR(E254="",F257="",AND(OR(P254="",Q254="",R254="",T254=""),OR(P255="",Q255="",R255="",T255=""),OR(P256="",Q256="",R256="",T256=""),OR(P257="",Q257="",R257="",T257="")),AND(OR(X254="",X256="",Y256="",Z256=""),OR(AB254="",AB256="",AC256="",AD256=""))),0,1)</f>
        <v>0</v>
      </c>
      <c r="BD254" s="232">
        <f>BC254+BD250</f>
        <v>0</v>
      </c>
    </row>
    <row r="255" spans="1:56" ht="15" customHeight="1">
      <c r="B255" s="85"/>
      <c r="C255" s="271"/>
      <c r="D255" s="409"/>
      <c r="E255" s="362"/>
      <c r="F255" s="410"/>
      <c r="G255" s="266"/>
      <c r="H255" s="266"/>
      <c r="I255" s="266"/>
      <c r="J255" s="266"/>
      <c r="K255" s="273"/>
      <c r="L255" s="411"/>
      <c r="M255" s="197" t="str">
        <f>IF(L254="ACG",SQRT(AV254^2+AV255^2),IF(L256="","",IF(OR(L254="oil cooled type",L254="(F)molded type"),IF(BA254=1,SQRT(AN254^2+AN255^2),IF(BA254=3,SQRT(AN256^2+AN257^2))),SQRT(AO254^2+AO255^2))))</f>
        <v/>
      </c>
      <c r="N255" s="412"/>
      <c r="O255" s="198"/>
      <c r="P255" s="90"/>
      <c r="Q255" s="199"/>
      <c r="R255" s="91"/>
      <c r="S255" s="92" t="str">
        <f>IF(R256="","",IF(Q256="",P256/R256,P256/(Q256*R256)))</f>
        <v/>
      </c>
      <c r="T255" s="200"/>
      <c r="U255" s="201" t="str">
        <f>IF(OR(BA256="",S255=""),"",S255*1000*T255/(SQRT(BA254)*BA256))</f>
        <v/>
      </c>
      <c r="V255" s="255"/>
      <c r="W255" s="248"/>
      <c r="X255" s="258"/>
      <c r="Y255" s="245"/>
      <c r="Z255" s="246"/>
      <c r="AA255" s="240"/>
      <c r="AB255" s="244"/>
      <c r="AC255" s="245"/>
      <c r="AD255" s="246"/>
      <c r="AE255" s="248"/>
      <c r="AF255" s="235" t="str">
        <f>IF(OR(AF254="",AG250&lt;&gt;""),"",AF254*AQ255/SQRT(AT254^2+AT255^2))</f>
        <v/>
      </c>
      <c r="AG255" s="274" t="str">
        <f>IF(AG254="","",100*AG254*AQ255/BA256)</f>
        <v/>
      </c>
      <c r="AH255" s="275"/>
      <c r="AI255" s="260" t="str">
        <f>IF(BA256=0,"",IF(AI250="",AX256/SQRT(AT254^2+AT255^2),IF(AI258="","",IF(AT254&lt;0,-AX254*AQ251/SQRT(AT254^2+AT255^2),AX254*AQ251/SQRT(AT254^2+AT255^2)))))</f>
        <v/>
      </c>
      <c r="AJ255" s="258"/>
      <c r="AK255" s="259"/>
      <c r="AL255" s="187"/>
      <c r="AM255" s="28"/>
      <c r="AN255" s="213" t="b">
        <f>IF(BA254="","",IF(AND(BA254=1,F256=50,L254="oil cooled type"),VLOOKUP(L256,変１,3,FALSE),IF(AND(BA254=1,F256=50,L254="(F)molded type"),VLOOKUP(L256,変１,8,FALSE),IF(AND(BA254=1,F256=60,L254="oil cooled type"),VLOOKUP(L256,変１,13,FALSE),IF(AND(BA254=1,F256=60,L254="(F)molded type"),VLOOKUP(L256,変１,18,FALSE),FALSE)))))</f>
        <v>0</v>
      </c>
      <c r="AO255" s="213">
        <f>IF(ISNA(VLOOKUP(L256,変ＵＳＥＲ,3,FALSE)),0,VLOOKUP(L256,変ＵＳＥＲ,3,FALSE)*BA257/50)</f>
        <v>0</v>
      </c>
      <c r="AP255" s="214">
        <f>IF(W254="",0,W254*1000/BA256^2/SQRT(BA254))</f>
        <v>0</v>
      </c>
      <c r="AQ255" s="213">
        <f>IF(AND(BA254=1,BA255=2),1,IF(AND(BA254=3,BA255=3),1,IF(AND(BA254=1,BA255=3),2,IF(AND(BA254=3,BA255=4)*OR(BB254=1,BB255=1,BB256=1,BB257=1),1,SQRT(3)))))</f>
        <v>1.7320508075688772</v>
      </c>
      <c r="AR255" s="215" t="str">
        <f>IF(X254="","",IF(X254="600V IV",VLOOKUP(X256,ＩＶ,3,FALSE),IF(X254="600V CV-T",VLOOKUP(X256,ＣＶＴ,3,FALSE),IF(OR(X254="600V CV-1C",X254="600V CV-2C",X254="600V CV-3C",X254="600V CV-4C"),VLOOKUP(X256,ＣＶ２３Ｃ,3,FALSE),VLOOKUP(X256,ＣＵＳＥＲ,3,FALSE)))))</f>
        <v/>
      </c>
      <c r="AS255" s="213" t="str">
        <f>IF(AD257="",AP257,AP257+(AD257/1000))</f>
        <v/>
      </c>
      <c r="AT255" s="216" t="str">
        <f>IF(AU257="",AT257,AU257)</f>
        <v/>
      </c>
      <c r="AU255" s="216" t="str">
        <f>IF(D254="","",IF(AND(D514="",#REF!&lt;&gt;"",AV257=#REF!),#REF!,IF(AND(D514="",#REF!="",#REF!&lt;&gt;"",AV517=#REF!),#REF!,IF(AND(D514="",#REF!="",#REF!="",#REF!&lt;&gt;"",#REF!=#REF!),#REF!,IF(AND(D514="",#REF!="",#REF!="",#REF!="",D518&lt;&gt;"",#REF!=#REF!),AT519,IF(AND(D514="",#REF!="",#REF!="",#REF!="",D518="",#REF!&lt;&gt;"",#REF!=AV522),AT520,IF(AND(D514="",#REF!="",#REF!="",#REF!="",D518="",#REF!="",D523&lt;&gt;"",#REF!=AV526),AT524,"")))))))</f>
        <v/>
      </c>
      <c r="AV255" s="215" t="str">
        <f>IF(L254="ACG",IF(ISNA(VLOOKUP(L256,ＡＣＧ,3,FALSE)),0,VLOOKUP(L256,ＡＣＧ,3,FALSE)*BA257/50),"")</f>
        <v/>
      </c>
      <c r="AW255" s="217" t="str">
        <f>IF(AT255="","",(AT255-AP254*(AT254^2+AT255^2))/((AT254*AP254)^2+(AP254*AT255-1)^2))</f>
        <v/>
      </c>
      <c r="AX255" s="218"/>
      <c r="AY255" s="219">
        <f>IF(N(AY257)=10^30,10^30,IF(N(AY517)=10^30,(N(AY257)*(N(AY516)^2+N(AY517)^2)+N(AY517)*(N(AY256)^2+N(AY257)^2))/((N(AY256)+N(AY516))^2+(N(AY257)+N(AY517))^2),(N(AY257)*(N(AY514)^2+N(AY515)^2)+N(AY515)*(N(AY256)^2+N(AY257)^2))/((N(AY256)+N(AY514))^2+(N(AY257)+N(AY515))^2)))</f>
        <v>1E+30</v>
      </c>
      <c r="AZ255" s="23"/>
      <c r="BA255" s="220">
        <f>IF(AND(H254="",SUM(S254:S257)&lt;&gt;0),BA251,H254)</f>
        <v>0</v>
      </c>
      <c r="BB255" s="221">
        <f t="shared" si="5"/>
        <v>0</v>
      </c>
      <c r="BC255" s="232"/>
      <c r="BD255" s="232"/>
    </row>
    <row r="256" spans="1:56" ht="15" customHeight="1">
      <c r="B256" s="85"/>
      <c r="C256" s="271"/>
      <c r="D256" s="409"/>
      <c r="E256" s="362"/>
      <c r="F256" s="413"/>
      <c r="G256" s="414"/>
      <c r="H256" s="414"/>
      <c r="I256" s="414"/>
      <c r="J256" s="414"/>
      <c r="K256" s="415"/>
      <c r="L256" s="416"/>
      <c r="M256" s="275"/>
      <c r="N256" s="412"/>
      <c r="O256" s="198"/>
      <c r="P256" s="93"/>
      <c r="Q256" s="202"/>
      <c r="R256" s="91"/>
      <c r="S256" s="92" t="str">
        <f>IF(R257="","",IF(Q257="",P257/R257,P257/(Q257*R257)))</f>
        <v/>
      </c>
      <c r="T256" s="200"/>
      <c r="U256" s="203" t="str">
        <f>IF(OR(BA256="",S256=""),"",S256*1000*T256/(SQRT(BA254)*BA256))</f>
        <v/>
      </c>
      <c r="V256" s="94" t="str">
        <f>IF(AND(N(U254)=0,N(U255)=0,N(U256)=0,N(U257)=0),"",V254*(P254*R254*T254+P255*R255*T255+P256*R256*T256+P257*R257*T257)/(P254*T254+P255*T255+P256*T256+P257*T257))</f>
        <v/>
      </c>
      <c r="W256" s="276" t="str">
        <f>IF(AND(N(AP256)=0,N(AP257)=0,N(AP255)=0),"",IF(AP257&gt;=0,COS(ATAN(AP257/AP256)),-COS(ATAN(AP257/AP256))))</f>
        <v/>
      </c>
      <c r="X256" s="95"/>
      <c r="Y256" s="204"/>
      <c r="Z256" s="96"/>
      <c r="AA256" s="97"/>
      <c r="AB256" s="98"/>
      <c r="AC256" s="204"/>
      <c r="AD256" s="96"/>
      <c r="AE256" s="99"/>
      <c r="AF256" s="236" t="str">
        <f>IF(OR(AF254="",AG250&lt;&gt;""),"",BA256/SQRT(AW256^2+AW257^2))</f>
        <v/>
      </c>
      <c r="AG256" s="274" t="str">
        <f>IF(AG254="","",100*((BA256/AQ255)-AG254)/(BA256/AQ255))</f>
        <v/>
      </c>
      <c r="AH256" s="275"/>
      <c r="AI256" s="261"/>
      <c r="AJ256" s="262"/>
      <c r="AK256" s="264"/>
      <c r="AL256" s="188"/>
      <c r="AM256" s="28"/>
      <c r="AN256" s="222" t="b">
        <f>IF(BA254="","",IF(AND(BA254=3,F256=50,L254="oil cooled type"),VLOOKUP(L256,変３,2,FALSE),IF(AND(BA254=3,F256=50,L254="(F)molded type"),VLOOKUP(L256,変３,7,FALSE),IF(AND(BA254=3,F256=60,L254="oil cooled type"),VLOOKUP(L256,変３,12,FALSE),IF(AND(BA254=3,F256=60,L254="(F)molded type"),VLOOKUP(L256,変３,17,FALSE),FALSE)))))</f>
        <v>0</v>
      </c>
      <c r="AO256" s="215" t="str">
        <f>IF(AND(L250="",N(AY254)&lt;10^29),AY254,"")</f>
        <v/>
      </c>
      <c r="AP256" s="223" t="str">
        <f>IF(V254="","",IF(AND(N(V256)=0,N(AP255)=0),"",AQ256/((AQ256*AP255)^2+(AP255*AQ257-1)^2)))</f>
        <v/>
      </c>
      <c r="AQ256" s="213">
        <f>IF(N(V256)=0,10^30,V256)</f>
        <v>1E+30</v>
      </c>
      <c r="AR256" s="215" t="str">
        <f>IF(AB254="","",IF(AB254="600V IV",VLOOKUP(AB256,ＩＶ,2,FALSE),IF(AB254="600V CV-T",VLOOKUP(AB256,ＣＶＴ,2,FALSE),IF(OR(AB254="600V CV-1C",AB254="600V CV-2C",AB254="600V CV-3C",AB254="600V CV-4C"),VLOOKUP(AB256,ＣＶ２３Ｃ,2,FALSE),VLOOKUP(AB256,ＣＵＳＥＲ,2,FALSE)))))</f>
        <v/>
      </c>
      <c r="AS256" s="213" t="str">
        <f>IF(OR(AND(AS514="",AS515=""),AND(D254="",D514&lt;&gt;"")),AS254,(AS254*(AT514^2+AT515^2)+AT514*(AS254^2+AS255^2))/((AS254+AT514)^2+(AS255+AT515)^2))</f>
        <v/>
      </c>
      <c r="AT256" s="216" t="str">
        <f>IF(X257="",AS256,N(AS256)+(X257/1000))</f>
        <v/>
      </c>
      <c r="AU256" s="216" t="str">
        <f>IF(AU254="","",(AT256*(AU254^2+AU255^2)+AU254*(AT256^2+AT257^2))/((AT256+AU254)^2+(AT257+AU255)^2))</f>
        <v/>
      </c>
      <c r="AV256" s="216">
        <f>IF(BA256=0,1,0)</f>
        <v>1</v>
      </c>
      <c r="AW256" s="217" t="str">
        <f>IF(AO256="","",AW254+AO256)</f>
        <v/>
      </c>
      <c r="AX256" s="218" t="str">
        <f>IF(AND(AX252="",AW256&lt;&gt;""),BA256*SQRT(AW254^2+AW255^2)/SQRT(AW256^2+AW257^2),IF(BA256&lt;&gt;0,AX252,""))</f>
        <v/>
      </c>
      <c r="AY256" s="224">
        <f>IF(L256="",10^30,SQRT(BA254)*(BA256^2)*(N(AN254)+N(AN256)+N(AO254)+N(AV254))/(100000*L256*M254))</f>
        <v>1E+30</v>
      </c>
      <c r="AZ256" s="225"/>
      <c r="BA256" s="220">
        <f>IF(AND(J254="",SUM(S254:S257)&lt;&gt;0),BA252,J254)</f>
        <v>0</v>
      </c>
      <c r="BB256" s="221">
        <f t="shared" si="5"/>
        <v>0</v>
      </c>
      <c r="BC256" s="232"/>
      <c r="BD256" s="232"/>
    </row>
    <row r="257" spans="1:56" ht="15" customHeight="1">
      <c r="A257" s="85"/>
      <c r="B257" s="85"/>
      <c r="C257" s="271"/>
      <c r="D257" s="417"/>
      <c r="E257" s="418"/>
      <c r="F257" s="419"/>
      <c r="G257" s="270"/>
      <c r="H257" s="270"/>
      <c r="I257" s="270"/>
      <c r="J257" s="270"/>
      <c r="K257" s="268"/>
      <c r="L257" s="251" t="str">
        <f>IF(M254="","",L256*1000*M254/(SQRT(BA254)*BA256))</f>
        <v/>
      </c>
      <c r="M257" s="252"/>
      <c r="N257" s="277"/>
      <c r="O257" s="205"/>
      <c r="P257" s="106"/>
      <c r="Q257" s="206"/>
      <c r="R257" s="107"/>
      <c r="S257" s="108" t="str">
        <f>IF(R257="","",IF(Q257="",P257/R257,P257/(Q257*R257)))</f>
        <v/>
      </c>
      <c r="T257" s="207"/>
      <c r="U257" s="208" t="str">
        <f>IF(OR(BA256="",S257=""),"",S257*1000*T257/(SQRT(BA254)*BA256))</f>
        <v/>
      </c>
      <c r="V257" s="109" t="str">
        <f>IF(AND(N(U254)=0,N(U255)=0,N(U256)=0,N(U257)=0),"",IF(V254&gt;=0,SQRT(ABS(V254^2-V256^2)),-SQRT(V254^2-V256^2)))</f>
        <v/>
      </c>
      <c r="W257" s="277"/>
      <c r="X257" s="278" t="str">
        <f>IF(Y256="","",AQ254*Z256*AR254*((1+0.00393*(F257-20))/1.2751)/Y256)</f>
        <v/>
      </c>
      <c r="Y257" s="270"/>
      <c r="Z257" s="267" t="str">
        <f>IF(Y256="","",(BA257/50)*AQ254*Z256*AR255/Y256)</f>
        <v/>
      </c>
      <c r="AA257" s="252"/>
      <c r="AB257" s="279" t="str">
        <f>IF(AC256="","",AQ254*AD256*AR256*((1+0.00393*(F257-20))/1.2751)/AC256)</f>
        <v/>
      </c>
      <c r="AC257" s="270"/>
      <c r="AD257" s="267" t="str">
        <f>IF(AC256="","",(BA257/50)*AQ254*AD256*AR257/AC256)</f>
        <v/>
      </c>
      <c r="AE257" s="268"/>
      <c r="AF257" s="237" t="str">
        <f>IF(AND(AX254&lt;&gt;"",D254=""),AX254,"")</f>
        <v/>
      </c>
      <c r="AG257" s="269" t="str">
        <f>IF(AP256="","",AP256)</f>
        <v/>
      </c>
      <c r="AH257" s="270"/>
      <c r="AI257" s="238" t="str">
        <f>IF(AP257="","",AP257)</f>
        <v/>
      </c>
      <c r="AJ257" s="263"/>
      <c r="AK257" s="253"/>
      <c r="AL257" s="189"/>
      <c r="AM257" s="28"/>
      <c r="AN257" s="226" t="b">
        <f>IF(BA254="","",IF(AND(BA254=3,F256=50,L254="oil cooled type"),VLOOKUP(L256,変３,3,FALSE),IF(AND(BA254=3,F256=50,L254="(F)molded type"),VLOOKUP(L256,変３,8,FALSE),IF(AND(BA254=3,F256=60,L254="oil cooled type"),VLOOKUP(L256,変３,13,FALSE),IF(AND(BA254=3,F256=60,L254="(F)molded type"),VLOOKUP(L256,変３,18,FALSE),FALSE)))))</f>
        <v>0</v>
      </c>
      <c r="AO257" s="226" t="str">
        <f>IF(AND(L250="",N(AY255)&lt;10^29),AY255,"")</f>
        <v/>
      </c>
      <c r="AP257" s="227" t="str">
        <f>IF(V254="","",IF(AND(N(V257)=0,N(AP255)=0),0,(AQ257-AP255*(AQ256^2+AQ257^2))/((AQ256*AP255)^2+(AP255*AQ257-1)^2)))</f>
        <v/>
      </c>
      <c r="AQ257" s="228">
        <f>IF(N(V257)=0,10^30,V257)</f>
        <v>1E+30</v>
      </c>
      <c r="AR257" s="226" t="str">
        <f>IF(AB254="","",IF(AB254="600V IV",VLOOKUP(AB256,ＩＶ,3,FALSE),IF(AB254="600V CV-T",VLOOKUP(AB256,ＣＶＴ,3,FALSE),IF(OR(AB254="600V CV-1C",AB254="600V CV-2C",AB254="600V CV-3C",AB254="600V CV-4C"),VLOOKUP(AB256,ＣＶ２３Ｃ,3,FALSE),VLOOKUP(AB256,ＣＵＳＥＲ,3,FALSE)))))</f>
        <v/>
      </c>
      <c r="AS257" s="228" t="str">
        <f>IF(OR(AND(AS514="",AS515=""),AND(D254="",D514&lt;&gt;"")),AS255,(AS255*(AT514^2+AT515^2)+AT515*(AS254^2+AS255^2))/((AS254+AT514)^2+(AS255+AT515)^2))</f>
        <v/>
      </c>
      <c r="AT257" s="229" t="str">
        <f>IF(Z257="",AS257,N(AS257)+(Z257/1000))</f>
        <v/>
      </c>
      <c r="AU257" s="229" t="str">
        <f>IF(AU255="","",(AT257*(AU254^2+AU255^2)+AU255*(AT256^2+AT257^2))/((AT256+AU254)^2+(AT257+AU255)^2))</f>
        <v/>
      </c>
      <c r="AV257" s="229">
        <f>AV253+AV256</f>
        <v>60</v>
      </c>
      <c r="AW257" s="228" t="str">
        <f>IF(AO257="","",AW255+AO257)</f>
        <v/>
      </c>
      <c r="AX257" s="230"/>
      <c r="AY257" s="224">
        <f>IF(L256="",10^30,SQRT(BA254)*(BA256^2)*(N(AN255)+N(AN257)+N(AO255)+N(AV255))/(100000*L256*M254))</f>
        <v>1E+30</v>
      </c>
      <c r="AZ257" s="225"/>
      <c r="BA257" s="220">
        <f>IF(AND(F256="",SUM(S254:S257)&lt;&gt;0),BA253,F256)</f>
        <v>0</v>
      </c>
      <c r="BB257" s="221">
        <f t="shared" si="5"/>
        <v>0</v>
      </c>
      <c r="BC257" s="232"/>
      <c r="BD257" s="232"/>
    </row>
    <row r="258" spans="1:56" ht="15" customHeight="1">
      <c r="B258" s="85"/>
      <c r="C258" s="271" t="str">
        <f>IF(BC258=1,"●","・")</f>
        <v>・</v>
      </c>
      <c r="D258" s="402"/>
      <c r="E258" s="403"/>
      <c r="F258" s="404"/>
      <c r="G258" s="265" t="str">
        <f>IF(F258="","","φ")</f>
        <v/>
      </c>
      <c r="H258" s="405"/>
      <c r="I258" s="265" t="str">
        <f>IF(H258="","","W")</f>
        <v/>
      </c>
      <c r="J258" s="405"/>
      <c r="K258" s="272" t="str">
        <f>IF(J258="","","V")</f>
        <v/>
      </c>
      <c r="L258" s="406"/>
      <c r="M258" s="407"/>
      <c r="N258" s="408"/>
      <c r="O258" s="193"/>
      <c r="P258" s="86"/>
      <c r="Q258" s="194"/>
      <c r="R258" s="87"/>
      <c r="S258" s="88" t="str">
        <f>IF(R258="","",IF(Q258="",P258/R258,P258/(Q258*R258)))</f>
        <v/>
      </c>
      <c r="T258" s="195"/>
      <c r="U258" s="196" t="str">
        <f>IF(OR(BA260="",S258=""),"",S258*1000*T258/(SQRT(BA258)*BA260))</f>
        <v/>
      </c>
      <c r="V258" s="254" t="str">
        <f>IF(AND(N(U258)=0,N(U259)=0,N(U260)=0,N(U261)=0),"",BA260/(SUM(U258:U261)))</f>
        <v/>
      </c>
      <c r="W258" s="280"/>
      <c r="X258" s="281"/>
      <c r="Y258" s="242"/>
      <c r="Z258" s="243"/>
      <c r="AA258" s="239"/>
      <c r="AB258" s="241"/>
      <c r="AC258" s="242"/>
      <c r="AD258" s="243"/>
      <c r="AE258" s="247"/>
      <c r="AF258" s="233" t="str">
        <f>IF(OR(AND(AF254="",N(BA256)=0,BA260&lt;&gt;0),D258&lt;&gt;""),AX260/AQ259,"")</f>
        <v/>
      </c>
      <c r="AG258" s="249" t="str">
        <f>IF(BA260=0,"",IF(AD260="",AX258,IF(AND(D258&lt;&gt;"",AU258=""),AX260*SQRT(AP260^2+AP261^2)/SQRT(AS258^2+AS259^2)/AQ259,AX258*SQRT(AP260^2+AP261^2)/SQRT(AS258^2+AS259^2))))</f>
        <v/>
      </c>
      <c r="AH258" s="250"/>
      <c r="AI258" s="234" t="str">
        <f>IF(AG258="","",IF(N(U258)&lt;0,-AX258*AQ259/SQRT(AS258^2+AS259^2),AX258*AQ259/SQRT(AS258^2+AS259^2)))</f>
        <v/>
      </c>
      <c r="AJ258" s="256"/>
      <c r="AK258" s="257"/>
      <c r="AL258" s="186"/>
      <c r="AM258" s="28"/>
      <c r="AN258" s="213" t="b">
        <f>IF(BA258="","",IF(AND(BA258=1,F260=50,L258="oil cooled type"),VLOOKUP(L260,変１,2,FALSE),IF(AND(BA258=1,F260=50,L258="(F)molded type"),VLOOKUP(L260,変１,7,FALSE),IF(AND(BA258=1,F260=60,L258="oil cooled type"),VLOOKUP(L260,変１,12,FALSE),IF(AND(BA258=1,F260=60,L258="(F)molded type"),VLOOKUP(L260,変１,17,FALSE),FALSE)))))</f>
        <v>0</v>
      </c>
      <c r="AO258" s="213">
        <f>IF(ISNA(VLOOKUP(L260,変ＵＳＥＲ,2,FALSE)),0,VLOOKUP(L260,変ＵＳＥＲ,2,FALSE))</f>
        <v>0</v>
      </c>
      <c r="AP258" s="214">
        <f>IF(N258="",0,N258*1000/BA260^2/SQRT(BA258))</f>
        <v>0</v>
      </c>
      <c r="AQ258" s="213" t="b">
        <f>IF(BA258=1,2,IF(BA258=3,SQRT(3),FALSE))</f>
        <v>0</v>
      </c>
      <c r="AR258" s="215" t="str">
        <f>IF(X258="","",IF(X258="600V IV",VLOOKUP(X260,ＩＶ,2,FALSE),IF(X258="600V CV-T",VLOOKUP(X260,ＣＶＴ,2,FALSE),IF(OR(X258="600V CV-1C",X258="600V CV-2C",X258="600V CV-3C",X258="600V CV-4C"),VLOOKUP(X260,ＣＶ２３Ｃ,2,FALSE),VLOOKUP(X260,ＣＵＳＥＲ,2,FALSE)))))</f>
        <v/>
      </c>
      <c r="AS258" s="213" t="str">
        <f>IF(AB261="",AP260,AP260+(AB261/1000))</f>
        <v/>
      </c>
      <c r="AT258" s="216" t="str">
        <f>IF(AU260="",AT260,AU260)</f>
        <v/>
      </c>
      <c r="AU258" s="216" t="str">
        <f>IF(D258="","",IF(AND(D518="",#REF!&lt;&gt;"",AV261=#REF!),#REF!,IF(AND(D518="",#REF!="",#REF!&lt;&gt;"",AV521=#REF!),#REF!,IF(AND(D518="",#REF!="",#REF!="",#REF!&lt;&gt;"",#REF!=#REF!),#REF!,IF(AND(D518="",#REF!="",#REF!="",#REF!="",D522&lt;&gt;"",#REF!=#REF!),AT522,IF(AND(D518="",#REF!="",#REF!="",#REF!="",D522="",#REF!&lt;&gt;"",#REF!=AV526),#REF!,IF(AND(D518="",#REF!="",#REF!="",#REF!="",D522="",#REF!="",D527&lt;&gt;"",#REF!=AV530),AT527,"")))))))</f>
        <v/>
      </c>
      <c r="AV258" s="216" t="str">
        <f>IF(L258="ACG",IF(ISNA(VLOOKUP(L260,ＡＣＧ,2,FALSE)),0,VLOOKUP(L260,ＡＣＧ,2,FALSE)),"")</f>
        <v/>
      </c>
      <c r="AW258" s="217" t="str">
        <f>IF(AT258="","",AT258/((AT258*AP258)^2+(AT259*AP258-1)^2))</f>
        <v/>
      </c>
      <c r="AX258" s="218" t="str">
        <f>IF(BA260=0,"",IF(OR(AX254="",AF258&lt;&gt;""),AF258*SQRT(AS260^2+AS261^2)/SQRT(AT260^2+AT261^2),AX254*SQRT(AS260^2+AS261^2)/SQRT(AT260^2+AT261^2)))</f>
        <v/>
      </c>
      <c r="AY258" s="219">
        <f>IF(N(AY260)=10^30,10^30,IF(N(AY520)=10^30,(N(AY260)*(N(AY520)^2+N(AY521)^2)+N(AY520)*(N(AY260)^2+N(AY261)^2))/((N(AY260)+N(AY520))^2+(N(AY261)+N(AY521))^2),(N(AY260)*(N(AY518)^2+N(AY519)^2)+N(AY518)*(N(AY260)^2+N(AY261)^2))/((N(AY260)+N(AY518))^2+(N(AY261)+N(AY519))^2)))</f>
        <v>1E+30</v>
      </c>
      <c r="AZ258" s="23"/>
      <c r="BA258" s="220">
        <f>IF(AND(F258="",SUM(S258:S261)&lt;&gt;0),BA254,F258)</f>
        <v>0</v>
      </c>
      <c r="BB258" s="221">
        <f t="shared" si="5"/>
        <v>0</v>
      </c>
      <c r="BC258" s="232">
        <f>IF(OR(E258="",F261="",AND(OR(P258="",Q258="",R258="",T258=""),OR(P259="",Q259="",R259="",T259=""),OR(P260="",Q260="",R260="",T260=""),OR(P261="",Q261="",R261="",T261="")),AND(OR(X258="",X260="",Y260="",Z260=""),OR(AB258="",AB260="",AC260="",AD260=""))),0,1)</f>
        <v>0</v>
      </c>
      <c r="BD258" s="232">
        <f>BC258+BD254</f>
        <v>0</v>
      </c>
    </row>
    <row r="259" spans="1:56" ht="15" customHeight="1">
      <c r="B259" s="85"/>
      <c r="C259" s="271"/>
      <c r="D259" s="409"/>
      <c r="E259" s="362"/>
      <c r="F259" s="410"/>
      <c r="G259" s="266"/>
      <c r="H259" s="266"/>
      <c r="I259" s="266"/>
      <c r="J259" s="266"/>
      <c r="K259" s="273"/>
      <c r="L259" s="411"/>
      <c r="M259" s="197" t="str">
        <f>IF(L258="ACG",SQRT(AV258^2+AV259^2),IF(L260="","",IF(OR(L258="oil cooled type",L258="(F)molded type"),IF(BA258=1,SQRT(AN258^2+AN259^2),IF(BA258=3,SQRT(AN260^2+AN261^2))),SQRT(AO258^2+AO259^2))))</f>
        <v/>
      </c>
      <c r="N259" s="412"/>
      <c r="O259" s="198"/>
      <c r="P259" s="90"/>
      <c r="Q259" s="199"/>
      <c r="R259" s="91"/>
      <c r="S259" s="92" t="str">
        <f>IF(R260="","",IF(Q260="",P260/R260,P260/(Q260*R260)))</f>
        <v/>
      </c>
      <c r="T259" s="200"/>
      <c r="U259" s="201" t="str">
        <f>IF(OR(BA260="",S259=""),"",S259*1000*T259/(SQRT(BA258)*BA260))</f>
        <v/>
      </c>
      <c r="V259" s="255"/>
      <c r="W259" s="248"/>
      <c r="X259" s="258"/>
      <c r="Y259" s="245"/>
      <c r="Z259" s="246"/>
      <c r="AA259" s="240"/>
      <c r="AB259" s="244"/>
      <c r="AC259" s="245"/>
      <c r="AD259" s="246"/>
      <c r="AE259" s="248"/>
      <c r="AF259" s="235" t="str">
        <f>IF(OR(AF258="",AG254&lt;&gt;""),"",AF258*AQ259/SQRT(AT258^2+AT259^2))</f>
        <v/>
      </c>
      <c r="AG259" s="274" t="str">
        <f>IF(AG258="","",100*AG258*AQ259/BA260)</f>
        <v/>
      </c>
      <c r="AH259" s="275"/>
      <c r="AI259" s="260" t="str">
        <f>IF(BA260=0,"",IF(AI254="",AX260/SQRT(AT258^2+AT259^2),IF(AI262="","",IF(AT258&lt;0,-AX258*AQ255/SQRT(AT258^2+AT259^2),AX258*AQ255/SQRT(AT258^2+AT259^2)))))</f>
        <v/>
      </c>
      <c r="AJ259" s="258"/>
      <c r="AK259" s="259"/>
      <c r="AL259" s="187"/>
      <c r="AM259" s="28"/>
      <c r="AN259" s="213" t="b">
        <f>IF(BA258="","",IF(AND(BA258=1,F260=50,L258="oil cooled type"),VLOOKUP(L260,変１,3,FALSE),IF(AND(BA258=1,F260=50,L258="(F)molded type"),VLOOKUP(L260,変１,8,FALSE),IF(AND(BA258=1,F260=60,L258="oil cooled type"),VLOOKUP(L260,変１,13,FALSE),IF(AND(BA258=1,F260=60,L258="(F)molded type"),VLOOKUP(L260,変１,18,FALSE),FALSE)))))</f>
        <v>0</v>
      </c>
      <c r="AO259" s="213">
        <f>IF(ISNA(VLOOKUP(L260,変ＵＳＥＲ,3,FALSE)),0,VLOOKUP(L260,変ＵＳＥＲ,3,FALSE)*BA261/50)</f>
        <v>0</v>
      </c>
      <c r="AP259" s="214">
        <f>IF(W258="",0,W258*1000/BA260^2/SQRT(BA258))</f>
        <v>0</v>
      </c>
      <c r="AQ259" s="213">
        <f>IF(AND(BA258=1,BA259=2),1,IF(AND(BA258=3,BA259=3),1,IF(AND(BA258=1,BA259=3),2,IF(AND(BA258=3,BA259=4)*OR(BB258=1,BB259=1,BB260=1,BB261=1),1,SQRT(3)))))</f>
        <v>1.7320508075688772</v>
      </c>
      <c r="AR259" s="215" t="str">
        <f>IF(X258="","",IF(X258="600V IV",VLOOKUP(X260,ＩＶ,3,FALSE),IF(X258="600V CV-T",VLOOKUP(X260,ＣＶＴ,3,FALSE),IF(OR(X258="600V CV-1C",X258="600V CV-2C",X258="600V CV-3C",X258="600V CV-4C"),VLOOKUP(X260,ＣＶ２３Ｃ,3,FALSE),VLOOKUP(X260,ＣＵＳＥＲ,3,FALSE)))))</f>
        <v/>
      </c>
      <c r="AS259" s="213" t="str">
        <f>IF(AD261="",AP261,AP261+(AD261/1000))</f>
        <v/>
      </c>
      <c r="AT259" s="216" t="str">
        <f>IF(AU261="",AT261,AU261)</f>
        <v/>
      </c>
      <c r="AU259" s="216" t="str">
        <f>IF(D258="","",IF(AND(D518="",#REF!&lt;&gt;"",AV261=#REF!),#REF!,IF(AND(D518="",#REF!="",#REF!&lt;&gt;"",AV521=#REF!),#REF!,IF(AND(D518="",#REF!="",#REF!="",#REF!&lt;&gt;"",#REF!=#REF!),#REF!,IF(AND(D518="",#REF!="",#REF!="",#REF!="",D522&lt;&gt;"",#REF!=#REF!),AT523,IF(AND(D518="",#REF!="",#REF!="",#REF!="",D522="",#REF!&lt;&gt;"",#REF!=AV526),AT524,IF(AND(D518="",#REF!="",#REF!="",#REF!="",D522="",#REF!="",D527&lt;&gt;"",#REF!=AV530),AT528,"")))))))</f>
        <v/>
      </c>
      <c r="AV259" s="215" t="str">
        <f>IF(L258="ACG",IF(ISNA(VLOOKUP(L260,ＡＣＧ,3,FALSE)),0,VLOOKUP(L260,ＡＣＧ,3,FALSE)*BA261/50),"")</f>
        <v/>
      </c>
      <c r="AW259" s="217" t="str">
        <f>IF(AT259="","",(AT259-AP258*(AT258^2+AT259^2))/((AT258*AP258)^2+(AP258*AT259-1)^2))</f>
        <v/>
      </c>
      <c r="AX259" s="218"/>
      <c r="AY259" s="219">
        <f>IF(N(AY261)=10^30,10^30,IF(N(AY521)=10^30,(N(AY261)*(N(AY520)^2+N(AY521)^2)+N(AY521)*(N(AY260)^2+N(AY261)^2))/((N(AY260)+N(AY520))^2+(N(AY261)+N(AY521))^2),(N(AY261)*(N(AY518)^2+N(AY519)^2)+N(AY519)*(N(AY260)^2+N(AY261)^2))/((N(AY260)+N(AY518))^2+(N(AY261)+N(AY519))^2)))</f>
        <v>1E+30</v>
      </c>
      <c r="AZ259" s="23"/>
      <c r="BA259" s="220">
        <f>IF(AND(H258="",SUM(S258:S261)&lt;&gt;0),BA255,H258)</f>
        <v>0</v>
      </c>
      <c r="BB259" s="221">
        <f t="shared" si="5"/>
        <v>0</v>
      </c>
      <c r="BC259" s="232"/>
      <c r="BD259" s="232"/>
    </row>
    <row r="260" spans="1:56" ht="15" customHeight="1">
      <c r="B260" s="85"/>
      <c r="C260" s="271"/>
      <c r="D260" s="409"/>
      <c r="E260" s="362"/>
      <c r="F260" s="413"/>
      <c r="G260" s="414"/>
      <c r="H260" s="414"/>
      <c r="I260" s="414"/>
      <c r="J260" s="414"/>
      <c r="K260" s="415"/>
      <c r="L260" s="416"/>
      <c r="M260" s="275"/>
      <c r="N260" s="412"/>
      <c r="O260" s="198"/>
      <c r="P260" s="93"/>
      <c r="Q260" s="202"/>
      <c r="R260" s="91"/>
      <c r="S260" s="92" t="str">
        <f>IF(R261="","",IF(Q261="",P261/R261,P261/(Q261*R261)))</f>
        <v/>
      </c>
      <c r="T260" s="200"/>
      <c r="U260" s="203" t="str">
        <f>IF(OR(BA260="",S260=""),"",S260*1000*T260/(SQRT(BA258)*BA260))</f>
        <v/>
      </c>
      <c r="V260" s="94" t="str">
        <f>IF(AND(N(U258)=0,N(U259)=0,N(U260)=0,N(U261)=0),"",V258*(P258*R258*T258+P259*R259*T259+P260*R260*T260+P261*R261*T261)/(P258*T258+P259*T259+P260*T260+P261*T261))</f>
        <v/>
      </c>
      <c r="W260" s="276" t="str">
        <f>IF(AND(N(AP260)=0,N(AP261)=0,N(AP259)=0),"",IF(AP261&gt;=0,COS(ATAN(AP261/AP260)),-COS(ATAN(AP261/AP260))))</f>
        <v/>
      </c>
      <c r="X260" s="95"/>
      <c r="Y260" s="204"/>
      <c r="Z260" s="96"/>
      <c r="AA260" s="97"/>
      <c r="AB260" s="98"/>
      <c r="AC260" s="204"/>
      <c r="AD260" s="96"/>
      <c r="AE260" s="99"/>
      <c r="AF260" s="236" t="str">
        <f>IF(OR(AF258="",AG254&lt;&gt;""),"",BA260/SQRT(AW260^2+AW261^2))</f>
        <v/>
      </c>
      <c r="AG260" s="274" t="str">
        <f>IF(AG258="","",100*((BA260/AQ259)-AG258)/(BA260/AQ259))</f>
        <v/>
      </c>
      <c r="AH260" s="275"/>
      <c r="AI260" s="261"/>
      <c r="AJ260" s="262"/>
      <c r="AK260" s="264"/>
      <c r="AL260" s="188"/>
      <c r="AM260" s="28"/>
      <c r="AN260" s="222" t="b">
        <f>IF(BA258="","",IF(AND(BA258=3,F260=50,L258="oil cooled type"),VLOOKUP(L260,変３,2,FALSE),IF(AND(BA258=3,F260=50,L258="(F)molded type"),VLOOKUP(L260,変３,7,FALSE),IF(AND(BA258=3,F260=60,L258="oil cooled type"),VLOOKUP(L260,変３,12,FALSE),IF(AND(BA258=3,F260=60,L258="(F)molded type"),VLOOKUP(L260,変３,17,FALSE),FALSE)))))</f>
        <v>0</v>
      </c>
      <c r="AO260" s="215" t="str">
        <f>IF(AND(L254="",N(AY258)&lt;10^29),AY258,"")</f>
        <v/>
      </c>
      <c r="AP260" s="223" t="str">
        <f>IF(V258="","",IF(AND(N(V260)=0,N(AP259)=0),"",AQ260/((AQ260*AP259)^2+(AP259*AQ261-1)^2)))</f>
        <v/>
      </c>
      <c r="AQ260" s="213">
        <f>IF(N(V260)=0,10^30,V260)</f>
        <v>1E+30</v>
      </c>
      <c r="AR260" s="215" t="str">
        <f>IF(AB258="","",IF(AB258="600V IV",VLOOKUP(AB260,ＩＶ,2,FALSE),IF(AB258="600V CV-T",VLOOKUP(AB260,ＣＶＴ,2,FALSE),IF(OR(AB258="600V CV-1C",AB258="600V CV-2C",AB258="600V CV-3C",AB258="600V CV-4C"),VLOOKUP(AB260,ＣＶ２３Ｃ,2,FALSE),VLOOKUP(AB260,ＣＵＳＥＲ,2,FALSE)))))</f>
        <v/>
      </c>
      <c r="AS260" s="213" t="str">
        <f>IF(OR(AND(AS518="",AS519=""),AND(D258="",D518&lt;&gt;"")),AS258,(AS258*(AT518^2+AT519^2)+AT518*(AS258^2+AS259^2))/((AS258+AT518)^2+(AS259+AT519)^2))</f>
        <v/>
      </c>
      <c r="AT260" s="216" t="str">
        <f>IF(X261="",AS260,N(AS260)+(X261/1000))</f>
        <v/>
      </c>
      <c r="AU260" s="216" t="str">
        <f>IF(AU258="","",(AT260*(AU258^2+AU259^2)+AU258*(AT260^2+AT261^2))/((AT260+AU258)^2+(AT261+AU259)^2))</f>
        <v/>
      </c>
      <c r="AV260" s="216">
        <f>IF(BA260=0,1,0)</f>
        <v>1</v>
      </c>
      <c r="AW260" s="217" t="str">
        <f>IF(AO260="","",AW258+AO260)</f>
        <v/>
      </c>
      <c r="AX260" s="218" t="str">
        <f>IF(AND(AX256="",AW260&lt;&gt;""),BA260*SQRT(AW258^2+AW259^2)/SQRT(AW260^2+AW261^2),IF(BA260&lt;&gt;0,AX256,""))</f>
        <v/>
      </c>
      <c r="AY260" s="224">
        <f>IF(L260="",10^30,SQRT(BA258)*(BA260^2)*(N(AN258)+N(AN260)+N(AO258)+N(AV258))/(100000*L260*M258))</f>
        <v>1E+30</v>
      </c>
      <c r="AZ260" s="225"/>
      <c r="BA260" s="220">
        <f>IF(AND(J258="",SUM(S258:S261)&lt;&gt;0),BA256,J258)</f>
        <v>0</v>
      </c>
      <c r="BB260" s="221">
        <f t="shared" si="5"/>
        <v>0</v>
      </c>
      <c r="BC260" s="232"/>
      <c r="BD260" s="232"/>
    </row>
    <row r="261" spans="1:56" ht="15" customHeight="1">
      <c r="A261" s="85"/>
      <c r="B261" s="85"/>
      <c r="C261" s="271"/>
      <c r="D261" s="417"/>
      <c r="E261" s="418"/>
      <c r="F261" s="419"/>
      <c r="G261" s="270"/>
      <c r="H261" s="270"/>
      <c r="I261" s="270"/>
      <c r="J261" s="270"/>
      <c r="K261" s="268"/>
      <c r="L261" s="251" t="str">
        <f>IF(M258="","",L260*1000*M258/(SQRT(BA258)*BA260))</f>
        <v/>
      </c>
      <c r="M261" s="252"/>
      <c r="N261" s="277"/>
      <c r="O261" s="205"/>
      <c r="P261" s="106"/>
      <c r="Q261" s="206"/>
      <c r="R261" s="107"/>
      <c r="S261" s="108" t="str">
        <f>IF(R261="","",IF(Q261="",P261/R261,P261/(Q261*R261)))</f>
        <v/>
      </c>
      <c r="T261" s="207"/>
      <c r="U261" s="208" t="str">
        <f>IF(OR(BA260="",S261=""),"",S261*1000*T261/(SQRT(BA258)*BA260))</f>
        <v/>
      </c>
      <c r="V261" s="109" t="str">
        <f>IF(AND(N(U258)=0,N(U259)=0,N(U260)=0,N(U261)=0),"",IF(V258&gt;=0,SQRT(ABS(V258^2-V260^2)),-SQRT(V258^2-V260^2)))</f>
        <v/>
      </c>
      <c r="W261" s="277"/>
      <c r="X261" s="278" t="str">
        <f>IF(Y260="","",AQ258*Z260*AR258*((1+0.00393*(F261-20))/1.2751)/Y260)</f>
        <v/>
      </c>
      <c r="Y261" s="270"/>
      <c r="Z261" s="267" t="str">
        <f>IF(Y260="","",(BA261/50)*AQ258*Z260*AR259/Y260)</f>
        <v/>
      </c>
      <c r="AA261" s="252"/>
      <c r="AB261" s="279" t="str">
        <f>IF(AC260="","",AQ258*AD260*AR260*((1+0.00393*(F261-20))/1.2751)/AC260)</f>
        <v/>
      </c>
      <c r="AC261" s="270"/>
      <c r="AD261" s="267" t="str">
        <f>IF(AC260="","",(BA261/50)*AQ258*AD260*AR261/AC260)</f>
        <v/>
      </c>
      <c r="AE261" s="268"/>
      <c r="AF261" s="237" t="str">
        <f>IF(AND(AX258&lt;&gt;"",D258=""),AX258,"")</f>
        <v/>
      </c>
      <c r="AG261" s="269" t="str">
        <f>IF(AP260="","",AP260)</f>
        <v/>
      </c>
      <c r="AH261" s="270"/>
      <c r="AI261" s="238" t="str">
        <f>IF(AP261="","",AP261)</f>
        <v/>
      </c>
      <c r="AJ261" s="263"/>
      <c r="AK261" s="253"/>
      <c r="AL261" s="189"/>
      <c r="AM261" s="28"/>
      <c r="AN261" s="226" t="b">
        <f>IF(BA258="","",IF(AND(BA258=3,F260=50,L258="oil cooled type"),VLOOKUP(L260,変３,3,FALSE),IF(AND(BA258=3,F260=50,L258="(F)molded type"),VLOOKUP(L260,変３,8,FALSE),IF(AND(BA258=3,F260=60,L258="oil cooled type"),VLOOKUP(L260,変３,13,FALSE),IF(AND(BA258=3,F260=60,L258="(F)molded type"),VLOOKUP(L260,変３,18,FALSE),FALSE)))))</f>
        <v>0</v>
      </c>
      <c r="AO261" s="226" t="str">
        <f>IF(AND(L254="",N(AY259)&lt;10^29),AY259,"")</f>
        <v/>
      </c>
      <c r="AP261" s="227" t="str">
        <f>IF(V258="","",IF(AND(N(V261)=0,N(AP259)=0),0,(AQ261-AP259*(AQ260^2+AQ261^2))/((AQ260*AP259)^2+(AP259*AQ261-1)^2)))</f>
        <v/>
      </c>
      <c r="AQ261" s="228">
        <f>IF(N(V261)=0,10^30,V261)</f>
        <v>1E+30</v>
      </c>
      <c r="AR261" s="226" t="str">
        <f>IF(AB258="","",IF(AB258="600V IV",VLOOKUP(AB260,ＩＶ,3,FALSE),IF(AB258="600V CV-T",VLOOKUP(AB260,ＣＶＴ,3,FALSE),IF(OR(AB258="600V CV-1C",AB258="600V CV-2C",AB258="600V CV-3C",AB258="600V CV-4C"),VLOOKUP(AB260,ＣＶ２３Ｃ,3,FALSE),VLOOKUP(AB260,ＣＵＳＥＲ,3,FALSE)))))</f>
        <v/>
      </c>
      <c r="AS261" s="228" t="str">
        <f>IF(OR(AND(AS518="",AS519=""),AND(D258="",D518&lt;&gt;"")),AS259,(AS259*(AT518^2+AT519^2)+AT519*(AS258^2+AS259^2))/((AS258+AT518)^2+(AS259+AT519)^2))</f>
        <v/>
      </c>
      <c r="AT261" s="229" t="str">
        <f>IF(Z261="",AS261,N(AS261)+(Z261/1000))</f>
        <v/>
      </c>
      <c r="AU261" s="229" t="str">
        <f>IF(AU259="","",(AT261*(AU258^2+AU259^2)+AU259*(AT260^2+AT261^2))/((AT260+AU258)^2+(AT261+AU259)^2))</f>
        <v/>
      </c>
      <c r="AV261" s="229">
        <f>AV257+AV260</f>
        <v>61</v>
      </c>
      <c r="AW261" s="228" t="str">
        <f>IF(AO261="","",AW259+AO261)</f>
        <v/>
      </c>
      <c r="AX261" s="230"/>
      <c r="AY261" s="224">
        <f>IF(L260="",10^30,SQRT(BA258)*(BA260^2)*(N(AN259)+N(AN261)+N(AO259)+N(AV259))/(100000*L260*M258))</f>
        <v>1E+30</v>
      </c>
      <c r="AZ261" s="225"/>
      <c r="BA261" s="220">
        <f>IF(AND(F260="",SUM(S258:S261)&lt;&gt;0),BA257,F260)</f>
        <v>0</v>
      </c>
      <c r="BB261" s="221">
        <f t="shared" si="5"/>
        <v>0</v>
      </c>
      <c r="BC261" s="232"/>
      <c r="BD261" s="232"/>
    </row>
    <row r="262" spans="1:56" ht="15" customHeight="1">
      <c r="B262" s="85"/>
      <c r="C262" s="271" t="str">
        <f>IF(BC262=1,"●","・")</f>
        <v>・</v>
      </c>
      <c r="D262" s="402"/>
      <c r="E262" s="403"/>
      <c r="F262" s="404"/>
      <c r="G262" s="265" t="str">
        <f>IF(F262="","","φ")</f>
        <v/>
      </c>
      <c r="H262" s="405"/>
      <c r="I262" s="265" t="str">
        <f>IF(H262="","","W")</f>
        <v/>
      </c>
      <c r="J262" s="405"/>
      <c r="K262" s="272" t="str">
        <f>IF(J262="","","V")</f>
        <v/>
      </c>
      <c r="L262" s="406"/>
      <c r="M262" s="407"/>
      <c r="N262" s="408"/>
      <c r="O262" s="193"/>
      <c r="P262" s="86"/>
      <c r="Q262" s="194"/>
      <c r="R262" s="87"/>
      <c r="S262" s="88" t="str">
        <f>IF(R262="","",IF(Q262="",P262/R262,P262/(Q262*R262)))</f>
        <v/>
      </c>
      <c r="T262" s="195"/>
      <c r="U262" s="196" t="str">
        <f>IF(OR(BA264="",S262=""),"",S262*1000*T262/(SQRT(BA262)*BA264))</f>
        <v/>
      </c>
      <c r="V262" s="254" t="str">
        <f>IF(AND(N(U262)=0,N(U263)=0,N(U264)=0,N(U265)=0),"",BA264/(SUM(U262:U265)))</f>
        <v/>
      </c>
      <c r="W262" s="280"/>
      <c r="X262" s="281"/>
      <c r="Y262" s="242"/>
      <c r="Z262" s="243"/>
      <c r="AA262" s="239"/>
      <c r="AB262" s="241"/>
      <c r="AC262" s="242"/>
      <c r="AD262" s="243"/>
      <c r="AE262" s="247"/>
      <c r="AF262" s="233" t="str">
        <f>IF(OR(AND(AF258="",N(BA260)=0,BA264&lt;&gt;0),D262&lt;&gt;""),AX264/AQ263,"")</f>
        <v/>
      </c>
      <c r="AG262" s="249" t="str">
        <f>IF(BA264=0,"",IF(AD264="",AX262,IF(AND(D262&lt;&gt;"",AU262=""),AX264*SQRT(AP264^2+AP265^2)/SQRT(AS262^2+AS263^2)/AQ263,AX262*SQRT(AP264^2+AP265^2)/SQRT(AS262^2+AS263^2))))</f>
        <v/>
      </c>
      <c r="AH262" s="250"/>
      <c r="AI262" s="234" t="str">
        <f>IF(AG262="","",IF(N(U262)&lt;0,-AX262*AQ263/SQRT(AS262^2+AS263^2),AX262*AQ263/SQRT(AS262^2+AS263^2)))</f>
        <v/>
      </c>
      <c r="AJ262" s="256"/>
      <c r="AK262" s="257"/>
      <c r="AL262" s="186"/>
      <c r="AM262" s="28"/>
      <c r="AN262" s="213" t="b">
        <f>IF(BA262="","",IF(AND(BA262=1,F264=50,L262="oil cooled type"),VLOOKUP(L264,変１,2,FALSE),IF(AND(BA262=1,F264=50,L262="(F)molded type"),VLOOKUP(L264,変１,7,FALSE),IF(AND(BA262=1,F264=60,L262="oil cooled type"),VLOOKUP(L264,変１,12,FALSE),IF(AND(BA262=1,F264=60,L262="(F)molded type"),VLOOKUP(L264,変１,17,FALSE),FALSE)))))</f>
        <v>0</v>
      </c>
      <c r="AO262" s="213">
        <f>IF(ISNA(VLOOKUP(L264,変ＵＳＥＲ,2,FALSE)),0,VLOOKUP(L264,変ＵＳＥＲ,2,FALSE))</f>
        <v>0</v>
      </c>
      <c r="AP262" s="214">
        <f>IF(N262="",0,N262*1000/BA264^2/SQRT(BA262))</f>
        <v>0</v>
      </c>
      <c r="AQ262" s="213" t="b">
        <f>IF(BA262=1,2,IF(BA262=3,SQRT(3),FALSE))</f>
        <v>0</v>
      </c>
      <c r="AR262" s="215" t="str">
        <f>IF(X262="","",IF(X262="600V IV",VLOOKUP(X264,ＩＶ,2,FALSE),IF(X262="600V CV-T",VLOOKUP(X264,ＣＶＴ,2,FALSE),IF(OR(X262="600V CV-1C",X262="600V CV-2C",X262="600V CV-3C",X262="600V CV-4C"),VLOOKUP(X264,ＣＶ２３Ｃ,2,FALSE),VLOOKUP(X264,ＣＵＳＥＲ,2,FALSE)))))</f>
        <v/>
      </c>
      <c r="AS262" s="213" t="str">
        <f>IF(AB265="",AP264,AP264+(AB265/1000))</f>
        <v/>
      </c>
      <c r="AT262" s="216" t="str">
        <f>IF(AU264="",AT264,AU264)</f>
        <v/>
      </c>
      <c r="AU262" s="216" t="str">
        <f>IF(D262="","",IF(AND(D522="",#REF!&lt;&gt;"",AV265=#REF!),#REF!,IF(AND(D522="",#REF!="",#REF!&lt;&gt;"",AV525=#REF!),#REF!,IF(AND(D522="",#REF!="",#REF!="",#REF!&lt;&gt;"",#REF!=#REF!),#REF!,IF(AND(D522="",#REF!="",#REF!="",#REF!="",D526&lt;&gt;"",#REF!=#REF!),AT526,IF(AND(D522="",#REF!="",#REF!="",#REF!="",D526="",#REF!&lt;&gt;"",#REF!=AV530),#REF!,IF(AND(D522="",#REF!="",#REF!="",#REF!="",D526="",#REF!="",D531&lt;&gt;"",#REF!=AV534),AT531,"")))))))</f>
        <v/>
      </c>
      <c r="AV262" s="216" t="str">
        <f>IF(L262="ACG",IF(ISNA(VLOOKUP(L264,ＡＣＧ,2,FALSE)),0,VLOOKUP(L264,ＡＣＧ,2,FALSE)),"")</f>
        <v/>
      </c>
      <c r="AW262" s="217" t="str">
        <f>IF(AT262="","",AT262/((AT262*AP262)^2+(AT263*AP262-1)^2))</f>
        <v/>
      </c>
      <c r="AX262" s="218" t="str">
        <f>IF(BA264=0,"",IF(OR(AX258="",AF262&lt;&gt;""),AF262*SQRT(AS264^2+AS265^2)/SQRT(AT264^2+AT265^2),AX258*SQRT(AS264^2+AS265^2)/SQRT(AT264^2+AT265^2)))</f>
        <v/>
      </c>
      <c r="AY262" s="219">
        <f>IF(N(AY264)=10^30,10^30,IF(N(AY524)=10^30,(N(AY264)*(N(AY524)^2+N(AY525)^2)+N(AY524)*(N(AY264)^2+N(AY265)^2))/((N(AY264)+N(AY524))^2+(N(AY265)+N(AY525))^2),(N(AY264)*(N(AY522)^2+N(AY523)^2)+N(AY522)*(N(AY264)^2+N(AY265)^2))/((N(AY264)+N(AY522))^2+(N(AY265)+N(AY523))^2)))</f>
        <v>1E+30</v>
      </c>
      <c r="AZ262" s="23"/>
      <c r="BA262" s="220">
        <f>IF(AND(F262="",SUM(S262:S265)&lt;&gt;0),BA258,F262)</f>
        <v>0</v>
      </c>
      <c r="BB262" s="221">
        <f t="shared" si="5"/>
        <v>0</v>
      </c>
      <c r="BC262" s="232">
        <f>IF(OR(E262="",F265="",AND(OR(P262="",Q262="",R262="",T262=""),OR(P263="",Q263="",R263="",T263=""),OR(P264="",Q264="",R264="",T264=""),OR(P265="",Q265="",R265="",T265="")),AND(OR(X262="",X264="",Y264="",Z264=""),OR(AB262="",AB264="",AC264="",AD264=""))),0,1)</f>
        <v>0</v>
      </c>
      <c r="BD262" s="232">
        <f>BC262+BD258</f>
        <v>0</v>
      </c>
    </row>
    <row r="263" spans="1:56" ht="15" customHeight="1">
      <c r="B263" s="85"/>
      <c r="C263" s="271"/>
      <c r="D263" s="409"/>
      <c r="E263" s="362"/>
      <c r="F263" s="410"/>
      <c r="G263" s="266"/>
      <c r="H263" s="266"/>
      <c r="I263" s="266"/>
      <c r="J263" s="266"/>
      <c r="K263" s="273"/>
      <c r="L263" s="411"/>
      <c r="M263" s="197" t="str">
        <f>IF(L262="ACG",SQRT(AV262^2+AV263^2),IF(L264="","",IF(OR(L262="oil cooled type",L262="(F)molded type"),IF(BA262=1,SQRT(AN262^2+AN263^2),IF(BA262=3,SQRT(AN264^2+AN265^2))),SQRT(AO262^2+AO263^2))))</f>
        <v/>
      </c>
      <c r="N263" s="412"/>
      <c r="O263" s="198"/>
      <c r="P263" s="90"/>
      <c r="Q263" s="199"/>
      <c r="R263" s="91"/>
      <c r="S263" s="92" t="str">
        <f>IF(R264="","",IF(Q264="",P264/R264,P264/(Q264*R264)))</f>
        <v/>
      </c>
      <c r="T263" s="200"/>
      <c r="U263" s="201" t="str">
        <f>IF(OR(BA264="",S263=""),"",S263*1000*T263/(SQRT(BA262)*BA264))</f>
        <v/>
      </c>
      <c r="V263" s="255"/>
      <c r="W263" s="248"/>
      <c r="X263" s="258"/>
      <c r="Y263" s="245"/>
      <c r="Z263" s="246"/>
      <c r="AA263" s="240"/>
      <c r="AB263" s="244"/>
      <c r="AC263" s="245"/>
      <c r="AD263" s="246"/>
      <c r="AE263" s="248"/>
      <c r="AF263" s="235" t="str">
        <f>IF(OR(AF262="",AG258&lt;&gt;""),"",AF262*AQ263/SQRT(AT262^2+AT263^2))</f>
        <v/>
      </c>
      <c r="AG263" s="274" t="str">
        <f>IF(AG262="","",100*AG262*AQ263/BA264)</f>
        <v/>
      </c>
      <c r="AH263" s="275"/>
      <c r="AI263" s="260" t="str">
        <f>IF(BA264=0,"",IF(AI258="",AX264/SQRT(AT262^2+AT263^2),IF(AI266="","",IF(AT262&lt;0,-AX262*AQ259/SQRT(AT262^2+AT263^2),AX262*AQ259/SQRT(AT262^2+AT263^2)))))</f>
        <v/>
      </c>
      <c r="AJ263" s="258"/>
      <c r="AK263" s="259"/>
      <c r="AL263" s="187"/>
      <c r="AM263" s="28"/>
      <c r="AN263" s="213" t="b">
        <f>IF(BA262="","",IF(AND(BA262=1,F264=50,L262="oil cooled type"),VLOOKUP(L264,変１,3,FALSE),IF(AND(BA262=1,F264=50,L262="(F)molded type"),VLOOKUP(L264,変１,8,FALSE),IF(AND(BA262=1,F264=60,L262="oil cooled type"),VLOOKUP(L264,変１,13,FALSE),IF(AND(BA262=1,F264=60,L262="(F)molded type"),VLOOKUP(L264,変１,18,FALSE),FALSE)))))</f>
        <v>0</v>
      </c>
      <c r="AO263" s="213">
        <f>IF(ISNA(VLOOKUP(L264,変ＵＳＥＲ,3,FALSE)),0,VLOOKUP(L264,変ＵＳＥＲ,3,FALSE)*BA265/50)</f>
        <v>0</v>
      </c>
      <c r="AP263" s="214">
        <f>IF(W262="",0,W262*1000/BA264^2/SQRT(BA262))</f>
        <v>0</v>
      </c>
      <c r="AQ263" s="213">
        <f>IF(AND(BA262=1,BA263=2),1,IF(AND(BA262=3,BA263=3),1,IF(AND(BA262=1,BA263=3),2,IF(AND(BA262=3,BA263=4)*OR(BB262=1,BB263=1,BB264=1,BB265=1),1,SQRT(3)))))</f>
        <v>1.7320508075688772</v>
      </c>
      <c r="AR263" s="215" t="str">
        <f>IF(X262="","",IF(X262="600V IV",VLOOKUP(X264,ＩＶ,3,FALSE),IF(X262="600V CV-T",VLOOKUP(X264,ＣＶＴ,3,FALSE),IF(OR(X262="600V CV-1C",X262="600V CV-2C",X262="600V CV-3C",X262="600V CV-4C"),VLOOKUP(X264,ＣＶ２３Ｃ,3,FALSE),VLOOKUP(X264,ＣＵＳＥＲ,3,FALSE)))))</f>
        <v/>
      </c>
      <c r="AS263" s="213" t="str">
        <f>IF(AD265="",AP265,AP265+(AD265/1000))</f>
        <v/>
      </c>
      <c r="AT263" s="216" t="str">
        <f>IF(AU265="",AT265,AU265)</f>
        <v/>
      </c>
      <c r="AU263" s="216" t="str">
        <f>IF(D262="","",IF(AND(D522="",#REF!&lt;&gt;"",AV265=#REF!),#REF!,IF(AND(D522="",#REF!="",#REF!&lt;&gt;"",AV525=#REF!),#REF!,IF(AND(D522="",#REF!="",#REF!="",#REF!&lt;&gt;"",#REF!=#REF!),#REF!,IF(AND(D522="",#REF!="",#REF!="",#REF!="",D526&lt;&gt;"",#REF!=#REF!),AT527,IF(AND(D522="",#REF!="",#REF!="",#REF!="",D526="",#REF!&lt;&gt;"",#REF!=AV530),AT528,IF(AND(D522="",#REF!="",#REF!="",#REF!="",D526="",#REF!="",D531&lt;&gt;"",#REF!=AV534),AT532,"")))))))</f>
        <v/>
      </c>
      <c r="AV263" s="215" t="str">
        <f>IF(L262="ACG",IF(ISNA(VLOOKUP(L264,ＡＣＧ,3,FALSE)),0,VLOOKUP(L264,ＡＣＧ,3,FALSE)*BA265/50),"")</f>
        <v/>
      </c>
      <c r="AW263" s="217" t="str">
        <f>IF(AT263="","",(AT263-AP262*(AT262^2+AT263^2))/((AT262*AP262)^2+(AP262*AT263-1)^2))</f>
        <v/>
      </c>
      <c r="AX263" s="218"/>
      <c r="AY263" s="219">
        <f>IF(N(AY265)=10^30,10^30,IF(N(AY525)=10^30,(N(AY265)*(N(AY524)^2+N(AY525)^2)+N(AY525)*(N(AY264)^2+N(AY265)^2))/((N(AY264)+N(AY524))^2+(N(AY265)+N(AY525))^2),(N(AY265)*(N(AY522)^2+N(AY523)^2)+N(AY523)*(N(AY264)^2+N(AY265)^2))/((N(AY264)+N(AY522))^2+(N(AY265)+N(AY523))^2)))</f>
        <v>1E+30</v>
      </c>
      <c r="AZ263" s="23"/>
      <c r="BA263" s="220">
        <f>IF(AND(H262="",SUM(S262:S265)&lt;&gt;0),BA259,H262)</f>
        <v>0</v>
      </c>
      <c r="BB263" s="221">
        <f t="shared" si="5"/>
        <v>0</v>
      </c>
      <c r="BC263" s="232"/>
      <c r="BD263" s="232"/>
    </row>
    <row r="264" spans="1:56" ht="15" customHeight="1">
      <c r="B264" s="85"/>
      <c r="C264" s="271"/>
      <c r="D264" s="409"/>
      <c r="E264" s="362"/>
      <c r="F264" s="413"/>
      <c r="G264" s="414"/>
      <c r="H264" s="414"/>
      <c r="I264" s="414"/>
      <c r="J264" s="414"/>
      <c r="K264" s="415"/>
      <c r="L264" s="416"/>
      <c r="M264" s="275"/>
      <c r="N264" s="412"/>
      <c r="O264" s="198"/>
      <c r="P264" s="93"/>
      <c r="Q264" s="202"/>
      <c r="R264" s="91"/>
      <c r="S264" s="92" t="str">
        <f>IF(R265="","",IF(Q265="",P265/R265,P265/(Q265*R265)))</f>
        <v/>
      </c>
      <c r="T264" s="200"/>
      <c r="U264" s="203" t="str">
        <f>IF(OR(BA264="",S264=""),"",S264*1000*T264/(SQRT(BA262)*BA264))</f>
        <v/>
      </c>
      <c r="V264" s="94" t="str">
        <f>IF(AND(N(U262)=0,N(U263)=0,N(U264)=0,N(U265)=0),"",V262*(P262*R262*T262+P263*R263*T263+P264*R264*T264+P265*R265*T265)/(P262*T262+P263*T263+P264*T264+P265*T265))</f>
        <v/>
      </c>
      <c r="W264" s="276" t="str">
        <f>IF(AND(N(AP264)=0,N(AP265)=0,N(AP263)=0),"",IF(AP265&gt;=0,COS(ATAN(AP265/AP264)),-COS(ATAN(AP265/AP264))))</f>
        <v/>
      </c>
      <c r="X264" s="95"/>
      <c r="Y264" s="204"/>
      <c r="Z264" s="96"/>
      <c r="AA264" s="97"/>
      <c r="AB264" s="98"/>
      <c r="AC264" s="204"/>
      <c r="AD264" s="96"/>
      <c r="AE264" s="99"/>
      <c r="AF264" s="236" t="str">
        <f>IF(OR(AF262="",AG258&lt;&gt;""),"",BA264/SQRT(AW264^2+AW265^2))</f>
        <v/>
      </c>
      <c r="AG264" s="274" t="str">
        <f>IF(AG262="","",100*((BA264/AQ263)-AG262)/(BA264/AQ263))</f>
        <v/>
      </c>
      <c r="AH264" s="275"/>
      <c r="AI264" s="261"/>
      <c r="AJ264" s="262"/>
      <c r="AK264" s="264"/>
      <c r="AL264" s="188"/>
      <c r="AM264" s="28"/>
      <c r="AN264" s="222" t="b">
        <f>IF(BA262="","",IF(AND(BA262=3,F264=50,L262="oil cooled type"),VLOOKUP(L264,変３,2,FALSE),IF(AND(BA262=3,F264=50,L262="(F)molded type"),VLOOKUP(L264,変３,7,FALSE),IF(AND(BA262=3,F264=60,L262="oil cooled type"),VLOOKUP(L264,変３,12,FALSE),IF(AND(BA262=3,F264=60,L262="(F)molded type"),VLOOKUP(L264,変３,17,FALSE),FALSE)))))</f>
        <v>0</v>
      </c>
      <c r="AO264" s="215" t="str">
        <f>IF(AND(L258="",N(AY262)&lt;10^29),AY262,"")</f>
        <v/>
      </c>
      <c r="AP264" s="223" t="str">
        <f>IF(V262="","",IF(AND(N(V264)=0,N(AP263)=0),"",AQ264/((AQ264*AP263)^2+(AP263*AQ265-1)^2)))</f>
        <v/>
      </c>
      <c r="AQ264" s="213">
        <f>IF(N(V264)=0,10^30,V264)</f>
        <v>1E+30</v>
      </c>
      <c r="AR264" s="215" t="str">
        <f>IF(AB262="","",IF(AB262="600V IV",VLOOKUP(AB264,ＩＶ,2,FALSE),IF(AB262="600V CV-T",VLOOKUP(AB264,ＣＶＴ,2,FALSE),IF(OR(AB262="600V CV-1C",AB262="600V CV-2C",AB262="600V CV-3C",AB262="600V CV-4C"),VLOOKUP(AB264,ＣＶ２３Ｃ,2,FALSE),VLOOKUP(AB264,ＣＵＳＥＲ,2,FALSE)))))</f>
        <v/>
      </c>
      <c r="AS264" s="213" t="str">
        <f>IF(OR(AND(AS522="",AS523=""),AND(D262="",D522&lt;&gt;"")),AS262,(AS262*(AT522^2+AT523^2)+AT522*(AS262^2+AS263^2))/((AS262+AT522)^2+(AS263+AT523)^2))</f>
        <v/>
      </c>
      <c r="AT264" s="216" t="str">
        <f>IF(X265="",AS264,N(AS264)+(X265/1000))</f>
        <v/>
      </c>
      <c r="AU264" s="216" t="str">
        <f>IF(AU262="","",(AT264*(AU262^2+AU263^2)+AU262*(AT264^2+AT265^2))/((AT264+AU262)^2+(AT265+AU263)^2))</f>
        <v/>
      </c>
      <c r="AV264" s="216">
        <f>IF(BA264=0,1,0)</f>
        <v>1</v>
      </c>
      <c r="AW264" s="217" t="str">
        <f>IF(AO264="","",AW262+AO264)</f>
        <v/>
      </c>
      <c r="AX264" s="218" t="str">
        <f>IF(AND(AX260="",AW264&lt;&gt;""),BA264*SQRT(AW262^2+AW263^2)/SQRT(AW264^2+AW265^2),IF(BA264&lt;&gt;0,AX260,""))</f>
        <v/>
      </c>
      <c r="AY264" s="224">
        <f>IF(L264="",10^30,SQRT(BA262)*(BA264^2)*(N(AN262)+N(AN264)+N(AO262)+N(AV262))/(100000*L264*M262))</f>
        <v>1E+30</v>
      </c>
      <c r="AZ264" s="225"/>
      <c r="BA264" s="220">
        <f>IF(AND(J262="",SUM(S262:S265)&lt;&gt;0),BA260,J262)</f>
        <v>0</v>
      </c>
      <c r="BB264" s="221">
        <f t="shared" si="5"/>
        <v>0</v>
      </c>
      <c r="BC264" s="232"/>
      <c r="BD264" s="232"/>
    </row>
    <row r="265" spans="1:56" ht="15" customHeight="1">
      <c r="A265" s="85"/>
      <c r="B265" s="85"/>
      <c r="C265" s="271"/>
      <c r="D265" s="417"/>
      <c r="E265" s="418"/>
      <c r="F265" s="419"/>
      <c r="G265" s="270"/>
      <c r="H265" s="270"/>
      <c r="I265" s="270"/>
      <c r="J265" s="270"/>
      <c r="K265" s="268"/>
      <c r="L265" s="251" t="str">
        <f>IF(M262="","",L264*1000*M262/(SQRT(BA262)*BA264))</f>
        <v/>
      </c>
      <c r="M265" s="252"/>
      <c r="N265" s="277"/>
      <c r="O265" s="205"/>
      <c r="P265" s="106"/>
      <c r="Q265" s="206"/>
      <c r="R265" s="107"/>
      <c r="S265" s="108" t="str">
        <f>IF(R265="","",IF(Q265="",P265/R265,P265/(Q265*R265)))</f>
        <v/>
      </c>
      <c r="T265" s="207"/>
      <c r="U265" s="208" t="str">
        <f>IF(OR(BA264="",S265=""),"",S265*1000*T265/(SQRT(BA262)*BA264))</f>
        <v/>
      </c>
      <c r="V265" s="109" t="str">
        <f>IF(AND(N(U262)=0,N(U263)=0,N(U264)=0,N(U265)=0),"",IF(V262&gt;=0,SQRT(ABS(V262^2-V264^2)),-SQRT(V262^2-V264^2)))</f>
        <v/>
      </c>
      <c r="W265" s="277"/>
      <c r="X265" s="278" t="str">
        <f>IF(Y264="","",AQ262*Z264*AR262*((1+0.00393*(F265-20))/1.2751)/Y264)</f>
        <v/>
      </c>
      <c r="Y265" s="270"/>
      <c r="Z265" s="267" t="str">
        <f>IF(Y264="","",(BA265/50)*AQ262*Z264*AR263/Y264)</f>
        <v/>
      </c>
      <c r="AA265" s="252"/>
      <c r="AB265" s="279" t="str">
        <f>IF(AC264="","",AQ262*AD264*AR264*((1+0.00393*(F265-20))/1.2751)/AC264)</f>
        <v/>
      </c>
      <c r="AC265" s="270"/>
      <c r="AD265" s="267" t="str">
        <f>IF(AC264="","",(BA265/50)*AQ262*AD264*AR265/AC264)</f>
        <v/>
      </c>
      <c r="AE265" s="268"/>
      <c r="AF265" s="237" t="str">
        <f>IF(AND(AX262&lt;&gt;"",D262=""),AX262,"")</f>
        <v/>
      </c>
      <c r="AG265" s="269" t="str">
        <f>IF(AP264="","",AP264)</f>
        <v/>
      </c>
      <c r="AH265" s="270"/>
      <c r="AI265" s="238" t="str">
        <f>IF(AP265="","",AP265)</f>
        <v/>
      </c>
      <c r="AJ265" s="263"/>
      <c r="AK265" s="253"/>
      <c r="AL265" s="189"/>
      <c r="AM265" s="28"/>
      <c r="AN265" s="226" t="b">
        <f>IF(BA262="","",IF(AND(BA262=3,F264=50,L262="oil cooled type"),VLOOKUP(L264,変３,3,FALSE),IF(AND(BA262=3,F264=50,L262="(F)molded type"),VLOOKUP(L264,変３,8,FALSE),IF(AND(BA262=3,F264=60,L262="oil cooled type"),VLOOKUP(L264,変３,13,FALSE),IF(AND(BA262=3,F264=60,L262="(F)molded type"),VLOOKUP(L264,変３,18,FALSE),FALSE)))))</f>
        <v>0</v>
      </c>
      <c r="AO265" s="226" t="str">
        <f>IF(AND(L258="",N(AY263)&lt;10^29),AY263,"")</f>
        <v/>
      </c>
      <c r="AP265" s="227" t="str">
        <f>IF(V262="","",IF(AND(N(V265)=0,N(AP263)=0),0,(AQ265-AP263*(AQ264^2+AQ265^2))/((AQ264*AP263)^2+(AP263*AQ265-1)^2)))</f>
        <v/>
      </c>
      <c r="AQ265" s="228">
        <f>IF(N(V265)=0,10^30,V265)</f>
        <v>1E+30</v>
      </c>
      <c r="AR265" s="226" t="str">
        <f>IF(AB262="","",IF(AB262="600V IV",VLOOKUP(AB264,ＩＶ,3,FALSE),IF(AB262="600V CV-T",VLOOKUP(AB264,ＣＶＴ,3,FALSE),IF(OR(AB262="600V CV-1C",AB262="600V CV-2C",AB262="600V CV-3C",AB262="600V CV-4C"),VLOOKUP(AB264,ＣＶ２３Ｃ,3,FALSE),VLOOKUP(AB264,ＣＵＳＥＲ,3,FALSE)))))</f>
        <v/>
      </c>
      <c r="AS265" s="228" t="str">
        <f>IF(OR(AND(AS522="",AS523=""),AND(D262="",D522&lt;&gt;"")),AS263,(AS263*(AT522^2+AT523^2)+AT523*(AS262^2+AS263^2))/((AS262+AT522)^2+(AS263+AT523)^2))</f>
        <v/>
      </c>
      <c r="AT265" s="229" t="str">
        <f>IF(Z265="",AS265,N(AS265)+(Z265/1000))</f>
        <v/>
      </c>
      <c r="AU265" s="229" t="str">
        <f>IF(AU263="","",(AT265*(AU262^2+AU263^2)+AU263*(AT264^2+AT265^2))/((AT264+AU262)^2+(AT265+AU263)^2))</f>
        <v/>
      </c>
      <c r="AV265" s="229">
        <f>AV261+AV264</f>
        <v>62</v>
      </c>
      <c r="AW265" s="228" t="str">
        <f>IF(AO265="","",AW263+AO265)</f>
        <v/>
      </c>
      <c r="AX265" s="230"/>
      <c r="AY265" s="224">
        <f>IF(L264="",10^30,SQRT(BA262)*(BA264^2)*(N(AN263)+N(AN265)+N(AO263)+N(AV263))/(100000*L264*M262))</f>
        <v>1E+30</v>
      </c>
      <c r="AZ265" s="225"/>
      <c r="BA265" s="220">
        <f>IF(AND(F264="",SUM(S262:S265)&lt;&gt;0),BA261,F264)</f>
        <v>0</v>
      </c>
      <c r="BB265" s="221">
        <f t="shared" si="5"/>
        <v>0</v>
      </c>
      <c r="BC265" s="232"/>
      <c r="BD265" s="232"/>
    </row>
    <row r="266" spans="1:56" ht="15" customHeight="1">
      <c r="B266" s="85"/>
      <c r="C266" s="271" t="str">
        <f>IF(BC266=1,"●","・")</f>
        <v>・</v>
      </c>
      <c r="D266" s="402"/>
      <c r="E266" s="403"/>
      <c r="F266" s="404"/>
      <c r="G266" s="265" t="str">
        <f>IF(F266="","","φ")</f>
        <v/>
      </c>
      <c r="H266" s="405"/>
      <c r="I266" s="265" t="str">
        <f>IF(H266="","","W")</f>
        <v/>
      </c>
      <c r="J266" s="405"/>
      <c r="K266" s="272" t="str">
        <f>IF(J266="","","V")</f>
        <v/>
      </c>
      <c r="L266" s="406"/>
      <c r="M266" s="407"/>
      <c r="N266" s="408"/>
      <c r="O266" s="193"/>
      <c r="P266" s="86"/>
      <c r="Q266" s="194"/>
      <c r="R266" s="87"/>
      <c r="S266" s="88" t="str">
        <f>IF(R266="","",IF(Q266="",P266/R266,P266/(Q266*R266)))</f>
        <v/>
      </c>
      <c r="T266" s="195"/>
      <c r="U266" s="196" t="str">
        <f>IF(OR(BA268="",S266=""),"",S266*1000*T266/(SQRT(BA266)*BA268))</f>
        <v/>
      </c>
      <c r="V266" s="254" t="str">
        <f>IF(AND(N(U266)=0,N(U267)=0,N(U268)=0,N(U269)=0),"",BA268/(SUM(U266:U269)))</f>
        <v/>
      </c>
      <c r="W266" s="280"/>
      <c r="X266" s="281"/>
      <c r="Y266" s="242"/>
      <c r="Z266" s="243"/>
      <c r="AA266" s="239"/>
      <c r="AB266" s="241"/>
      <c r="AC266" s="242"/>
      <c r="AD266" s="243"/>
      <c r="AE266" s="247"/>
      <c r="AF266" s="233" t="str">
        <f>IF(OR(AND(AF262="",N(BA264)=0,BA268&lt;&gt;0),D266&lt;&gt;""),AX268/AQ267,"")</f>
        <v/>
      </c>
      <c r="AG266" s="249" t="str">
        <f>IF(BA268=0,"",IF(AD268="",AX266,IF(AND(D266&lt;&gt;"",AU266=""),AX268*SQRT(AP268^2+AP269^2)/SQRT(AS266^2+AS267^2)/AQ267,AX266*SQRT(AP268^2+AP269^2)/SQRT(AS266^2+AS267^2))))</f>
        <v/>
      </c>
      <c r="AH266" s="250"/>
      <c r="AI266" s="234" t="str">
        <f>IF(AG266="","",IF(N(U266)&lt;0,-AX266*AQ267/SQRT(AS266^2+AS267^2),AX266*AQ267/SQRT(AS266^2+AS267^2)))</f>
        <v/>
      </c>
      <c r="AJ266" s="256"/>
      <c r="AK266" s="257"/>
      <c r="AL266" s="186"/>
      <c r="AM266" s="28"/>
      <c r="AN266" s="213" t="b">
        <f>IF(BA266="","",IF(AND(BA266=1,F268=50,L266="oil cooled type"),VLOOKUP(L268,変１,2,FALSE),IF(AND(BA266=1,F268=50,L266="(F)molded type"),VLOOKUP(L268,変１,7,FALSE),IF(AND(BA266=1,F268=60,L266="oil cooled type"),VLOOKUP(L268,変１,12,FALSE),IF(AND(BA266=1,F268=60,L266="(F)molded type"),VLOOKUP(L268,変１,17,FALSE),FALSE)))))</f>
        <v>0</v>
      </c>
      <c r="AO266" s="213">
        <f>IF(ISNA(VLOOKUP(L268,変ＵＳＥＲ,2,FALSE)),0,VLOOKUP(L268,変ＵＳＥＲ,2,FALSE))</f>
        <v>0</v>
      </c>
      <c r="AP266" s="214">
        <f>IF(N266="",0,N266*1000/BA268^2/SQRT(BA266))</f>
        <v>0</v>
      </c>
      <c r="AQ266" s="213" t="b">
        <f>IF(BA266=1,2,IF(BA266=3,SQRT(3),FALSE))</f>
        <v>0</v>
      </c>
      <c r="AR266" s="215" t="str">
        <f>IF(X266="","",IF(X266="600V IV",VLOOKUP(X268,ＩＶ,2,FALSE),IF(X266="600V CV-T",VLOOKUP(X268,ＣＶＴ,2,FALSE),IF(OR(X266="600V CV-1C",X266="600V CV-2C",X266="600V CV-3C",X266="600V CV-4C"),VLOOKUP(X268,ＣＶ２３Ｃ,2,FALSE),VLOOKUP(X268,ＣＵＳＥＲ,2,FALSE)))))</f>
        <v/>
      </c>
      <c r="AS266" s="213" t="str">
        <f>IF(AB269="",AP268,AP268+(AB269/1000))</f>
        <v/>
      </c>
      <c r="AT266" s="216" t="str">
        <f>IF(AU268="",AT268,AU268)</f>
        <v/>
      </c>
      <c r="AU266" s="216" t="str">
        <f>IF(D266="","",IF(AND(D526="",#REF!&lt;&gt;"",AV269=#REF!),#REF!,IF(AND(D526="",#REF!="",#REF!&lt;&gt;"",AV529=#REF!),#REF!,IF(AND(D526="",#REF!="",#REF!="",#REF!&lt;&gt;"",#REF!=#REF!),#REF!,IF(AND(D526="",#REF!="",#REF!="",#REF!="",D530&lt;&gt;"",#REF!=#REF!),AT530,IF(AND(D526="",#REF!="",#REF!="",#REF!="",D530="",#REF!&lt;&gt;"",#REF!=AV534),#REF!,IF(AND(D526="",#REF!="",#REF!="",#REF!="",D530="",#REF!="",D535&lt;&gt;"",#REF!=AV538),AT535,"")))))))</f>
        <v/>
      </c>
      <c r="AV266" s="216" t="str">
        <f>IF(L266="ACG",IF(ISNA(VLOOKUP(L268,ＡＣＧ,2,FALSE)),0,VLOOKUP(L268,ＡＣＧ,2,FALSE)),"")</f>
        <v/>
      </c>
      <c r="AW266" s="217" t="str">
        <f>IF(AT266="","",AT266/((AT266*AP266)^2+(AT267*AP266-1)^2))</f>
        <v/>
      </c>
      <c r="AX266" s="218" t="str">
        <f>IF(BA268=0,"",IF(OR(AX262="",AF266&lt;&gt;""),AF266*SQRT(AS268^2+AS269^2)/SQRT(AT268^2+AT269^2),AX262*SQRT(AS268^2+AS269^2)/SQRT(AT268^2+AT269^2)))</f>
        <v/>
      </c>
      <c r="AY266" s="219">
        <f>IF(N(AY268)=10^30,10^30,IF(N(AY528)=10^30,(N(AY268)*(N(AY528)^2+N(AY529)^2)+N(AY528)*(N(AY268)^2+N(AY269)^2))/((N(AY268)+N(AY528))^2+(N(AY269)+N(AY529))^2),(N(AY268)*(N(AY526)^2+N(AY527)^2)+N(AY526)*(N(AY268)^2+N(AY269)^2))/((N(AY268)+N(AY526))^2+(N(AY269)+N(AY527))^2)))</f>
        <v>1E+30</v>
      </c>
      <c r="AZ266" s="23"/>
      <c r="BA266" s="220">
        <f>IF(AND(F266="",SUM(S266:S269)&lt;&gt;0),BA262,F266)</f>
        <v>0</v>
      </c>
      <c r="BB266" s="221">
        <f t="shared" si="5"/>
        <v>0</v>
      </c>
      <c r="BC266" s="232">
        <f>IF(OR(E266="",F269="",AND(OR(P266="",Q266="",R266="",T266=""),OR(P267="",Q267="",R267="",T267=""),OR(P268="",Q268="",R268="",T268=""),OR(P269="",Q269="",R269="",T269="")),AND(OR(X266="",X268="",Y268="",Z268=""),OR(AB266="",AB268="",AC268="",AD268=""))),0,1)</f>
        <v>0</v>
      </c>
      <c r="BD266" s="232">
        <f>BC266+BD262</f>
        <v>0</v>
      </c>
    </row>
    <row r="267" spans="1:56" ht="15" customHeight="1">
      <c r="B267" s="85"/>
      <c r="C267" s="271"/>
      <c r="D267" s="409"/>
      <c r="E267" s="362"/>
      <c r="F267" s="410"/>
      <c r="G267" s="266"/>
      <c r="H267" s="266"/>
      <c r="I267" s="266"/>
      <c r="J267" s="266"/>
      <c r="K267" s="273"/>
      <c r="L267" s="411"/>
      <c r="M267" s="197" t="str">
        <f>IF(L266="ACG",SQRT(AV266^2+AV267^2),IF(L268="","",IF(OR(L266="oil cooled type",L266="(F)molded type"),IF(BA266=1,SQRT(AN266^2+AN267^2),IF(BA266=3,SQRT(AN268^2+AN269^2))),SQRT(AO266^2+AO267^2))))</f>
        <v/>
      </c>
      <c r="N267" s="412"/>
      <c r="O267" s="198"/>
      <c r="P267" s="90"/>
      <c r="Q267" s="199"/>
      <c r="R267" s="91"/>
      <c r="S267" s="92" t="str">
        <f>IF(R268="","",IF(Q268="",P268/R268,P268/(Q268*R268)))</f>
        <v/>
      </c>
      <c r="T267" s="200"/>
      <c r="U267" s="201" t="str">
        <f>IF(OR(BA268="",S267=""),"",S267*1000*T267/(SQRT(BA266)*BA268))</f>
        <v/>
      </c>
      <c r="V267" s="255"/>
      <c r="W267" s="248"/>
      <c r="X267" s="258"/>
      <c r="Y267" s="245"/>
      <c r="Z267" s="246"/>
      <c r="AA267" s="240"/>
      <c r="AB267" s="244"/>
      <c r="AC267" s="245"/>
      <c r="AD267" s="246"/>
      <c r="AE267" s="248"/>
      <c r="AF267" s="235" t="str">
        <f>IF(OR(AF266="",AG262&lt;&gt;""),"",AF266*AQ267/SQRT(AT266^2+AT267^2))</f>
        <v/>
      </c>
      <c r="AG267" s="274" t="str">
        <f>IF(AG266="","",100*AG266*AQ267/BA268)</f>
        <v/>
      </c>
      <c r="AH267" s="275"/>
      <c r="AI267" s="260" t="str">
        <f>IF(BA268=0,"",IF(AI262="",AX268/SQRT(AT266^2+AT267^2),IF(AI270="","",IF(AT266&lt;0,-AX266*AQ263/SQRT(AT266^2+AT267^2),AX266*AQ263/SQRT(AT266^2+AT267^2)))))</f>
        <v/>
      </c>
      <c r="AJ267" s="258"/>
      <c r="AK267" s="259"/>
      <c r="AL267" s="187"/>
      <c r="AM267" s="28"/>
      <c r="AN267" s="213" t="b">
        <f>IF(BA266="","",IF(AND(BA266=1,F268=50,L266="oil cooled type"),VLOOKUP(L268,変１,3,FALSE),IF(AND(BA266=1,F268=50,L266="(F)molded type"),VLOOKUP(L268,変１,8,FALSE),IF(AND(BA266=1,F268=60,L266="oil cooled type"),VLOOKUP(L268,変１,13,FALSE),IF(AND(BA266=1,F268=60,L266="(F)molded type"),VLOOKUP(L268,変１,18,FALSE),FALSE)))))</f>
        <v>0</v>
      </c>
      <c r="AO267" s="213">
        <f>IF(ISNA(VLOOKUP(L268,変ＵＳＥＲ,3,FALSE)),0,VLOOKUP(L268,変ＵＳＥＲ,3,FALSE)*BA269/50)</f>
        <v>0</v>
      </c>
      <c r="AP267" s="214">
        <f>IF(W266="",0,W266*1000/BA268^2/SQRT(BA266))</f>
        <v>0</v>
      </c>
      <c r="AQ267" s="213">
        <f>IF(AND(BA266=1,BA267=2),1,IF(AND(BA266=3,BA267=3),1,IF(AND(BA266=1,BA267=3),2,IF(AND(BA266=3,BA267=4)*OR(BB266=1,BB267=1,BB268=1,BB269=1),1,SQRT(3)))))</f>
        <v>1.7320508075688772</v>
      </c>
      <c r="AR267" s="215" t="str">
        <f>IF(X266="","",IF(X266="600V IV",VLOOKUP(X268,ＩＶ,3,FALSE),IF(X266="600V CV-T",VLOOKUP(X268,ＣＶＴ,3,FALSE),IF(OR(X266="600V CV-1C",X266="600V CV-2C",X266="600V CV-3C",X266="600V CV-4C"),VLOOKUP(X268,ＣＶ２３Ｃ,3,FALSE),VLOOKUP(X268,ＣＵＳＥＲ,3,FALSE)))))</f>
        <v/>
      </c>
      <c r="AS267" s="213" t="str">
        <f>IF(AD269="",AP269,AP269+(AD269/1000))</f>
        <v/>
      </c>
      <c r="AT267" s="216" t="str">
        <f>IF(AU269="",AT269,AU269)</f>
        <v/>
      </c>
      <c r="AU267" s="216" t="str">
        <f>IF(D266="","",IF(AND(D526="",#REF!&lt;&gt;"",AV269=#REF!),#REF!,IF(AND(D526="",#REF!="",#REF!&lt;&gt;"",AV529=#REF!),#REF!,IF(AND(D526="",#REF!="",#REF!="",#REF!&lt;&gt;"",#REF!=#REF!),#REF!,IF(AND(D526="",#REF!="",#REF!="",#REF!="",D530&lt;&gt;"",#REF!=#REF!),AT531,IF(AND(D526="",#REF!="",#REF!="",#REF!="",D530="",#REF!&lt;&gt;"",#REF!=AV534),AT532,IF(AND(D526="",#REF!="",#REF!="",#REF!="",D530="",#REF!="",D535&lt;&gt;"",#REF!=AV538),AT536,"")))))))</f>
        <v/>
      </c>
      <c r="AV267" s="215" t="str">
        <f>IF(L266="ACG",IF(ISNA(VLOOKUP(L268,ＡＣＧ,3,FALSE)),0,VLOOKUP(L268,ＡＣＧ,3,FALSE)*BA269/50),"")</f>
        <v/>
      </c>
      <c r="AW267" s="217" t="str">
        <f>IF(AT267="","",(AT267-AP266*(AT266^2+AT267^2))/((AT266*AP266)^2+(AP266*AT267-1)^2))</f>
        <v/>
      </c>
      <c r="AX267" s="218"/>
      <c r="AY267" s="219">
        <f>IF(N(AY269)=10^30,10^30,IF(N(AY529)=10^30,(N(AY269)*(N(AY528)^2+N(AY529)^2)+N(AY529)*(N(AY268)^2+N(AY269)^2))/((N(AY268)+N(AY528))^2+(N(AY269)+N(AY529))^2),(N(AY269)*(N(AY526)^2+N(AY527)^2)+N(AY527)*(N(AY268)^2+N(AY269)^2))/((N(AY268)+N(AY526))^2+(N(AY269)+N(AY527))^2)))</f>
        <v>1E+30</v>
      </c>
      <c r="AZ267" s="23"/>
      <c r="BA267" s="220">
        <f>IF(AND(H266="",SUM(S266:S269)&lt;&gt;0),BA263,H266)</f>
        <v>0</v>
      </c>
      <c r="BB267" s="221">
        <f t="shared" si="5"/>
        <v>0</v>
      </c>
      <c r="BC267" s="232"/>
      <c r="BD267" s="232"/>
    </row>
    <row r="268" spans="1:56" ht="15" customHeight="1">
      <c r="B268" s="85"/>
      <c r="C268" s="271"/>
      <c r="D268" s="409"/>
      <c r="E268" s="362"/>
      <c r="F268" s="413"/>
      <c r="G268" s="414"/>
      <c r="H268" s="414"/>
      <c r="I268" s="414"/>
      <c r="J268" s="414"/>
      <c r="K268" s="415"/>
      <c r="L268" s="416"/>
      <c r="M268" s="275"/>
      <c r="N268" s="412"/>
      <c r="O268" s="198"/>
      <c r="P268" s="93"/>
      <c r="Q268" s="202"/>
      <c r="R268" s="91"/>
      <c r="S268" s="92" t="str">
        <f>IF(R269="","",IF(Q269="",P269/R269,P269/(Q269*R269)))</f>
        <v/>
      </c>
      <c r="T268" s="200"/>
      <c r="U268" s="203" t="str">
        <f>IF(OR(BA268="",S268=""),"",S268*1000*T268/(SQRT(BA266)*BA268))</f>
        <v/>
      </c>
      <c r="V268" s="94" t="str">
        <f>IF(AND(N(U266)=0,N(U267)=0,N(U268)=0,N(U269)=0),"",V266*(P266*R266*T266+P267*R267*T267+P268*R268*T268+P269*R269*T269)/(P266*T266+P267*T267+P268*T268+P269*T269))</f>
        <v/>
      </c>
      <c r="W268" s="276" t="str">
        <f>IF(AND(N(AP268)=0,N(AP269)=0,N(AP267)=0),"",IF(AP269&gt;=0,COS(ATAN(AP269/AP268)),-COS(ATAN(AP269/AP268))))</f>
        <v/>
      </c>
      <c r="X268" s="95"/>
      <c r="Y268" s="204"/>
      <c r="Z268" s="96"/>
      <c r="AA268" s="97"/>
      <c r="AB268" s="98"/>
      <c r="AC268" s="204"/>
      <c r="AD268" s="96"/>
      <c r="AE268" s="99"/>
      <c r="AF268" s="236" t="str">
        <f>IF(OR(AF266="",AG262&lt;&gt;""),"",BA268/SQRT(AW268^2+AW269^2))</f>
        <v/>
      </c>
      <c r="AG268" s="274" t="str">
        <f>IF(AG266="","",100*((BA268/AQ267)-AG266)/(BA268/AQ267))</f>
        <v/>
      </c>
      <c r="AH268" s="275"/>
      <c r="AI268" s="261"/>
      <c r="AJ268" s="262"/>
      <c r="AK268" s="264"/>
      <c r="AL268" s="188"/>
      <c r="AM268" s="28"/>
      <c r="AN268" s="222" t="b">
        <f>IF(BA266="","",IF(AND(BA266=3,F268=50,L266="oil cooled type"),VLOOKUP(L268,変３,2,FALSE),IF(AND(BA266=3,F268=50,L266="(F)molded type"),VLOOKUP(L268,変３,7,FALSE),IF(AND(BA266=3,F268=60,L266="oil cooled type"),VLOOKUP(L268,変３,12,FALSE),IF(AND(BA266=3,F268=60,L266="(F)molded type"),VLOOKUP(L268,変３,17,FALSE),FALSE)))))</f>
        <v>0</v>
      </c>
      <c r="AO268" s="215" t="str">
        <f>IF(AND(L262="",N(AY266)&lt;10^29),AY266,"")</f>
        <v/>
      </c>
      <c r="AP268" s="223" t="str">
        <f>IF(V266="","",IF(AND(N(V268)=0,N(AP267)=0),"",AQ268/((AQ268*AP267)^2+(AP267*AQ269-1)^2)))</f>
        <v/>
      </c>
      <c r="AQ268" s="213">
        <f>IF(N(V268)=0,10^30,V268)</f>
        <v>1E+30</v>
      </c>
      <c r="AR268" s="215" t="str">
        <f>IF(AB266="","",IF(AB266="600V IV",VLOOKUP(AB268,ＩＶ,2,FALSE),IF(AB266="600V CV-T",VLOOKUP(AB268,ＣＶＴ,2,FALSE),IF(OR(AB266="600V CV-1C",AB266="600V CV-2C",AB266="600V CV-3C",AB266="600V CV-4C"),VLOOKUP(AB268,ＣＶ２３Ｃ,2,FALSE),VLOOKUP(AB268,ＣＵＳＥＲ,2,FALSE)))))</f>
        <v/>
      </c>
      <c r="AS268" s="213" t="str">
        <f>IF(OR(AND(AS526="",AS527=""),AND(D266="",D526&lt;&gt;"")),AS266,(AS266*(AT526^2+AT527^2)+AT526*(AS266^2+AS267^2))/((AS266+AT526)^2+(AS267+AT527)^2))</f>
        <v/>
      </c>
      <c r="AT268" s="216" t="str">
        <f>IF(X269="",AS268,N(AS268)+(X269/1000))</f>
        <v/>
      </c>
      <c r="AU268" s="216" t="str">
        <f>IF(AU266="","",(AT268*(AU266^2+AU267^2)+AU266*(AT268^2+AT269^2))/((AT268+AU266)^2+(AT269+AU267)^2))</f>
        <v/>
      </c>
      <c r="AV268" s="216">
        <f>IF(BA268=0,1,0)</f>
        <v>1</v>
      </c>
      <c r="AW268" s="217" t="str">
        <f>IF(AO268="","",AW266+AO268)</f>
        <v/>
      </c>
      <c r="AX268" s="218" t="str">
        <f>IF(AND(AX264="",AW268&lt;&gt;""),BA268*SQRT(AW266^2+AW267^2)/SQRT(AW268^2+AW269^2),IF(BA268&lt;&gt;0,AX264,""))</f>
        <v/>
      </c>
      <c r="AY268" s="224">
        <f>IF(L268="",10^30,SQRT(BA266)*(BA268^2)*(N(AN266)+N(AN268)+N(AO266)+N(AV266))/(100000*L268*M266))</f>
        <v>1E+30</v>
      </c>
      <c r="AZ268" s="225"/>
      <c r="BA268" s="220">
        <f>IF(AND(J266="",SUM(S266:S269)&lt;&gt;0),BA264,J266)</f>
        <v>0</v>
      </c>
      <c r="BB268" s="221">
        <f t="shared" si="5"/>
        <v>0</v>
      </c>
      <c r="BC268" s="232"/>
      <c r="BD268" s="232"/>
    </row>
    <row r="269" spans="1:56" ht="15" customHeight="1">
      <c r="A269" s="85"/>
      <c r="B269" s="85"/>
      <c r="C269" s="271"/>
      <c r="D269" s="417"/>
      <c r="E269" s="418"/>
      <c r="F269" s="419"/>
      <c r="G269" s="270"/>
      <c r="H269" s="270"/>
      <c r="I269" s="270"/>
      <c r="J269" s="270"/>
      <c r="K269" s="268"/>
      <c r="L269" s="251" t="str">
        <f>IF(M266="","",L268*1000*M266/(SQRT(BA266)*BA268))</f>
        <v/>
      </c>
      <c r="M269" s="252"/>
      <c r="N269" s="277"/>
      <c r="O269" s="205"/>
      <c r="P269" s="106"/>
      <c r="Q269" s="206"/>
      <c r="R269" s="107"/>
      <c r="S269" s="108" t="str">
        <f>IF(R269="","",IF(Q269="",P269/R269,P269/(Q269*R269)))</f>
        <v/>
      </c>
      <c r="T269" s="207"/>
      <c r="U269" s="208" t="str">
        <f>IF(OR(BA268="",S269=""),"",S269*1000*T269/(SQRT(BA266)*BA268))</f>
        <v/>
      </c>
      <c r="V269" s="109" t="str">
        <f>IF(AND(N(U266)=0,N(U267)=0,N(U268)=0,N(U269)=0),"",IF(V266&gt;=0,SQRT(ABS(V266^2-V268^2)),-SQRT(V266^2-V268^2)))</f>
        <v/>
      </c>
      <c r="W269" s="277"/>
      <c r="X269" s="278" t="str">
        <f>IF(Y268="","",AQ266*Z268*AR266*((1+0.00393*(F269-20))/1.2751)/Y268)</f>
        <v/>
      </c>
      <c r="Y269" s="270"/>
      <c r="Z269" s="267" t="str">
        <f>IF(Y268="","",(BA269/50)*AQ266*Z268*AR267/Y268)</f>
        <v/>
      </c>
      <c r="AA269" s="252"/>
      <c r="AB269" s="279" t="str">
        <f>IF(AC268="","",AQ266*AD268*AR268*((1+0.00393*(F269-20))/1.2751)/AC268)</f>
        <v/>
      </c>
      <c r="AC269" s="270"/>
      <c r="AD269" s="267" t="str">
        <f>IF(AC268="","",(BA269/50)*AQ266*AD268*AR269/AC268)</f>
        <v/>
      </c>
      <c r="AE269" s="268"/>
      <c r="AF269" s="237" t="str">
        <f>IF(AND(AX266&lt;&gt;"",D266=""),AX266,"")</f>
        <v/>
      </c>
      <c r="AG269" s="269" t="str">
        <f>IF(AP268="","",AP268)</f>
        <v/>
      </c>
      <c r="AH269" s="270"/>
      <c r="AI269" s="238" t="str">
        <f>IF(AP269="","",AP269)</f>
        <v/>
      </c>
      <c r="AJ269" s="263"/>
      <c r="AK269" s="253"/>
      <c r="AL269" s="189"/>
      <c r="AM269" s="28"/>
      <c r="AN269" s="226" t="b">
        <f>IF(BA266="","",IF(AND(BA266=3,F268=50,L266="oil cooled type"),VLOOKUP(L268,変３,3,FALSE),IF(AND(BA266=3,F268=50,L266="(F)molded type"),VLOOKUP(L268,変３,8,FALSE),IF(AND(BA266=3,F268=60,L266="oil cooled type"),VLOOKUP(L268,変３,13,FALSE),IF(AND(BA266=3,F268=60,L266="(F)molded type"),VLOOKUP(L268,変３,18,FALSE),FALSE)))))</f>
        <v>0</v>
      </c>
      <c r="AO269" s="226" t="str">
        <f>IF(AND(L262="",N(AY267)&lt;10^29),AY267,"")</f>
        <v/>
      </c>
      <c r="AP269" s="227" t="str">
        <f>IF(V266="","",IF(AND(N(V269)=0,N(AP267)=0),0,(AQ269-AP267*(AQ268^2+AQ269^2))/((AQ268*AP267)^2+(AP267*AQ269-1)^2)))</f>
        <v/>
      </c>
      <c r="AQ269" s="228">
        <f>IF(N(V269)=0,10^30,V269)</f>
        <v>1E+30</v>
      </c>
      <c r="AR269" s="226" t="str">
        <f>IF(AB266="","",IF(AB266="600V IV",VLOOKUP(AB268,ＩＶ,3,FALSE),IF(AB266="600V CV-T",VLOOKUP(AB268,ＣＶＴ,3,FALSE),IF(OR(AB266="600V CV-1C",AB266="600V CV-2C",AB266="600V CV-3C",AB266="600V CV-4C"),VLOOKUP(AB268,ＣＶ２３Ｃ,3,FALSE),VLOOKUP(AB268,ＣＵＳＥＲ,3,FALSE)))))</f>
        <v/>
      </c>
      <c r="AS269" s="228" t="str">
        <f>IF(OR(AND(AS526="",AS527=""),AND(D266="",D526&lt;&gt;"")),AS267,(AS267*(AT526^2+AT527^2)+AT527*(AS266^2+AS267^2))/((AS266+AT526)^2+(AS267+AT527)^2))</f>
        <v/>
      </c>
      <c r="AT269" s="229" t="str">
        <f>IF(Z269="",AS269,N(AS269)+(Z269/1000))</f>
        <v/>
      </c>
      <c r="AU269" s="229" t="str">
        <f>IF(AU267="","",(AT269*(AU266^2+AU267^2)+AU267*(AT268^2+AT269^2))/((AT268+AU266)^2+(AT269+AU267)^2))</f>
        <v/>
      </c>
      <c r="AV269" s="229">
        <f>AV265+AV268</f>
        <v>63</v>
      </c>
      <c r="AW269" s="228" t="str">
        <f>IF(AO269="","",AW267+AO269)</f>
        <v/>
      </c>
      <c r="AX269" s="230"/>
      <c r="AY269" s="224">
        <f>IF(L268="",10^30,SQRT(BA266)*(BA268^2)*(N(AN267)+N(AN269)+N(AO267)+N(AV267))/(100000*L268*M266))</f>
        <v>1E+30</v>
      </c>
      <c r="AZ269" s="225"/>
      <c r="BA269" s="220">
        <f>IF(AND(F268="",SUM(S266:S269)&lt;&gt;0),BA265,F268)</f>
        <v>0</v>
      </c>
      <c r="BB269" s="221">
        <f t="shared" si="5"/>
        <v>0</v>
      </c>
      <c r="BC269" s="232"/>
      <c r="BD269" s="232"/>
    </row>
    <row r="270" spans="1:56" ht="15" customHeight="1">
      <c r="B270" s="85"/>
      <c r="C270" s="271" t="str">
        <f>IF(BC270=1,"●","・")</f>
        <v>・</v>
      </c>
      <c r="D270" s="402"/>
      <c r="E270" s="403"/>
      <c r="F270" s="404"/>
      <c r="G270" s="265" t="str">
        <f>IF(F270="","","φ")</f>
        <v/>
      </c>
      <c r="H270" s="405"/>
      <c r="I270" s="265" t="str">
        <f>IF(H270="","","W")</f>
        <v/>
      </c>
      <c r="J270" s="405"/>
      <c r="K270" s="272" t="str">
        <f>IF(J270="","","V")</f>
        <v/>
      </c>
      <c r="L270" s="406"/>
      <c r="M270" s="407"/>
      <c r="N270" s="408"/>
      <c r="O270" s="193"/>
      <c r="P270" s="86"/>
      <c r="Q270" s="194"/>
      <c r="R270" s="87"/>
      <c r="S270" s="88" t="str">
        <f>IF(R270="","",IF(Q270="",P270/R270,P270/(Q270*R270)))</f>
        <v/>
      </c>
      <c r="T270" s="195"/>
      <c r="U270" s="196" t="str">
        <f>IF(OR(BA272="",S270=""),"",S270*1000*T270/(SQRT(BA270)*BA272))</f>
        <v/>
      </c>
      <c r="V270" s="254" t="str">
        <f>IF(AND(N(U270)=0,N(U271)=0,N(U272)=0,N(U273)=0),"",BA272/(SUM(U270:U273)))</f>
        <v/>
      </c>
      <c r="W270" s="280"/>
      <c r="X270" s="281"/>
      <c r="Y270" s="242"/>
      <c r="Z270" s="243"/>
      <c r="AA270" s="239"/>
      <c r="AB270" s="241"/>
      <c r="AC270" s="242"/>
      <c r="AD270" s="243"/>
      <c r="AE270" s="247"/>
      <c r="AF270" s="233" t="str">
        <f>IF(OR(AND(AF266="",N(BA268)=0,BA272&lt;&gt;0),D270&lt;&gt;""),AX272/AQ271,"")</f>
        <v/>
      </c>
      <c r="AG270" s="249" t="str">
        <f>IF(BA272=0,"",IF(AD272="",AX270,IF(AND(D270&lt;&gt;"",AU270=""),AX272*SQRT(AP272^2+AP273^2)/SQRT(AS270^2+AS271^2)/AQ271,AX270*SQRT(AP272^2+AP273^2)/SQRT(AS270^2+AS271^2))))</f>
        <v/>
      </c>
      <c r="AH270" s="250"/>
      <c r="AI270" s="234" t="str">
        <f>IF(AG270="","",IF(N(U270)&lt;0,-AX270*AQ271/SQRT(AS270^2+AS271^2),AX270*AQ271/SQRT(AS270^2+AS271^2)))</f>
        <v/>
      </c>
      <c r="AJ270" s="256"/>
      <c r="AK270" s="257"/>
      <c r="AL270" s="186"/>
      <c r="AM270" s="28"/>
      <c r="AN270" s="213" t="b">
        <f>IF(BA270="","",IF(AND(BA270=1,F272=50,L270="oil cooled type"),VLOOKUP(L272,変１,2,FALSE),IF(AND(BA270=1,F272=50,L270="(F)molded type"),VLOOKUP(L272,変１,7,FALSE),IF(AND(BA270=1,F272=60,L270="oil cooled type"),VLOOKUP(L272,変１,12,FALSE),IF(AND(BA270=1,F272=60,L270="(F)molded type"),VLOOKUP(L272,変１,17,FALSE),FALSE)))))</f>
        <v>0</v>
      </c>
      <c r="AO270" s="213">
        <f>IF(ISNA(VLOOKUP(L272,変ＵＳＥＲ,2,FALSE)),0,VLOOKUP(L272,変ＵＳＥＲ,2,FALSE))</f>
        <v>0</v>
      </c>
      <c r="AP270" s="214">
        <f>IF(N270="",0,N270*1000/BA272^2/SQRT(BA270))</f>
        <v>0</v>
      </c>
      <c r="AQ270" s="213" t="b">
        <f>IF(BA270=1,2,IF(BA270=3,SQRT(3),FALSE))</f>
        <v>0</v>
      </c>
      <c r="AR270" s="215" t="str">
        <f>IF(X270="","",IF(X270="600V IV",VLOOKUP(X272,ＩＶ,2,FALSE),IF(X270="600V CV-T",VLOOKUP(X272,ＣＶＴ,2,FALSE),IF(OR(X270="600V CV-1C",X270="600V CV-2C",X270="600V CV-3C",X270="600V CV-4C"),VLOOKUP(X272,ＣＶ２３Ｃ,2,FALSE),VLOOKUP(X272,ＣＵＳＥＲ,2,FALSE)))))</f>
        <v/>
      </c>
      <c r="AS270" s="213" t="str">
        <f>IF(AB273="",AP272,AP272+(AB273/1000))</f>
        <v/>
      </c>
      <c r="AT270" s="216" t="str">
        <f>IF(AU272="",AT272,AU272)</f>
        <v/>
      </c>
      <c r="AU270" s="216" t="str">
        <f>IF(D270="","",IF(AND(D530="",#REF!&lt;&gt;"",AV273=#REF!),#REF!,IF(AND(D530="",#REF!="",#REF!&lt;&gt;"",AV533=#REF!),#REF!,IF(AND(D530="",#REF!="",#REF!="",#REF!&lt;&gt;"",#REF!=#REF!),#REF!,IF(AND(D530="",#REF!="",#REF!="",#REF!="",D534&lt;&gt;"",#REF!=#REF!),AT534,IF(AND(D530="",#REF!="",#REF!="",#REF!="",D534="",#REF!&lt;&gt;"",#REF!=AV538),#REF!,IF(AND(D530="",#REF!="",#REF!="",#REF!="",D534="",#REF!="",D539&lt;&gt;"",#REF!=AV542),AT539,"")))))))</f>
        <v/>
      </c>
      <c r="AV270" s="216" t="str">
        <f>IF(L270="ACG",IF(ISNA(VLOOKUP(L272,ＡＣＧ,2,FALSE)),0,VLOOKUP(L272,ＡＣＧ,2,FALSE)),"")</f>
        <v/>
      </c>
      <c r="AW270" s="217" t="str">
        <f>IF(AT270="","",AT270/((AT270*AP270)^2+(AT271*AP270-1)^2))</f>
        <v/>
      </c>
      <c r="AX270" s="218" t="str">
        <f>IF(BA272=0,"",IF(OR(AX266="",AF270&lt;&gt;""),AF270*SQRT(AS272^2+AS273^2)/SQRT(AT272^2+AT273^2),AX266*SQRT(AS272^2+AS273^2)/SQRT(AT272^2+AT273^2)))</f>
        <v/>
      </c>
      <c r="AY270" s="219">
        <f>IF(N(AY272)=10^30,10^30,IF(N(AY532)=10^30,(N(AY272)*(N(AY532)^2+N(AY533)^2)+N(AY532)*(N(AY272)^2+N(AY273)^2))/((N(AY272)+N(AY532))^2+(N(AY273)+N(AY533))^2),(N(AY272)*(N(AY530)^2+N(AY531)^2)+N(AY530)*(N(AY272)^2+N(AY273)^2))/((N(AY272)+N(AY530))^2+(N(AY273)+N(AY531))^2)))</f>
        <v>1E+30</v>
      </c>
      <c r="AZ270" s="23"/>
      <c r="BA270" s="220">
        <f>IF(AND(F270="",SUM(S270:S273)&lt;&gt;0),BA266,F270)</f>
        <v>0</v>
      </c>
      <c r="BB270" s="221">
        <f t="shared" si="5"/>
        <v>0</v>
      </c>
      <c r="BC270" s="232">
        <f>IF(OR(E270="",F273="",AND(OR(P270="",Q270="",R270="",T270=""),OR(P271="",Q271="",R271="",T271=""),OR(P272="",Q272="",R272="",T272=""),OR(P273="",Q273="",R273="",T273="")),AND(OR(X270="",X272="",Y272="",Z272=""),OR(AB270="",AB272="",AC272="",AD272=""))),0,1)</f>
        <v>0</v>
      </c>
      <c r="BD270" s="232">
        <f>BC270+BD266</f>
        <v>0</v>
      </c>
    </row>
    <row r="271" spans="1:56" ht="15" customHeight="1">
      <c r="B271" s="85"/>
      <c r="C271" s="271"/>
      <c r="D271" s="409"/>
      <c r="E271" s="362"/>
      <c r="F271" s="410"/>
      <c r="G271" s="266"/>
      <c r="H271" s="266"/>
      <c r="I271" s="266"/>
      <c r="J271" s="266"/>
      <c r="K271" s="273"/>
      <c r="L271" s="411"/>
      <c r="M271" s="197" t="str">
        <f>IF(L270="ACG",SQRT(AV270^2+AV271^2),IF(L272="","",IF(OR(L270="oil cooled type",L270="(F)molded type"),IF(BA270=1,SQRT(AN270^2+AN271^2),IF(BA270=3,SQRT(AN272^2+AN273^2))),SQRT(AO270^2+AO271^2))))</f>
        <v/>
      </c>
      <c r="N271" s="412"/>
      <c r="O271" s="198"/>
      <c r="P271" s="90"/>
      <c r="Q271" s="199"/>
      <c r="R271" s="91"/>
      <c r="S271" s="92" t="str">
        <f>IF(R272="","",IF(Q272="",P272/R272,P272/(Q272*R272)))</f>
        <v/>
      </c>
      <c r="T271" s="200"/>
      <c r="U271" s="201" t="str">
        <f>IF(OR(BA272="",S271=""),"",S271*1000*T271/(SQRT(BA270)*BA272))</f>
        <v/>
      </c>
      <c r="V271" s="255"/>
      <c r="W271" s="248"/>
      <c r="X271" s="258"/>
      <c r="Y271" s="245"/>
      <c r="Z271" s="246"/>
      <c r="AA271" s="240"/>
      <c r="AB271" s="244"/>
      <c r="AC271" s="245"/>
      <c r="AD271" s="246"/>
      <c r="AE271" s="248"/>
      <c r="AF271" s="235" t="str">
        <f>IF(OR(AF270="",AG266&lt;&gt;""),"",AF270*AQ271/SQRT(AT270^2+AT271^2))</f>
        <v/>
      </c>
      <c r="AG271" s="274" t="str">
        <f>IF(AG270="","",100*AG270*AQ271/BA272)</f>
        <v/>
      </c>
      <c r="AH271" s="275"/>
      <c r="AI271" s="260" t="str">
        <f>IF(BA272=0,"",IF(AI266="",AX272/SQRT(AT270^2+AT271^2),IF(AI274="","",IF(AT270&lt;0,-AX270*AQ267/SQRT(AT270^2+AT271^2),AX270*AQ267/SQRT(AT270^2+AT271^2)))))</f>
        <v/>
      </c>
      <c r="AJ271" s="258"/>
      <c r="AK271" s="259"/>
      <c r="AL271" s="187"/>
      <c r="AM271" s="28"/>
      <c r="AN271" s="213" t="b">
        <f>IF(BA270="","",IF(AND(BA270=1,F272=50,L270="oil cooled type"),VLOOKUP(L272,変１,3,FALSE),IF(AND(BA270=1,F272=50,L270="(F)molded type"),VLOOKUP(L272,変１,8,FALSE),IF(AND(BA270=1,F272=60,L270="oil cooled type"),VLOOKUP(L272,変１,13,FALSE),IF(AND(BA270=1,F272=60,L270="(F)molded type"),VLOOKUP(L272,変１,18,FALSE),FALSE)))))</f>
        <v>0</v>
      </c>
      <c r="AO271" s="213">
        <f>IF(ISNA(VLOOKUP(L272,変ＵＳＥＲ,3,FALSE)),0,VLOOKUP(L272,変ＵＳＥＲ,3,FALSE)*BA273/50)</f>
        <v>0</v>
      </c>
      <c r="AP271" s="214">
        <f>IF(W270="",0,W270*1000/BA272^2/SQRT(BA270))</f>
        <v>0</v>
      </c>
      <c r="AQ271" s="213">
        <f>IF(AND(BA270=1,BA271=2),1,IF(AND(BA270=3,BA271=3),1,IF(AND(BA270=1,BA271=3),2,IF(AND(BA270=3,BA271=4)*OR(BB270=1,BB271=1,BB272=1,BB273=1),1,SQRT(3)))))</f>
        <v>1.7320508075688772</v>
      </c>
      <c r="AR271" s="215" t="str">
        <f>IF(X270="","",IF(X270="600V IV",VLOOKUP(X272,ＩＶ,3,FALSE),IF(X270="600V CV-T",VLOOKUP(X272,ＣＶＴ,3,FALSE),IF(OR(X270="600V CV-1C",X270="600V CV-2C",X270="600V CV-3C",X270="600V CV-4C"),VLOOKUP(X272,ＣＶ２３Ｃ,3,FALSE),VLOOKUP(X272,ＣＵＳＥＲ,3,FALSE)))))</f>
        <v/>
      </c>
      <c r="AS271" s="213" t="str">
        <f>IF(AD273="",AP273,AP273+(AD273/1000))</f>
        <v/>
      </c>
      <c r="AT271" s="216" t="str">
        <f>IF(AU273="",AT273,AU273)</f>
        <v/>
      </c>
      <c r="AU271" s="216" t="str">
        <f>IF(D270="","",IF(AND(D530="",#REF!&lt;&gt;"",AV273=#REF!),#REF!,IF(AND(D530="",#REF!="",#REF!&lt;&gt;"",AV533=#REF!),#REF!,IF(AND(D530="",#REF!="",#REF!="",#REF!&lt;&gt;"",#REF!=#REF!),#REF!,IF(AND(D530="",#REF!="",#REF!="",#REF!="",D534&lt;&gt;"",#REF!=#REF!),AT535,IF(AND(D530="",#REF!="",#REF!="",#REF!="",D534="",#REF!&lt;&gt;"",#REF!=AV538),AT536,IF(AND(D530="",#REF!="",#REF!="",#REF!="",D534="",#REF!="",D539&lt;&gt;"",#REF!=AV542),AT540,"")))))))</f>
        <v/>
      </c>
      <c r="AV271" s="215" t="str">
        <f>IF(L270="ACG",IF(ISNA(VLOOKUP(L272,ＡＣＧ,3,FALSE)),0,VLOOKUP(L272,ＡＣＧ,3,FALSE)*BA273/50),"")</f>
        <v/>
      </c>
      <c r="AW271" s="217" t="str">
        <f>IF(AT271="","",(AT271-AP270*(AT270^2+AT271^2))/((AT270*AP270)^2+(AP270*AT271-1)^2))</f>
        <v/>
      </c>
      <c r="AX271" s="218"/>
      <c r="AY271" s="219">
        <f>IF(N(AY273)=10^30,10^30,IF(N(AY533)=10^30,(N(AY273)*(N(AY532)^2+N(AY533)^2)+N(AY533)*(N(AY272)^2+N(AY273)^2))/((N(AY272)+N(AY532))^2+(N(AY273)+N(AY533))^2),(N(AY273)*(N(AY530)^2+N(AY531)^2)+N(AY531)*(N(AY272)^2+N(AY273)^2))/((N(AY272)+N(AY530))^2+(N(AY273)+N(AY531))^2)))</f>
        <v>1E+30</v>
      </c>
      <c r="AZ271" s="23"/>
      <c r="BA271" s="220">
        <f>IF(AND(H270="",SUM(S270:S273)&lt;&gt;0),BA267,H270)</f>
        <v>0</v>
      </c>
      <c r="BB271" s="221">
        <f t="shared" si="5"/>
        <v>0</v>
      </c>
      <c r="BC271" s="232"/>
      <c r="BD271" s="232"/>
    </row>
    <row r="272" spans="1:56" ht="15" customHeight="1">
      <c r="B272" s="85"/>
      <c r="C272" s="271"/>
      <c r="D272" s="409"/>
      <c r="E272" s="362"/>
      <c r="F272" s="413"/>
      <c r="G272" s="414"/>
      <c r="H272" s="414"/>
      <c r="I272" s="414"/>
      <c r="J272" s="414"/>
      <c r="K272" s="415"/>
      <c r="L272" s="416"/>
      <c r="M272" s="275"/>
      <c r="N272" s="412"/>
      <c r="O272" s="198"/>
      <c r="P272" s="93"/>
      <c r="Q272" s="202"/>
      <c r="R272" s="91"/>
      <c r="S272" s="92" t="str">
        <f>IF(R273="","",IF(Q273="",P273/R273,P273/(Q273*R273)))</f>
        <v/>
      </c>
      <c r="T272" s="200"/>
      <c r="U272" s="203" t="str">
        <f>IF(OR(BA272="",S272=""),"",S272*1000*T272/(SQRT(BA270)*BA272))</f>
        <v/>
      </c>
      <c r="V272" s="94" t="str">
        <f>IF(AND(N(U270)=0,N(U271)=0,N(U272)=0,N(U273)=0),"",V270*(P270*R270*T270+P271*R271*T271+P272*R272*T272+P273*R273*T273)/(P270*T270+P271*T271+P272*T272+P273*T273))</f>
        <v/>
      </c>
      <c r="W272" s="276" t="str">
        <f>IF(AND(N(AP272)=0,N(AP273)=0,N(AP271)=0),"",IF(AP273&gt;=0,COS(ATAN(AP273/AP272)),-COS(ATAN(AP273/AP272))))</f>
        <v/>
      </c>
      <c r="X272" s="95"/>
      <c r="Y272" s="204"/>
      <c r="Z272" s="96"/>
      <c r="AA272" s="97"/>
      <c r="AB272" s="98"/>
      <c r="AC272" s="204"/>
      <c r="AD272" s="96"/>
      <c r="AE272" s="99"/>
      <c r="AF272" s="236" t="str">
        <f>IF(OR(AF270="",AG266&lt;&gt;""),"",BA272/SQRT(AW272^2+AW273^2))</f>
        <v/>
      </c>
      <c r="AG272" s="274" t="str">
        <f>IF(AG270="","",100*((BA272/AQ271)-AG270)/(BA272/AQ271))</f>
        <v/>
      </c>
      <c r="AH272" s="275"/>
      <c r="AI272" s="261"/>
      <c r="AJ272" s="262"/>
      <c r="AK272" s="264"/>
      <c r="AL272" s="188"/>
      <c r="AM272" s="28"/>
      <c r="AN272" s="222" t="b">
        <f>IF(BA270="","",IF(AND(BA270=3,F272=50,L270="oil cooled type"),VLOOKUP(L272,変３,2,FALSE),IF(AND(BA270=3,F272=50,L270="(F)molded type"),VLOOKUP(L272,変３,7,FALSE),IF(AND(BA270=3,F272=60,L270="oil cooled type"),VLOOKUP(L272,変３,12,FALSE),IF(AND(BA270=3,F272=60,L270="(F)molded type"),VLOOKUP(L272,変３,17,FALSE),FALSE)))))</f>
        <v>0</v>
      </c>
      <c r="AO272" s="215" t="str">
        <f>IF(AND(L266="",N(AY270)&lt;10^29),AY270,"")</f>
        <v/>
      </c>
      <c r="AP272" s="223" t="str">
        <f>IF(V270="","",IF(AND(N(V272)=0,N(AP271)=0),"",AQ272/((AQ272*AP271)^2+(AP271*AQ273-1)^2)))</f>
        <v/>
      </c>
      <c r="AQ272" s="213">
        <f>IF(N(V272)=0,10^30,V272)</f>
        <v>1E+30</v>
      </c>
      <c r="AR272" s="215" t="str">
        <f>IF(AB270="","",IF(AB270="600V IV",VLOOKUP(AB272,ＩＶ,2,FALSE),IF(AB270="600V CV-T",VLOOKUP(AB272,ＣＶＴ,2,FALSE),IF(OR(AB270="600V CV-1C",AB270="600V CV-2C",AB270="600V CV-3C",AB270="600V CV-4C"),VLOOKUP(AB272,ＣＶ２３Ｃ,2,FALSE),VLOOKUP(AB272,ＣＵＳＥＲ,2,FALSE)))))</f>
        <v/>
      </c>
      <c r="AS272" s="213" t="str">
        <f>IF(OR(AND(AS530="",AS531=""),AND(D270="",D530&lt;&gt;"")),AS270,(AS270*(AT530^2+AT531^2)+AT530*(AS270^2+AS271^2))/((AS270+AT530)^2+(AS271+AT531)^2))</f>
        <v/>
      </c>
      <c r="AT272" s="216" t="str">
        <f>IF(X273="",AS272,N(AS272)+(X273/1000))</f>
        <v/>
      </c>
      <c r="AU272" s="216" t="str">
        <f>IF(AU270="","",(AT272*(AU270^2+AU271^2)+AU270*(AT272^2+AT273^2))/((AT272+AU270)^2+(AT273+AU271)^2))</f>
        <v/>
      </c>
      <c r="AV272" s="216">
        <f>IF(BA272=0,1,0)</f>
        <v>1</v>
      </c>
      <c r="AW272" s="217" t="str">
        <f>IF(AO272="","",AW270+AO272)</f>
        <v/>
      </c>
      <c r="AX272" s="218" t="str">
        <f>IF(AND(AX268="",AW272&lt;&gt;""),BA272*SQRT(AW270^2+AW271^2)/SQRT(AW272^2+AW273^2),IF(BA272&lt;&gt;0,AX268,""))</f>
        <v/>
      </c>
      <c r="AY272" s="224">
        <f>IF(L272="",10^30,SQRT(BA270)*(BA272^2)*(N(AN270)+N(AN272)+N(AO270)+N(AV270))/(100000*L272*M270))</f>
        <v>1E+30</v>
      </c>
      <c r="AZ272" s="225"/>
      <c r="BA272" s="220">
        <f>IF(AND(J270="",SUM(S270:S273)&lt;&gt;0),BA268,J270)</f>
        <v>0</v>
      </c>
      <c r="BB272" s="221">
        <f t="shared" si="5"/>
        <v>0</v>
      </c>
      <c r="BC272" s="232"/>
      <c r="BD272" s="232"/>
    </row>
    <row r="273" spans="1:56" ht="15" customHeight="1">
      <c r="A273" s="85"/>
      <c r="B273" s="85"/>
      <c r="C273" s="271"/>
      <c r="D273" s="417"/>
      <c r="E273" s="418"/>
      <c r="F273" s="419"/>
      <c r="G273" s="270"/>
      <c r="H273" s="270"/>
      <c r="I273" s="270"/>
      <c r="J273" s="270"/>
      <c r="K273" s="268"/>
      <c r="L273" s="251" t="str">
        <f>IF(M270="","",L272*1000*M270/(SQRT(BA270)*BA272))</f>
        <v/>
      </c>
      <c r="M273" s="252"/>
      <c r="N273" s="277"/>
      <c r="O273" s="205"/>
      <c r="P273" s="106"/>
      <c r="Q273" s="206"/>
      <c r="R273" s="107"/>
      <c r="S273" s="108" t="str">
        <f>IF(R273="","",IF(Q273="",P273/R273,P273/(Q273*R273)))</f>
        <v/>
      </c>
      <c r="T273" s="207"/>
      <c r="U273" s="208" t="str">
        <f>IF(OR(BA272="",S273=""),"",S273*1000*T273/(SQRT(BA270)*BA272))</f>
        <v/>
      </c>
      <c r="V273" s="109" t="str">
        <f>IF(AND(N(U270)=0,N(U271)=0,N(U272)=0,N(U273)=0),"",IF(V270&gt;=0,SQRT(ABS(V270^2-V272^2)),-SQRT(V270^2-V272^2)))</f>
        <v/>
      </c>
      <c r="W273" s="277"/>
      <c r="X273" s="278" t="str">
        <f>IF(Y272="","",AQ270*Z272*AR270*((1+0.00393*(F273-20))/1.2751)/Y272)</f>
        <v/>
      </c>
      <c r="Y273" s="270"/>
      <c r="Z273" s="267" t="str">
        <f>IF(Y272="","",(BA273/50)*AQ270*Z272*AR271/Y272)</f>
        <v/>
      </c>
      <c r="AA273" s="252"/>
      <c r="AB273" s="279" t="str">
        <f>IF(AC272="","",AQ270*AD272*AR272*((1+0.00393*(F273-20))/1.2751)/AC272)</f>
        <v/>
      </c>
      <c r="AC273" s="270"/>
      <c r="AD273" s="267" t="str">
        <f>IF(AC272="","",(BA273/50)*AQ270*AD272*AR273/AC272)</f>
        <v/>
      </c>
      <c r="AE273" s="268"/>
      <c r="AF273" s="237" t="str">
        <f>IF(AND(AX270&lt;&gt;"",D270=""),AX270,"")</f>
        <v/>
      </c>
      <c r="AG273" s="269" t="str">
        <f>IF(AP272="","",AP272)</f>
        <v/>
      </c>
      <c r="AH273" s="270"/>
      <c r="AI273" s="238" t="str">
        <f>IF(AP273="","",AP273)</f>
        <v/>
      </c>
      <c r="AJ273" s="263"/>
      <c r="AK273" s="253"/>
      <c r="AL273" s="189"/>
      <c r="AM273" s="28"/>
      <c r="AN273" s="226" t="b">
        <f>IF(BA270="","",IF(AND(BA270=3,F272=50,L270="oil cooled type"),VLOOKUP(L272,変３,3,FALSE),IF(AND(BA270=3,F272=50,L270="(F)molded type"),VLOOKUP(L272,変３,8,FALSE),IF(AND(BA270=3,F272=60,L270="oil cooled type"),VLOOKUP(L272,変３,13,FALSE),IF(AND(BA270=3,F272=60,L270="(F)molded type"),VLOOKUP(L272,変３,18,FALSE),FALSE)))))</f>
        <v>0</v>
      </c>
      <c r="AO273" s="226" t="str">
        <f>IF(AND(L266="",N(AY271)&lt;10^29),AY271,"")</f>
        <v/>
      </c>
      <c r="AP273" s="227" t="str">
        <f>IF(V270="","",IF(AND(N(V273)=0,N(AP271)=0),0,(AQ273-AP271*(AQ272^2+AQ273^2))/((AQ272*AP271)^2+(AP271*AQ273-1)^2)))</f>
        <v/>
      </c>
      <c r="AQ273" s="228">
        <f>IF(N(V273)=0,10^30,V273)</f>
        <v>1E+30</v>
      </c>
      <c r="AR273" s="226" t="str">
        <f>IF(AB270="","",IF(AB270="600V IV",VLOOKUP(AB272,ＩＶ,3,FALSE),IF(AB270="600V CV-T",VLOOKUP(AB272,ＣＶＴ,3,FALSE),IF(OR(AB270="600V CV-1C",AB270="600V CV-2C",AB270="600V CV-3C",AB270="600V CV-4C"),VLOOKUP(AB272,ＣＶ２３Ｃ,3,FALSE),VLOOKUP(AB272,ＣＵＳＥＲ,3,FALSE)))))</f>
        <v/>
      </c>
      <c r="AS273" s="228" t="str">
        <f>IF(OR(AND(AS530="",AS531=""),AND(D270="",D530&lt;&gt;"")),AS271,(AS271*(AT530^2+AT531^2)+AT531*(AS270^2+AS271^2))/((AS270+AT530)^2+(AS271+AT531)^2))</f>
        <v/>
      </c>
      <c r="AT273" s="229" t="str">
        <f>IF(Z273="",AS273,N(AS273)+(Z273/1000))</f>
        <v/>
      </c>
      <c r="AU273" s="229" t="str">
        <f>IF(AU271="","",(AT273*(AU270^2+AU271^2)+AU271*(AT272^2+AT273^2))/((AT272+AU270)^2+(AT273+AU271)^2))</f>
        <v/>
      </c>
      <c r="AV273" s="229">
        <f>AV269+AV272</f>
        <v>64</v>
      </c>
      <c r="AW273" s="228" t="str">
        <f>IF(AO273="","",AW271+AO273)</f>
        <v/>
      </c>
      <c r="AX273" s="230"/>
      <c r="AY273" s="224">
        <f>IF(L272="",10^30,SQRT(BA270)*(BA272^2)*(N(AN271)+N(AN273)+N(AO271)+N(AV271))/(100000*L272*M270))</f>
        <v>1E+30</v>
      </c>
      <c r="AZ273" s="225"/>
      <c r="BA273" s="220">
        <f>IF(AND(F272="",SUM(S270:S273)&lt;&gt;0),BA269,F272)</f>
        <v>0</v>
      </c>
      <c r="BB273" s="221">
        <f t="shared" si="5"/>
        <v>0</v>
      </c>
      <c r="BC273" s="232"/>
      <c r="BD273" s="232"/>
    </row>
    <row r="274" spans="1:56" ht="15" customHeight="1">
      <c r="B274" s="85"/>
      <c r="C274" s="271" t="str">
        <f>IF(BC274=1,"●","・")</f>
        <v>・</v>
      </c>
      <c r="D274" s="402"/>
      <c r="E274" s="403"/>
      <c r="F274" s="404"/>
      <c r="G274" s="265" t="str">
        <f>IF(F274="","","φ")</f>
        <v/>
      </c>
      <c r="H274" s="405"/>
      <c r="I274" s="265" t="str">
        <f>IF(H274="","","W")</f>
        <v/>
      </c>
      <c r="J274" s="405"/>
      <c r="K274" s="272" t="str">
        <f>IF(J274="","","V")</f>
        <v/>
      </c>
      <c r="L274" s="406"/>
      <c r="M274" s="407"/>
      <c r="N274" s="408"/>
      <c r="O274" s="193"/>
      <c r="P274" s="86"/>
      <c r="Q274" s="194"/>
      <c r="R274" s="87"/>
      <c r="S274" s="88" t="str">
        <f>IF(R274="","",IF(Q274="",P274/R274,P274/(Q274*R274)))</f>
        <v/>
      </c>
      <c r="T274" s="195"/>
      <c r="U274" s="196" t="str">
        <f>IF(OR(BA276="",S274=""),"",S274*1000*T274/(SQRT(BA274)*BA276))</f>
        <v/>
      </c>
      <c r="V274" s="254" t="str">
        <f>IF(AND(N(U274)=0,N(U275)=0,N(U276)=0,N(U277)=0),"",BA276/(SUM(U274:U277)))</f>
        <v/>
      </c>
      <c r="W274" s="280"/>
      <c r="X274" s="281"/>
      <c r="Y274" s="242"/>
      <c r="Z274" s="243"/>
      <c r="AA274" s="239"/>
      <c r="AB274" s="241"/>
      <c r="AC274" s="242"/>
      <c r="AD274" s="243"/>
      <c r="AE274" s="247"/>
      <c r="AF274" s="233" t="str">
        <f>IF(OR(AND(AF270="",N(BA272)=0,BA276&lt;&gt;0),D274&lt;&gt;""),AX276/AQ275,"")</f>
        <v/>
      </c>
      <c r="AG274" s="249" t="str">
        <f>IF(BA276=0,"",IF(AD276="",AX274,IF(AND(D274&lt;&gt;"",AU274=""),AX276*SQRT(AP276^2+AP277^2)/SQRT(AS274^2+AS275^2)/AQ275,AX274*SQRT(AP276^2+AP277^2)/SQRT(AS274^2+AS275^2))))</f>
        <v/>
      </c>
      <c r="AH274" s="250"/>
      <c r="AI274" s="234" t="str">
        <f>IF(AG274="","",IF(N(U274)&lt;0,-AX274*AQ275/SQRT(AS274^2+AS275^2),AX274*AQ275/SQRT(AS274^2+AS275^2)))</f>
        <v/>
      </c>
      <c r="AJ274" s="256"/>
      <c r="AK274" s="257"/>
      <c r="AL274" s="186"/>
      <c r="AM274" s="28"/>
      <c r="AN274" s="213" t="b">
        <f>IF(BA274="","",IF(AND(BA274=1,F276=50,L274="oil cooled type"),VLOOKUP(L276,変１,2,FALSE),IF(AND(BA274=1,F276=50,L274="(F)molded type"),VLOOKUP(L276,変１,7,FALSE),IF(AND(BA274=1,F276=60,L274="oil cooled type"),VLOOKUP(L276,変１,12,FALSE),IF(AND(BA274=1,F276=60,L274="(F)molded type"),VLOOKUP(L276,変１,17,FALSE),FALSE)))))</f>
        <v>0</v>
      </c>
      <c r="AO274" s="213">
        <f>IF(ISNA(VLOOKUP(L276,変ＵＳＥＲ,2,FALSE)),0,VLOOKUP(L276,変ＵＳＥＲ,2,FALSE))</f>
        <v>0</v>
      </c>
      <c r="AP274" s="214">
        <f>IF(N274="",0,N274*1000/BA276^2/SQRT(BA274))</f>
        <v>0</v>
      </c>
      <c r="AQ274" s="213" t="b">
        <f>IF(BA274=1,2,IF(BA274=3,SQRT(3),FALSE))</f>
        <v>0</v>
      </c>
      <c r="AR274" s="215" t="str">
        <f>IF(X274="","",IF(X274="600V IV",VLOOKUP(X276,ＩＶ,2,FALSE),IF(X274="600V CV-T",VLOOKUP(X276,ＣＶＴ,2,FALSE),IF(OR(X274="600V CV-1C",X274="600V CV-2C",X274="600V CV-3C",X274="600V CV-4C"),VLOOKUP(X276,ＣＶ２３Ｃ,2,FALSE),VLOOKUP(X276,ＣＵＳＥＲ,2,FALSE)))))</f>
        <v/>
      </c>
      <c r="AS274" s="213" t="str">
        <f>IF(AB277="",AP276,AP276+(AB277/1000))</f>
        <v/>
      </c>
      <c r="AT274" s="216" t="str">
        <f>IF(AU276="",AT276,AU276)</f>
        <v/>
      </c>
      <c r="AU274" s="216" t="str">
        <f>IF(D274="","",IF(AND(D534="",#REF!&lt;&gt;"",AV277=#REF!),#REF!,IF(AND(D534="",#REF!="",#REF!&lt;&gt;"",AV537=#REF!),#REF!,IF(AND(D534="",#REF!="",#REF!="",#REF!&lt;&gt;"",#REF!=#REF!),#REF!,IF(AND(D534="",#REF!="",#REF!="",#REF!="",D538&lt;&gt;"",#REF!=#REF!),AT538,IF(AND(D534="",#REF!="",#REF!="",#REF!="",D538="",#REF!&lt;&gt;"",#REF!=AV542),#REF!,IF(AND(D534="",#REF!="",#REF!="",#REF!="",D538="",#REF!="",D543&lt;&gt;"",#REF!=AV546),AT543,"")))))))</f>
        <v/>
      </c>
      <c r="AV274" s="216" t="str">
        <f>IF(L274="ACG",IF(ISNA(VLOOKUP(L276,ＡＣＧ,2,FALSE)),0,VLOOKUP(L276,ＡＣＧ,2,FALSE)),"")</f>
        <v/>
      </c>
      <c r="AW274" s="217" t="str">
        <f>IF(AT274="","",AT274/((AT274*AP274)^2+(AT275*AP274-1)^2))</f>
        <v/>
      </c>
      <c r="AX274" s="218" t="str">
        <f>IF(BA276=0,"",IF(OR(AX270="",AF274&lt;&gt;""),AF274*SQRT(AS276^2+AS277^2)/SQRT(AT276^2+AT277^2),AX270*SQRT(AS276^2+AS277^2)/SQRT(AT276^2+AT277^2)))</f>
        <v/>
      </c>
      <c r="AY274" s="219">
        <f>IF(N(AY276)=10^30,10^30,IF(N(AY536)=10^30,(N(AY276)*(N(AY536)^2+N(AY537)^2)+N(AY536)*(N(AY276)^2+N(AY277)^2))/((N(AY276)+N(AY536))^2+(N(AY277)+N(AY537))^2),(N(AY276)*(N(AY534)^2+N(AY535)^2)+N(AY534)*(N(AY276)^2+N(AY277)^2))/((N(AY276)+N(AY534))^2+(N(AY277)+N(AY535))^2)))</f>
        <v>1E+30</v>
      </c>
      <c r="AZ274" s="23"/>
      <c r="BA274" s="220">
        <f>IF(AND(F274="",SUM(S274:S277)&lt;&gt;0),BA270,F274)</f>
        <v>0</v>
      </c>
      <c r="BB274" s="221">
        <f t="shared" si="5"/>
        <v>0</v>
      </c>
      <c r="BC274" s="232">
        <f>IF(OR(E274="",F277="",AND(OR(P274="",Q274="",R274="",T274=""),OR(P275="",Q275="",R275="",T275=""),OR(P276="",Q276="",R276="",T276=""),OR(P277="",Q277="",R277="",T277="")),AND(OR(X274="",X276="",Y276="",Z276=""),OR(AB274="",AB276="",AC276="",AD276=""))),0,1)</f>
        <v>0</v>
      </c>
      <c r="BD274" s="232">
        <f>BC274+BD270</f>
        <v>0</v>
      </c>
    </row>
    <row r="275" spans="1:56" ht="15" customHeight="1">
      <c r="B275" s="85"/>
      <c r="C275" s="271"/>
      <c r="D275" s="409"/>
      <c r="E275" s="362"/>
      <c r="F275" s="410"/>
      <c r="G275" s="266"/>
      <c r="H275" s="266"/>
      <c r="I275" s="266"/>
      <c r="J275" s="266"/>
      <c r="K275" s="273"/>
      <c r="L275" s="411"/>
      <c r="M275" s="197" t="str">
        <f>IF(L274="ACG",SQRT(AV274^2+AV275^2),IF(L276="","",IF(OR(L274="oil cooled type",L274="(F)molded type"),IF(BA274=1,SQRT(AN274^2+AN275^2),IF(BA274=3,SQRT(AN276^2+AN277^2))),SQRT(AO274^2+AO275^2))))</f>
        <v/>
      </c>
      <c r="N275" s="412"/>
      <c r="O275" s="198"/>
      <c r="P275" s="90"/>
      <c r="Q275" s="199"/>
      <c r="R275" s="91"/>
      <c r="S275" s="92" t="str">
        <f>IF(R276="","",IF(Q276="",P276/R276,P276/(Q276*R276)))</f>
        <v/>
      </c>
      <c r="T275" s="200"/>
      <c r="U275" s="201" t="str">
        <f>IF(OR(BA276="",S275=""),"",S275*1000*T275/(SQRT(BA274)*BA276))</f>
        <v/>
      </c>
      <c r="V275" s="255"/>
      <c r="W275" s="248"/>
      <c r="X275" s="258"/>
      <c r="Y275" s="245"/>
      <c r="Z275" s="246"/>
      <c r="AA275" s="240"/>
      <c r="AB275" s="244"/>
      <c r="AC275" s="245"/>
      <c r="AD275" s="246"/>
      <c r="AE275" s="248"/>
      <c r="AF275" s="235" t="str">
        <f>IF(OR(AF274="",AG270&lt;&gt;""),"",AF274*AQ275/SQRT(AT274^2+AT275^2))</f>
        <v/>
      </c>
      <c r="AG275" s="274" t="str">
        <f>IF(AG274="","",100*AG274*AQ275/BA276)</f>
        <v/>
      </c>
      <c r="AH275" s="275"/>
      <c r="AI275" s="260" t="str">
        <f>IF(BA276=0,"",IF(AI270="",AX276/SQRT(AT274^2+AT275^2),IF(AI278="","",IF(AT274&lt;0,-AX274*AQ271/SQRT(AT274^2+AT275^2),AX274*AQ271/SQRT(AT274^2+AT275^2)))))</f>
        <v/>
      </c>
      <c r="AJ275" s="258"/>
      <c r="AK275" s="259"/>
      <c r="AL275" s="187"/>
      <c r="AM275" s="28"/>
      <c r="AN275" s="213" t="b">
        <f>IF(BA274="","",IF(AND(BA274=1,F276=50,L274="oil cooled type"),VLOOKUP(L276,変１,3,FALSE),IF(AND(BA274=1,F276=50,L274="(F)molded type"),VLOOKUP(L276,変１,8,FALSE),IF(AND(BA274=1,F276=60,L274="oil cooled type"),VLOOKUP(L276,変１,13,FALSE),IF(AND(BA274=1,F276=60,L274="(F)molded type"),VLOOKUP(L276,変１,18,FALSE),FALSE)))))</f>
        <v>0</v>
      </c>
      <c r="AO275" s="213">
        <f>IF(ISNA(VLOOKUP(L276,変ＵＳＥＲ,3,FALSE)),0,VLOOKUP(L276,変ＵＳＥＲ,3,FALSE)*BA277/50)</f>
        <v>0</v>
      </c>
      <c r="AP275" s="214">
        <f>IF(W274="",0,W274*1000/BA276^2/SQRT(BA274))</f>
        <v>0</v>
      </c>
      <c r="AQ275" s="213">
        <f>IF(AND(BA274=1,BA275=2),1,IF(AND(BA274=3,BA275=3),1,IF(AND(BA274=1,BA275=3),2,IF(AND(BA274=3,BA275=4)*OR(BB274=1,BB275=1,BB276=1,BB277=1),1,SQRT(3)))))</f>
        <v>1.7320508075688772</v>
      </c>
      <c r="AR275" s="215" t="str">
        <f>IF(X274="","",IF(X274="600V IV",VLOOKUP(X276,ＩＶ,3,FALSE),IF(X274="600V CV-T",VLOOKUP(X276,ＣＶＴ,3,FALSE),IF(OR(X274="600V CV-1C",X274="600V CV-2C",X274="600V CV-3C",X274="600V CV-4C"),VLOOKUP(X276,ＣＶ２３Ｃ,3,FALSE),VLOOKUP(X276,ＣＵＳＥＲ,3,FALSE)))))</f>
        <v/>
      </c>
      <c r="AS275" s="213" t="str">
        <f>IF(AD277="",AP277,AP277+(AD277/1000))</f>
        <v/>
      </c>
      <c r="AT275" s="216" t="str">
        <f>IF(AU277="",AT277,AU277)</f>
        <v/>
      </c>
      <c r="AU275" s="216" t="str">
        <f>IF(D274="","",IF(AND(D534="",#REF!&lt;&gt;"",AV277=#REF!),#REF!,IF(AND(D534="",#REF!="",#REF!&lt;&gt;"",AV537=#REF!),#REF!,IF(AND(D534="",#REF!="",#REF!="",#REF!&lt;&gt;"",#REF!=#REF!),#REF!,IF(AND(D534="",#REF!="",#REF!="",#REF!="",D538&lt;&gt;"",#REF!=#REF!),AT539,IF(AND(D534="",#REF!="",#REF!="",#REF!="",D538="",#REF!&lt;&gt;"",#REF!=AV542),AT540,IF(AND(D534="",#REF!="",#REF!="",#REF!="",D538="",#REF!="",D543&lt;&gt;"",#REF!=AV546),AT544,"")))))))</f>
        <v/>
      </c>
      <c r="AV275" s="215" t="str">
        <f>IF(L274="ACG",IF(ISNA(VLOOKUP(L276,ＡＣＧ,3,FALSE)),0,VLOOKUP(L276,ＡＣＧ,3,FALSE)*BA277/50),"")</f>
        <v/>
      </c>
      <c r="AW275" s="217" t="str">
        <f>IF(AT275="","",(AT275-AP274*(AT274^2+AT275^2))/((AT274*AP274)^2+(AP274*AT275-1)^2))</f>
        <v/>
      </c>
      <c r="AX275" s="218"/>
      <c r="AY275" s="219">
        <f>IF(N(AY277)=10^30,10^30,IF(N(AY537)=10^30,(N(AY277)*(N(AY536)^2+N(AY537)^2)+N(AY537)*(N(AY276)^2+N(AY277)^2))/((N(AY276)+N(AY536))^2+(N(AY277)+N(AY537))^2),(N(AY277)*(N(AY534)^2+N(AY535)^2)+N(AY535)*(N(AY276)^2+N(AY277)^2))/((N(AY276)+N(AY534))^2+(N(AY277)+N(AY535))^2)))</f>
        <v>1E+30</v>
      </c>
      <c r="AZ275" s="23"/>
      <c r="BA275" s="220">
        <f>IF(AND(H274="",SUM(S274:S277)&lt;&gt;0),BA271,H274)</f>
        <v>0</v>
      </c>
      <c r="BB275" s="221">
        <f t="shared" si="5"/>
        <v>0</v>
      </c>
      <c r="BC275" s="232"/>
      <c r="BD275" s="232"/>
    </row>
    <row r="276" spans="1:56" ht="15" customHeight="1">
      <c r="B276" s="85"/>
      <c r="C276" s="271"/>
      <c r="D276" s="409"/>
      <c r="E276" s="362"/>
      <c r="F276" s="413"/>
      <c r="G276" s="414"/>
      <c r="H276" s="414"/>
      <c r="I276" s="414"/>
      <c r="J276" s="414"/>
      <c r="K276" s="415"/>
      <c r="L276" s="416"/>
      <c r="M276" s="275"/>
      <c r="N276" s="412"/>
      <c r="O276" s="198"/>
      <c r="P276" s="93"/>
      <c r="Q276" s="202"/>
      <c r="R276" s="91"/>
      <c r="S276" s="92" t="str">
        <f>IF(R277="","",IF(Q277="",P277/R277,P277/(Q277*R277)))</f>
        <v/>
      </c>
      <c r="T276" s="200"/>
      <c r="U276" s="203" t="str">
        <f>IF(OR(BA276="",S276=""),"",S276*1000*T276/(SQRT(BA274)*BA276))</f>
        <v/>
      </c>
      <c r="V276" s="94" t="str">
        <f>IF(AND(N(U274)=0,N(U275)=0,N(U276)=0,N(U277)=0),"",V274*(P274*R274*T274+P275*R275*T275+P276*R276*T276+P277*R277*T277)/(P274*T274+P275*T275+P276*T276+P277*T277))</f>
        <v/>
      </c>
      <c r="W276" s="276" t="str">
        <f>IF(AND(N(AP276)=0,N(AP277)=0,N(AP275)=0),"",IF(AP277&gt;=0,COS(ATAN(AP277/AP276)),-COS(ATAN(AP277/AP276))))</f>
        <v/>
      </c>
      <c r="X276" s="95"/>
      <c r="Y276" s="204"/>
      <c r="Z276" s="96"/>
      <c r="AA276" s="97"/>
      <c r="AB276" s="98"/>
      <c r="AC276" s="204"/>
      <c r="AD276" s="96"/>
      <c r="AE276" s="99"/>
      <c r="AF276" s="236" t="str">
        <f>IF(OR(AF274="",AG270&lt;&gt;""),"",BA276/SQRT(AW276^2+AW277^2))</f>
        <v/>
      </c>
      <c r="AG276" s="274" t="str">
        <f>IF(AG274="","",100*((BA276/AQ275)-AG274)/(BA276/AQ275))</f>
        <v/>
      </c>
      <c r="AH276" s="275"/>
      <c r="AI276" s="261"/>
      <c r="AJ276" s="262"/>
      <c r="AK276" s="264"/>
      <c r="AL276" s="188"/>
      <c r="AM276" s="28"/>
      <c r="AN276" s="222" t="b">
        <f>IF(BA274="","",IF(AND(BA274=3,F276=50,L274="oil cooled type"),VLOOKUP(L276,変３,2,FALSE),IF(AND(BA274=3,F276=50,L274="(F)molded type"),VLOOKUP(L276,変３,7,FALSE),IF(AND(BA274=3,F276=60,L274="oil cooled type"),VLOOKUP(L276,変３,12,FALSE),IF(AND(BA274=3,F276=60,L274="(F)molded type"),VLOOKUP(L276,変３,17,FALSE),FALSE)))))</f>
        <v>0</v>
      </c>
      <c r="AO276" s="215" t="str">
        <f>IF(AND(L270="",N(AY274)&lt;10^29),AY274,"")</f>
        <v/>
      </c>
      <c r="AP276" s="223" t="str">
        <f>IF(V274="","",IF(AND(N(V276)=0,N(AP275)=0),"",AQ276/((AQ276*AP275)^2+(AP275*AQ277-1)^2)))</f>
        <v/>
      </c>
      <c r="AQ276" s="213">
        <f>IF(N(V276)=0,10^30,V276)</f>
        <v>1E+30</v>
      </c>
      <c r="AR276" s="215" t="str">
        <f>IF(AB274="","",IF(AB274="600V IV",VLOOKUP(AB276,ＩＶ,2,FALSE),IF(AB274="600V CV-T",VLOOKUP(AB276,ＣＶＴ,2,FALSE),IF(OR(AB274="600V CV-1C",AB274="600V CV-2C",AB274="600V CV-3C",AB274="600V CV-4C"),VLOOKUP(AB276,ＣＶ２３Ｃ,2,FALSE),VLOOKUP(AB276,ＣＵＳＥＲ,2,FALSE)))))</f>
        <v/>
      </c>
      <c r="AS276" s="213" t="str">
        <f>IF(OR(AND(AS534="",AS535=""),AND(D274="",D534&lt;&gt;"")),AS274,(AS274*(AT534^2+AT535^2)+AT534*(AS274^2+AS275^2))/((AS274+AT534)^2+(AS275+AT535)^2))</f>
        <v/>
      </c>
      <c r="AT276" s="216" t="str">
        <f>IF(X277="",AS276,N(AS276)+(X277/1000))</f>
        <v/>
      </c>
      <c r="AU276" s="216" t="str">
        <f>IF(AU274="","",(AT276*(AU274^2+AU275^2)+AU274*(AT276^2+AT277^2))/((AT276+AU274)^2+(AT277+AU275)^2))</f>
        <v/>
      </c>
      <c r="AV276" s="216">
        <f>IF(BA276=0,1,0)</f>
        <v>1</v>
      </c>
      <c r="AW276" s="217" t="str">
        <f>IF(AO276="","",AW274+AO276)</f>
        <v/>
      </c>
      <c r="AX276" s="218" t="str">
        <f>IF(AND(AX272="",AW276&lt;&gt;""),BA276*SQRT(AW274^2+AW275^2)/SQRT(AW276^2+AW277^2),IF(BA276&lt;&gt;0,AX272,""))</f>
        <v/>
      </c>
      <c r="AY276" s="224">
        <f>IF(L276="",10^30,SQRT(BA274)*(BA276^2)*(N(AN274)+N(AN276)+N(AO274)+N(AV274))/(100000*L276*M274))</f>
        <v>1E+30</v>
      </c>
      <c r="AZ276" s="225"/>
      <c r="BA276" s="220">
        <f>IF(AND(J274="",SUM(S274:S277)&lt;&gt;0),BA272,J274)</f>
        <v>0</v>
      </c>
      <c r="BB276" s="221">
        <f t="shared" si="5"/>
        <v>0</v>
      </c>
      <c r="BC276" s="232"/>
      <c r="BD276" s="232"/>
    </row>
    <row r="277" spans="1:56" ht="15" customHeight="1">
      <c r="A277" s="85"/>
      <c r="B277" s="85"/>
      <c r="C277" s="271"/>
      <c r="D277" s="417"/>
      <c r="E277" s="418"/>
      <c r="F277" s="419"/>
      <c r="G277" s="270"/>
      <c r="H277" s="270"/>
      <c r="I277" s="270"/>
      <c r="J277" s="270"/>
      <c r="K277" s="268"/>
      <c r="L277" s="251" t="str">
        <f>IF(M274="","",L276*1000*M274/(SQRT(BA274)*BA276))</f>
        <v/>
      </c>
      <c r="M277" s="252"/>
      <c r="N277" s="277"/>
      <c r="O277" s="205"/>
      <c r="P277" s="106"/>
      <c r="Q277" s="206"/>
      <c r="R277" s="107"/>
      <c r="S277" s="108" t="str">
        <f>IF(R277="","",IF(Q277="",P277/R277,P277/(Q277*R277)))</f>
        <v/>
      </c>
      <c r="T277" s="207"/>
      <c r="U277" s="208" t="str">
        <f>IF(OR(BA276="",S277=""),"",S277*1000*T277/(SQRT(BA274)*BA276))</f>
        <v/>
      </c>
      <c r="V277" s="109" t="str">
        <f>IF(AND(N(U274)=0,N(U275)=0,N(U276)=0,N(U277)=0),"",IF(V274&gt;=0,SQRT(ABS(V274^2-V276^2)),-SQRT(V274^2-V276^2)))</f>
        <v/>
      </c>
      <c r="W277" s="277"/>
      <c r="X277" s="278" t="str">
        <f>IF(Y276="","",AQ274*Z276*AR274*((1+0.00393*(F277-20))/1.2751)/Y276)</f>
        <v/>
      </c>
      <c r="Y277" s="270"/>
      <c r="Z277" s="267" t="str">
        <f>IF(Y276="","",(BA277/50)*AQ274*Z276*AR275/Y276)</f>
        <v/>
      </c>
      <c r="AA277" s="252"/>
      <c r="AB277" s="279" t="str">
        <f>IF(AC276="","",AQ274*AD276*AR276*((1+0.00393*(F277-20))/1.2751)/AC276)</f>
        <v/>
      </c>
      <c r="AC277" s="270"/>
      <c r="AD277" s="267" t="str">
        <f>IF(AC276="","",(BA277/50)*AQ274*AD276*AR277/AC276)</f>
        <v/>
      </c>
      <c r="AE277" s="268"/>
      <c r="AF277" s="237" t="str">
        <f>IF(AND(AX274&lt;&gt;"",D274=""),AX274,"")</f>
        <v/>
      </c>
      <c r="AG277" s="269" t="str">
        <f>IF(AP276="","",AP276)</f>
        <v/>
      </c>
      <c r="AH277" s="270"/>
      <c r="AI277" s="238" t="str">
        <f>IF(AP277="","",AP277)</f>
        <v/>
      </c>
      <c r="AJ277" s="263"/>
      <c r="AK277" s="253"/>
      <c r="AL277" s="189"/>
      <c r="AM277" s="28"/>
      <c r="AN277" s="226" t="b">
        <f>IF(BA274="","",IF(AND(BA274=3,F276=50,L274="oil cooled type"),VLOOKUP(L276,変３,3,FALSE),IF(AND(BA274=3,F276=50,L274="(F)molded type"),VLOOKUP(L276,変３,8,FALSE),IF(AND(BA274=3,F276=60,L274="oil cooled type"),VLOOKUP(L276,変３,13,FALSE),IF(AND(BA274=3,F276=60,L274="(F)molded type"),VLOOKUP(L276,変３,18,FALSE),FALSE)))))</f>
        <v>0</v>
      </c>
      <c r="AO277" s="226" t="str">
        <f>IF(AND(L270="",N(AY275)&lt;10^29),AY275,"")</f>
        <v/>
      </c>
      <c r="AP277" s="227" t="str">
        <f>IF(V274="","",IF(AND(N(V277)=0,N(AP275)=0),0,(AQ277-AP275*(AQ276^2+AQ277^2))/((AQ276*AP275)^2+(AP275*AQ277-1)^2)))</f>
        <v/>
      </c>
      <c r="AQ277" s="228">
        <f>IF(N(V277)=0,10^30,V277)</f>
        <v>1E+30</v>
      </c>
      <c r="AR277" s="226" t="str">
        <f>IF(AB274="","",IF(AB274="600V IV",VLOOKUP(AB276,ＩＶ,3,FALSE),IF(AB274="600V CV-T",VLOOKUP(AB276,ＣＶＴ,3,FALSE),IF(OR(AB274="600V CV-1C",AB274="600V CV-2C",AB274="600V CV-3C",AB274="600V CV-4C"),VLOOKUP(AB276,ＣＶ２３Ｃ,3,FALSE),VLOOKUP(AB276,ＣＵＳＥＲ,3,FALSE)))))</f>
        <v/>
      </c>
      <c r="AS277" s="228" t="str">
        <f>IF(OR(AND(AS534="",AS535=""),AND(D274="",D534&lt;&gt;"")),AS275,(AS275*(AT534^2+AT535^2)+AT535*(AS274^2+AS275^2))/((AS274+AT534)^2+(AS275+AT535)^2))</f>
        <v/>
      </c>
      <c r="AT277" s="229" t="str">
        <f>IF(Z277="",AS277,N(AS277)+(Z277/1000))</f>
        <v/>
      </c>
      <c r="AU277" s="229" t="str">
        <f>IF(AU275="","",(AT277*(AU274^2+AU275^2)+AU275*(AT276^2+AT277^2))/((AT276+AU274)^2+(AT277+AU275)^2))</f>
        <v/>
      </c>
      <c r="AV277" s="229">
        <f>AV273+AV276</f>
        <v>65</v>
      </c>
      <c r="AW277" s="228" t="str">
        <f>IF(AO277="","",AW275+AO277)</f>
        <v/>
      </c>
      <c r="AX277" s="230"/>
      <c r="AY277" s="224">
        <f>IF(L276="",10^30,SQRT(BA274)*(BA276^2)*(N(AN275)+N(AN277)+N(AO275)+N(AV275))/(100000*L276*M274))</f>
        <v>1E+30</v>
      </c>
      <c r="AZ277" s="225"/>
      <c r="BA277" s="220">
        <f>IF(AND(F276="",SUM(S274:S277)&lt;&gt;0),BA273,F276)</f>
        <v>0</v>
      </c>
      <c r="BB277" s="221">
        <f t="shared" si="5"/>
        <v>0</v>
      </c>
      <c r="BC277" s="232"/>
      <c r="BD277" s="232"/>
    </row>
    <row r="278" spans="1:56" ht="15" customHeight="1">
      <c r="B278" s="85"/>
      <c r="C278" s="271" t="str">
        <f>IF(BC278=1,"●","・")</f>
        <v>・</v>
      </c>
      <c r="D278" s="402"/>
      <c r="E278" s="403"/>
      <c r="F278" s="404"/>
      <c r="G278" s="265" t="str">
        <f>IF(F278="","","φ")</f>
        <v/>
      </c>
      <c r="H278" s="405"/>
      <c r="I278" s="265" t="str">
        <f>IF(H278="","","W")</f>
        <v/>
      </c>
      <c r="J278" s="405"/>
      <c r="K278" s="272" t="str">
        <f>IF(J278="","","V")</f>
        <v/>
      </c>
      <c r="L278" s="406"/>
      <c r="M278" s="407"/>
      <c r="N278" s="408"/>
      <c r="O278" s="193"/>
      <c r="P278" s="86"/>
      <c r="Q278" s="194"/>
      <c r="R278" s="87"/>
      <c r="S278" s="88" t="str">
        <f>IF(R278="","",IF(Q278="",P278/R278,P278/(Q278*R278)))</f>
        <v/>
      </c>
      <c r="T278" s="195"/>
      <c r="U278" s="196" t="str">
        <f>IF(OR(BA280="",S278=""),"",S278*1000*T278/(SQRT(BA278)*BA280))</f>
        <v/>
      </c>
      <c r="V278" s="254" t="str">
        <f>IF(AND(N(U278)=0,N(U279)=0,N(U280)=0,N(U281)=0),"",BA280/(SUM(U278:U281)))</f>
        <v/>
      </c>
      <c r="W278" s="280"/>
      <c r="X278" s="281"/>
      <c r="Y278" s="242"/>
      <c r="Z278" s="243"/>
      <c r="AA278" s="239"/>
      <c r="AB278" s="241"/>
      <c r="AC278" s="242"/>
      <c r="AD278" s="243"/>
      <c r="AE278" s="247"/>
      <c r="AF278" s="233" t="str">
        <f>IF(OR(AND(AF274="",N(BA276)=0,BA280&lt;&gt;0),D278&lt;&gt;""),AX280/AQ279,"")</f>
        <v/>
      </c>
      <c r="AG278" s="249" t="str">
        <f>IF(BA280=0,"",IF(AD280="",AX278,IF(AND(D278&lt;&gt;"",AU278=""),AX280*SQRT(AP280^2+AP281^2)/SQRT(AS278^2+AS279^2)/AQ279,AX278*SQRT(AP280^2+AP281^2)/SQRT(AS278^2+AS279^2))))</f>
        <v/>
      </c>
      <c r="AH278" s="250"/>
      <c r="AI278" s="234" t="str">
        <f>IF(AG278="","",IF(N(U278)&lt;0,-AX278*AQ279/SQRT(AS278^2+AS279^2),AX278*AQ279/SQRT(AS278^2+AS279^2)))</f>
        <v/>
      </c>
      <c r="AJ278" s="256"/>
      <c r="AK278" s="257"/>
      <c r="AL278" s="186"/>
      <c r="AM278" s="28"/>
      <c r="AN278" s="213" t="b">
        <f>IF(BA278="","",IF(AND(BA278=1,F280=50,L278="oil cooled type"),VLOOKUP(L280,変１,2,FALSE),IF(AND(BA278=1,F280=50,L278="(F)molded type"),VLOOKUP(L280,変１,7,FALSE),IF(AND(BA278=1,F280=60,L278="oil cooled type"),VLOOKUP(L280,変１,12,FALSE),IF(AND(BA278=1,F280=60,L278="(F)molded type"),VLOOKUP(L280,変１,17,FALSE),FALSE)))))</f>
        <v>0</v>
      </c>
      <c r="AO278" s="213">
        <f>IF(ISNA(VLOOKUP(L280,変ＵＳＥＲ,2,FALSE)),0,VLOOKUP(L280,変ＵＳＥＲ,2,FALSE))</f>
        <v>0</v>
      </c>
      <c r="AP278" s="214">
        <f>IF(N278="",0,N278*1000/BA280^2/SQRT(BA278))</f>
        <v>0</v>
      </c>
      <c r="AQ278" s="213" t="b">
        <f>IF(BA278=1,2,IF(BA278=3,SQRT(3),FALSE))</f>
        <v>0</v>
      </c>
      <c r="AR278" s="215" t="str">
        <f>IF(X278="","",IF(X278="600V IV",VLOOKUP(X280,ＩＶ,2,FALSE),IF(X278="600V CV-T",VLOOKUP(X280,ＣＶＴ,2,FALSE),IF(OR(X278="600V CV-1C",X278="600V CV-2C",X278="600V CV-3C",X278="600V CV-4C"),VLOOKUP(X280,ＣＶ２３Ｃ,2,FALSE),VLOOKUP(X280,ＣＵＳＥＲ,2,FALSE)))))</f>
        <v/>
      </c>
      <c r="AS278" s="213" t="str">
        <f>IF(AB281="",AP280,AP280+(AB281/1000))</f>
        <v/>
      </c>
      <c r="AT278" s="216" t="str">
        <f>IF(AU280="",AT280,AU280)</f>
        <v/>
      </c>
      <c r="AU278" s="216" t="str">
        <f>IF(D278="","",IF(AND(D538="",#REF!&lt;&gt;"",AV281=#REF!),#REF!,IF(AND(D538="",#REF!="",#REF!&lt;&gt;"",AV541=#REF!),#REF!,IF(AND(D538="",#REF!="",#REF!="",#REF!&lt;&gt;"",#REF!=#REF!),#REF!,IF(AND(D538="",#REF!="",#REF!="",#REF!="",D542&lt;&gt;"",#REF!=#REF!),AT542,IF(AND(D538="",#REF!="",#REF!="",#REF!="",D542="",#REF!&lt;&gt;"",#REF!=AV546),#REF!,IF(AND(D538="",#REF!="",#REF!="",#REF!="",D542="",#REF!="",D547&lt;&gt;"",#REF!=AV550),AT547,"")))))))</f>
        <v/>
      </c>
      <c r="AV278" s="216" t="str">
        <f>IF(L278="ACG",IF(ISNA(VLOOKUP(L280,ＡＣＧ,2,FALSE)),0,VLOOKUP(L280,ＡＣＧ,2,FALSE)),"")</f>
        <v/>
      </c>
      <c r="AW278" s="217" t="str">
        <f>IF(AT278="","",AT278/((AT278*AP278)^2+(AT279*AP278-1)^2))</f>
        <v/>
      </c>
      <c r="AX278" s="218" t="str">
        <f>IF(BA280=0,"",IF(OR(AX274="",AF278&lt;&gt;""),AF278*SQRT(AS280^2+AS281^2)/SQRT(AT280^2+AT281^2),AX274*SQRT(AS280^2+AS281^2)/SQRT(AT280^2+AT281^2)))</f>
        <v/>
      </c>
      <c r="AY278" s="219">
        <f>IF(N(AY280)=10^30,10^30,IF(N(AY540)=10^30,(N(AY280)*(N(AY540)^2+N(AY541)^2)+N(AY540)*(N(AY280)^2+N(AY281)^2))/((N(AY280)+N(AY540))^2+(N(AY281)+N(AY541))^2),(N(AY280)*(N(AY538)^2+N(AY539)^2)+N(AY538)*(N(AY280)^2+N(AY281)^2))/((N(AY280)+N(AY538))^2+(N(AY281)+N(AY539))^2)))</f>
        <v>1E+30</v>
      </c>
      <c r="AZ278" s="23"/>
      <c r="BA278" s="220">
        <f>IF(AND(F278="",SUM(S278:S281)&lt;&gt;0),BA274,F278)</f>
        <v>0</v>
      </c>
      <c r="BB278" s="221">
        <f t="shared" si="5"/>
        <v>0</v>
      </c>
      <c r="BC278" s="232">
        <f>IF(OR(E278="",F281="",AND(OR(P278="",Q278="",R278="",T278=""),OR(P279="",Q279="",R279="",T279=""),OR(P280="",Q280="",R280="",T280=""),OR(P281="",Q281="",R281="",T281="")),AND(OR(X278="",X280="",Y280="",Z280=""),OR(AB278="",AB280="",AC280="",AD280=""))),0,1)</f>
        <v>0</v>
      </c>
      <c r="BD278" s="232">
        <f>BC278+BD274</f>
        <v>0</v>
      </c>
    </row>
    <row r="279" spans="1:56" ht="15" customHeight="1">
      <c r="B279" s="85"/>
      <c r="C279" s="271"/>
      <c r="D279" s="409"/>
      <c r="E279" s="362"/>
      <c r="F279" s="410"/>
      <c r="G279" s="266"/>
      <c r="H279" s="266"/>
      <c r="I279" s="266"/>
      <c r="J279" s="266"/>
      <c r="K279" s="273"/>
      <c r="L279" s="411"/>
      <c r="M279" s="197" t="str">
        <f>IF(L278="ACG",SQRT(AV278^2+AV279^2),IF(L280="","",IF(OR(L278="oil cooled type",L278="(F)molded type"),IF(BA278=1,SQRT(AN278^2+AN279^2),IF(BA278=3,SQRT(AN280^2+AN281^2))),SQRT(AO278^2+AO279^2))))</f>
        <v/>
      </c>
      <c r="N279" s="412"/>
      <c r="O279" s="198"/>
      <c r="P279" s="90"/>
      <c r="Q279" s="199"/>
      <c r="R279" s="91"/>
      <c r="S279" s="92" t="str">
        <f>IF(R280="","",IF(Q280="",P280/R280,P280/(Q280*R280)))</f>
        <v/>
      </c>
      <c r="T279" s="200"/>
      <c r="U279" s="201" t="str">
        <f>IF(OR(BA280="",S279=""),"",S279*1000*T279/(SQRT(BA278)*BA280))</f>
        <v/>
      </c>
      <c r="V279" s="255"/>
      <c r="W279" s="248"/>
      <c r="X279" s="258"/>
      <c r="Y279" s="245"/>
      <c r="Z279" s="246"/>
      <c r="AA279" s="240"/>
      <c r="AB279" s="244"/>
      <c r="AC279" s="245"/>
      <c r="AD279" s="246"/>
      <c r="AE279" s="248"/>
      <c r="AF279" s="235" t="str">
        <f>IF(OR(AF278="",AG274&lt;&gt;""),"",AF278*AQ279/SQRT(AT278^2+AT279^2))</f>
        <v/>
      </c>
      <c r="AG279" s="274" t="str">
        <f>IF(AG278="","",100*AG278*AQ279/BA280)</f>
        <v/>
      </c>
      <c r="AH279" s="275"/>
      <c r="AI279" s="260" t="str">
        <f>IF(BA280=0,"",IF(AI274="",AX280/SQRT(AT278^2+AT279^2),IF(AI282="","",IF(AT278&lt;0,-AX278*AQ275/SQRT(AT278^2+AT279^2),AX278*AQ275/SQRT(AT278^2+AT279^2)))))</f>
        <v/>
      </c>
      <c r="AJ279" s="258"/>
      <c r="AK279" s="259"/>
      <c r="AL279" s="187"/>
      <c r="AM279" s="28"/>
      <c r="AN279" s="213" t="b">
        <f>IF(BA278="","",IF(AND(BA278=1,F280=50,L278="oil cooled type"),VLOOKUP(L280,変１,3,FALSE),IF(AND(BA278=1,F280=50,L278="(F)molded type"),VLOOKUP(L280,変１,8,FALSE),IF(AND(BA278=1,F280=60,L278="oil cooled type"),VLOOKUP(L280,変１,13,FALSE),IF(AND(BA278=1,F280=60,L278="(F)molded type"),VLOOKUP(L280,変１,18,FALSE),FALSE)))))</f>
        <v>0</v>
      </c>
      <c r="AO279" s="213">
        <f>IF(ISNA(VLOOKUP(L280,変ＵＳＥＲ,3,FALSE)),0,VLOOKUP(L280,変ＵＳＥＲ,3,FALSE)*BA281/50)</f>
        <v>0</v>
      </c>
      <c r="AP279" s="214">
        <f>IF(W278="",0,W278*1000/BA280^2/SQRT(BA278))</f>
        <v>0</v>
      </c>
      <c r="AQ279" s="213">
        <f>IF(AND(BA278=1,BA279=2),1,IF(AND(BA278=3,BA279=3),1,IF(AND(BA278=1,BA279=3),2,IF(AND(BA278=3,BA279=4)*OR(BB278=1,BB279=1,BB280=1,BB281=1),1,SQRT(3)))))</f>
        <v>1.7320508075688772</v>
      </c>
      <c r="AR279" s="215" t="str">
        <f>IF(X278="","",IF(X278="600V IV",VLOOKUP(X280,ＩＶ,3,FALSE),IF(X278="600V CV-T",VLOOKUP(X280,ＣＶＴ,3,FALSE),IF(OR(X278="600V CV-1C",X278="600V CV-2C",X278="600V CV-3C",X278="600V CV-4C"),VLOOKUP(X280,ＣＶ２３Ｃ,3,FALSE),VLOOKUP(X280,ＣＵＳＥＲ,3,FALSE)))))</f>
        <v/>
      </c>
      <c r="AS279" s="213" t="str">
        <f>IF(AD281="",AP281,AP281+(AD281/1000))</f>
        <v/>
      </c>
      <c r="AT279" s="216" t="str">
        <f>IF(AU281="",AT281,AU281)</f>
        <v/>
      </c>
      <c r="AU279" s="216" t="str">
        <f>IF(D278="","",IF(AND(D538="",#REF!&lt;&gt;"",AV281=#REF!),#REF!,IF(AND(D538="",#REF!="",#REF!&lt;&gt;"",AV541=#REF!),#REF!,IF(AND(D538="",#REF!="",#REF!="",#REF!&lt;&gt;"",#REF!=#REF!),#REF!,IF(AND(D538="",#REF!="",#REF!="",#REF!="",D542&lt;&gt;"",#REF!=#REF!),AT543,IF(AND(D538="",#REF!="",#REF!="",#REF!="",D542="",#REF!&lt;&gt;"",#REF!=AV546),AT544,IF(AND(D538="",#REF!="",#REF!="",#REF!="",D542="",#REF!="",D547&lt;&gt;"",#REF!=AV550),AT548,"")))))))</f>
        <v/>
      </c>
      <c r="AV279" s="215" t="str">
        <f>IF(L278="ACG",IF(ISNA(VLOOKUP(L280,ＡＣＧ,3,FALSE)),0,VLOOKUP(L280,ＡＣＧ,3,FALSE)*BA281/50),"")</f>
        <v/>
      </c>
      <c r="AW279" s="217" t="str">
        <f>IF(AT279="","",(AT279-AP278*(AT278^2+AT279^2))/((AT278*AP278)^2+(AP278*AT279-1)^2))</f>
        <v/>
      </c>
      <c r="AX279" s="218"/>
      <c r="AY279" s="219">
        <f>IF(N(AY281)=10^30,10^30,IF(N(AY541)=10^30,(N(AY281)*(N(AY540)^2+N(AY541)^2)+N(AY541)*(N(AY280)^2+N(AY281)^2))/((N(AY280)+N(AY540))^2+(N(AY281)+N(AY541))^2),(N(AY281)*(N(AY538)^2+N(AY539)^2)+N(AY539)*(N(AY280)^2+N(AY281)^2))/((N(AY280)+N(AY538))^2+(N(AY281)+N(AY539))^2)))</f>
        <v>1E+30</v>
      </c>
      <c r="AZ279" s="23"/>
      <c r="BA279" s="220">
        <f>IF(AND(H278="",SUM(S278:S281)&lt;&gt;0),BA275,H278)</f>
        <v>0</v>
      </c>
      <c r="BB279" s="221">
        <f t="shared" si="5"/>
        <v>0</v>
      </c>
      <c r="BC279" s="232"/>
      <c r="BD279" s="232"/>
    </row>
    <row r="280" spans="1:56" ht="15" customHeight="1">
      <c r="B280" s="85"/>
      <c r="C280" s="271"/>
      <c r="D280" s="409"/>
      <c r="E280" s="362"/>
      <c r="F280" s="413"/>
      <c r="G280" s="414"/>
      <c r="H280" s="414"/>
      <c r="I280" s="414"/>
      <c r="J280" s="414"/>
      <c r="K280" s="415"/>
      <c r="L280" s="416"/>
      <c r="M280" s="275"/>
      <c r="N280" s="412"/>
      <c r="O280" s="198"/>
      <c r="P280" s="93"/>
      <c r="Q280" s="202"/>
      <c r="R280" s="91"/>
      <c r="S280" s="92" t="str">
        <f>IF(R281="","",IF(Q281="",P281/R281,P281/(Q281*R281)))</f>
        <v/>
      </c>
      <c r="T280" s="200"/>
      <c r="U280" s="203" t="str">
        <f>IF(OR(BA280="",S280=""),"",S280*1000*T280/(SQRT(BA278)*BA280))</f>
        <v/>
      </c>
      <c r="V280" s="94" t="str">
        <f>IF(AND(N(U278)=0,N(U279)=0,N(U280)=0,N(U281)=0),"",V278*(P278*R278*T278+P279*R279*T279+P280*R280*T280+P281*R281*T281)/(P278*T278+P279*T279+P280*T280+P281*T281))</f>
        <v/>
      </c>
      <c r="W280" s="276" t="str">
        <f>IF(AND(N(AP280)=0,N(AP281)=0,N(AP279)=0),"",IF(AP281&gt;=0,COS(ATAN(AP281/AP280)),-COS(ATAN(AP281/AP280))))</f>
        <v/>
      </c>
      <c r="X280" s="95"/>
      <c r="Y280" s="204"/>
      <c r="Z280" s="96"/>
      <c r="AA280" s="97"/>
      <c r="AB280" s="98"/>
      <c r="AC280" s="204"/>
      <c r="AD280" s="96"/>
      <c r="AE280" s="99"/>
      <c r="AF280" s="236" t="str">
        <f>IF(OR(AF278="",AG274&lt;&gt;""),"",BA280/SQRT(AW280^2+AW281^2))</f>
        <v/>
      </c>
      <c r="AG280" s="274" t="str">
        <f>IF(AG278="","",100*((BA280/AQ279)-AG278)/(BA280/AQ279))</f>
        <v/>
      </c>
      <c r="AH280" s="275"/>
      <c r="AI280" s="261"/>
      <c r="AJ280" s="262"/>
      <c r="AK280" s="264"/>
      <c r="AL280" s="188"/>
      <c r="AM280" s="28"/>
      <c r="AN280" s="222" t="b">
        <f>IF(BA278="","",IF(AND(BA278=3,F280=50,L278="oil cooled type"),VLOOKUP(L280,変３,2,FALSE),IF(AND(BA278=3,F280=50,L278="(F)molded type"),VLOOKUP(L280,変３,7,FALSE),IF(AND(BA278=3,F280=60,L278="oil cooled type"),VLOOKUP(L280,変３,12,FALSE),IF(AND(BA278=3,F280=60,L278="(F)molded type"),VLOOKUP(L280,変３,17,FALSE),FALSE)))))</f>
        <v>0</v>
      </c>
      <c r="AO280" s="215" t="str">
        <f>IF(AND(L274="",N(AY278)&lt;10^29),AY278,"")</f>
        <v/>
      </c>
      <c r="AP280" s="223" t="str">
        <f>IF(V278="","",IF(AND(N(V280)=0,N(AP279)=0),"",AQ280/((AQ280*AP279)^2+(AP279*AQ281-1)^2)))</f>
        <v/>
      </c>
      <c r="AQ280" s="213">
        <f>IF(N(V280)=0,10^30,V280)</f>
        <v>1E+30</v>
      </c>
      <c r="AR280" s="215" t="str">
        <f>IF(AB278="","",IF(AB278="600V IV",VLOOKUP(AB280,ＩＶ,2,FALSE),IF(AB278="600V CV-T",VLOOKUP(AB280,ＣＶＴ,2,FALSE),IF(OR(AB278="600V CV-1C",AB278="600V CV-2C",AB278="600V CV-3C",AB278="600V CV-4C"),VLOOKUP(AB280,ＣＶ２３Ｃ,2,FALSE),VLOOKUP(AB280,ＣＵＳＥＲ,2,FALSE)))))</f>
        <v/>
      </c>
      <c r="AS280" s="213" t="str">
        <f>IF(OR(AND(AS538="",AS539=""),AND(D278="",D538&lt;&gt;"")),AS278,(AS278*(AT538^2+AT539^2)+AT538*(AS278^2+AS279^2))/((AS278+AT538)^2+(AS279+AT539)^2))</f>
        <v/>
      </c>
      <c r="AT280" s="216" t="str">
        <f>IF(X281="",AS280,N(AS280)+(X281/1000))</f>
        <v/>
      </c>
      <c r="AU280" s="216" t="str">
        <f>IF(AU278="","",(AT280*(AU278^2+AU279^2)+AU278*(AT280^2+AT281^2))/((AT280+AU278)^2+(AT281+AU279)^2))</f>
        <v/>
      </c>
      <c r="AV280" s="216">
        <f>IF(BA280=0,1,0)</f>
        <v>1</v>
      </c>
      <c r="AW280" s="217" t="str">
        <f>IF(AO280="","",AW278+AO280)</f>
        <v/>
      </c>
      <c r="AX280" s="218" t="str">
        <f>IF(AND(AX276="",AW280&lt;&gt;""),BA280*SQRT(AW278^2+AW279^2)/SQRT(AW280^2+AW281^2),IF(BA280&lt;&gt;0,AX276,""))</f>
        <v/>
      </c>
      <c r="AY280" s="224">
        <f>IF(L280="",10^30,SQRT(BA278)*(BA280^2)*(N(AN278)+N(AN280)+N(AO278)+N(AV278))/(100000*L280*M278))</f>
        <v>1E+30</v>
      </c>
      <c r="AZ280" s="225"/>
      <c r="BA280" s="220">
        <f>IF(AND(J278="",SUM(S278:S281)&lt;&gt;0),BA276,J278)</f>
        <v>0</v>
      </c>
      <c r="BB280" s="221">
        <f t="shared" si="5"/>
        <v>0</v>
      </c>
      <c r="BC280" s="232"/>
      <c r="BD280" s="232"/>
    </row>
    <row r="281" spans="1:56" ht="15" customHeight="1">
      <c r="A281" s="85"/>
      <c r="B281" s="85"/>
      <c r="C281" s="271"/>
      <c r="D281" s="417"/>
      <c r="E281" s="418"/>
      <c r="F281" s="419"/>
      <c r="G281" s="270"/>
      <c r="H281" s="270"/>
      <c r="I281" s="270"/>
      <c r="J281" s="270"/>
      <c r="K281" s="268"/>
      <c r="L281" s="251" t="str">
        <f>IF(M278="","",L280*1000*M278/(SQRT(BA278)*BA280))</f>
        <v/>
      </c>
      <c r="M281" s="252"/>
      <c r="N281" s="277"/>
      <c r="O281" s="205"/>
      <c r="P281" s="106"/>
      <c r="Q281" s="206"/>
      <c r="R281" s="107"/>
      <c r="S281" s="108" t="str">
        <f>IF(R281="","",IF(Q281="",P281/R281,P281/(Q281*R281)))</f>
        <v/>
      </c>
      <c r="T281" s="207"/>
      <c r="U281" s="208" t="str">
        <f>IF(OR(BA280="",S281=""),"",S281*1000*T281/(SQRT(BA278)*BA280))</f>
        <v/>
      </c>
      <c r="V281" s="109" t="str">
        <f>IF(AND(N(U278)=0,N(U279)=0,N(U280)=0,N(U281)=0),"",IF(V278&gt;=0,SQRT(ABS(V278^2-V280^2)),-SQRT(V278^2-V280^2)))</f>
        <v/>
      </c>
      <c r="W281" s="277"/>
      <c r="X281" s="278" t="str">
        <f>IF(Y280="","",AQ278*Z280*AR278*((1+0.00393*(F281-20))/1.2751)/Y280)</f>
        <v/>
      </c>
      <c r="Y281" s="270"/>
      <c r="Z281" s="267" t="str">
        <f>IF(Y280="","",(BA281/50)*AQ278*Z280*AR279/Y280)</f>
        <v/>
      </c>
      <c r="AA281" s="252"/>
      <c r="AB281" s="279" t="str">
        <f>IF(AC280="","",AQ278*AD280*AR280*((1+0.00393*(F281-20))/1.2751)/AC280)</f>
        <v/>
      </c>
      <c r="AC281" s="270"/>
      <c r="AD281" s="267" t="str">
        <f>IF(AC280="","",(BA281/50)*AQ278*AD280*AR281/AC280)</f>
        <v/>
      </c>
      <c r="AE281" s="268"/>
      <c r="AF281" s="237" t="str">
        <f>IF(AND(AX278&lt;&gt;"",D278=""),AX278,"")</f>
        <v/>
      </c>
      <c r="AG281" s="269" t="str">
        <f>IF(AP280="","",AP280)</f>
        <v/>
      </c>
      <c r="AH281" s="270"/>
      <c r="AI281" s="238" t="str">
        <f>IF(AP281="","",AP281)</f>
        <v/>
      </c>
      <c r="AJ281" s="263"/>
      <c r="AK281" s="253"/>
      <c r="AL281" s="189"/>
      <c r="AM281" s="28"/>
      <c r="AN281" s="226" t="b">
        <f>IF(BA278="","",IF(AND(BA278=3,F280=50,L278="oil cooled type"),VLOOKUP(L280,変３,3,FALSE),IF(AND(BA278=3,F280=50,L278="(F)molded type"),VLOOKUP(L280,変３,8,FALSE),IF(AND(BA278=3,F280=60,L278="oil cooled type"),VLOOKUP(L280,変３,13,FALSE),IF(AND(BA278=3,F280=60,L278="(F)molded type"),VLOOKUP(L280,変３,18,FALSE),FALSE)))))</f>
        <v>0</v>
      </c>
      <c r="AO281" s="226" t="str">
        <f>IF(AND(L274="",N(AY279)&lt;10^29),AY279,"")</f>
        <v/>
      </c>
      <c r="AP281" s="227" t="str">
        <f>IF(V278="","",IF(AND(N(V281)=0,N(AP279)=0),0,(AQ281-AP279*(AQ280^2+AQ281^2))/((AQ280*AP279)^2+(AP279*AQ281-1)^2)))</f>
        <v/>
      </c>
      <c r="AQ281" s="228">
        <f>IF(N(V281)=0,10^30,V281)</f>
        <v>1E+30</v>
      </c>
      <c r="AR281" s="226" t="str">
        <f>IF(AB278="","",IF(AB278="600V IV",VLOOKUP(AB280,ＩＶ,3,FALSE),IF(AB278="600V CV-T",VLOOKUP(AB280,ＣＶＴ,3,FALSE),IF(OR(AB278="600V CV-1C",AB278="600V CV-2C",AB278="600V CV-3C",AB278="600V CV-4C"),VLOOKUP(AB280,ＣＶ２３Ｃ,3,FALSE),VLOOKUP(AB280,ＣＵＳＥＲ,3,FALSE)))))</f>
        <v/>
      </c>
      <c r="AS281" s="228" t="str">
        <f>IF(OR(AND(AS538="",AS539=""),AND(D278="",D538&lt;&gt;"")),AS279,(AS279*(AT538^2+AT539^2)+AT539*(AS278^2+AS279^2))/((AS278+AT538)^2+(AS279+AT539)^2))</f>
        <v/>
      </c>
      <c r="AT281" s="229" t="str">
        <f>IF(Z281="",AS281,N(AS281)+(Z281/1000))</f>
        <v/>
      </c>
      <c r="AU281" s="229" t="str">
        <f>IF(AU279="","",(AT281*(AU278^2+AU279^2)+AU279*(AT280^2+AT281^2))/((AT280+AU278)^2+(AT281+AU279)^2))</f>
        <v/>
      </c>
      <c r="AV281" s="229">
        <f>AV277+AV280</f>
        <v>66</v>
      </c>
      <c r="AW281" s="228" t="str">
        <f>IF(AO281="","",AW279+AO281)</f>
        <v/>
      </c>
      <c r="AX281" s="230"/>
      <c r="AY281" s="224">
        <f>IF(L280="",10^30,SQRT(BA278)*(BA280^2)*(N(AN279)+N(AN281)+N(AO279)+N(AV279))/(100000*L280*M278))</f>
        <v>1E+30</v>
      </c>
      <c r="AZ281" s="225"/>
      <c r="BA281" s="220">
        <f>IF(AND(F280="",SUM(S278:S281)&lt;&gt;0),BA277,F280)</f>
        <v>0</v>
      </c>
      <c r="BB281" s="221">
        <f t="shared" si="5"/>
        <v>0</v>
      </c>
      <c r="BC281" s="232"/>
      <c r="BD281" s="232"/>
    </row>
    <row r="282" spans="1:56" ht="15" customHeight="1">
      <c r="B282" s="85"/>
      <c r="C282" s="271" t="str">
        <f>IF(BC282=1,"●","・")</f>
        <v>・</v>
      </c>
      <c r="D282" s="402"/>
      <c r="E282" s="403"/>
      <c r="F282" s="404"/>
      <c r="G282" s="265" t="str">
        <f>IF(F282="","","φ")</f>
        <v/>
      </c>
      <c r="H282" s="405"/>
      <c r="I282" s="265" t="str">
        <f>IF(H282="","","W")</f>
        <v/>
      </c>
      <c r="J282" s="405"/>
      <c r="K282" s="272" t="str">
        <f>IF(J282="","","V")</f>
        <v/>
      </c>
      <c r="L282" s="406"/>
      <c r="M282" s="407"/>
      <c r="N282" s="408"/>
      <c r="O282" s="193"/>
      <c r="P282" s="86"/>
      <c r="Q282" s="194"/>
      <c r="R282" s="87"/>
      <c r="S282" s="88" t="str">
        <f>IF(R282="","",IF(Q282="",P282/R282,P282/(Q282*R282)))</f>
        <v/>
      </c>
      <c r="T282" s="195"/>
      <c r="U282" s="196" t="str">
        <f>IF(OR(BA284="",S282=""),"",S282*1000*T282/(SQRT(BA282)*BA284))</f>
        <v/>
      </c>
      <c r="V282" s="254" t="str">
        <f>IF(AND(N(U282)=0,N(U283)=0,N(U284)=0,N(U285)=0),"",BA284/(SUM(U282:U285)))</f>
        <v/>
      </c>
      <c r="W282" s="280"/>
      <c r="X282" s="281"/>
      <c r="Y282" s="242"/>
      <c r="Z282" s="243"/>
      <c r="AA282" s="239"/>
      <c r="AB282" s="241"/>
      <c r="AC282" s="242"/>
      <c r="AD282" s="243"/>
      <c r="AE282" s="247"/>
      <c r="AF282" s="233" t="str">
        <f>IF(OR(AND(AF278="",N(BA280)=0,BA284&lt;&gt;0),D282&lt;&gt;""),AX284/AQ283,"")</f>
        <v/>
      </c>
      <c r="AG282" s="249" t="str">
        <f>IF(BA284=0,"",IF(AD284="",AX282,IF(AND(D282&lt;&gt;"",AU282=""),AX284*SQRT(AP284^2+AP285^2)/SQRT(AS282^2+AS283^2)/AQ283,AX282*SQRT(AP284^2+AP285^2)/SQRT(AS282^2+AS283^2))))</f>
        <v/>
      </c>
      <c r="AH282" s="250"/>
      <c r="AI282" s="234" t="str">
        <f>IF(AG282="","",IF(N(U282)&lt;0,-AX282*AQ283/SQRT(AS282^2+AS283^2),AX282*AQ283/SQRT(AS282^2+AS283^2)))</f>
        <v/>
      </c>
      <c r="AJ282" s="256"/>
      <c r="AK282" s="257"/>
      <c r="AL282" s="186"/>
      <c r="AM282" s="28"/>
      <c r="AN282" s="213" t="b">
        <f>IF(BA282="","",IF(AND(BA282=1,F284=50,L282="oil cooled type"),VLOOKUP(L284,変１,2,FALSE),IF(AND(BA282=1,F284=50,L282="(F)molded type"),VLOOKUP(L284,変１,7,FALSE),IF(AND(BA282=1,F284=60,L282="oil cooled type"),VLOOKUP(L284,変１,12,FALSE),IF(AND(BA282=1,F284=60,L282="(F)molded type"),VLOOKUP(L284,変１,17,FALSE),FALSE)))))</f>
        <v>0</v>
      </c>
      <c r="AO282" s="213">
        <f>IF(ISNA(VLOOKUP(L284,変ＵＳＥＲ,2,FALSE)),0,VLOOKUP(L284,変ＵＳＥＲ,2,FALSE))</f>
        <v>0</v>
      </c>
      <c r="AP282" s="214">
        <f>IF(N282="",0,N282*1000/BA284^2/SQRT(BA282))</f>
        <v>0</v>
      </c>
      <c r="AQ282" s="213" t="b">
        <f>IF(BA282=1,2,IF(BA282=3,SQRT(3),FALSE))</f>
        <v>0</v>
      </c>
      <c r="AR282" s="215" t="str">
        <f>IF(X282="","",IF(X282="600V IV",VLOOKUP(X284,ＩＶ,2,FALSE),IF(X282="600V CV-T",VLOOKUP(X284,ＣＶＴ,2,FALSE),IF(OR(X282="600V CV-1C",X282="600V CV-2C",X282="600V CV-3C",X282="600V CV-4C"),VLOOKUP(X284,ＣＶ２３Ｃ,2,FALSE),VLOOKUP(X284,ＣＵＳＥＲ,2,FALSE)))))</f>
        <v/>
      </c>
      <c r="AS282" s="213" t="str">
        <f>IF(AB285="",AP284,AP284+(AB285/1000))</f>
        <v/>
      </c>
      <c r="AT282" s="216" t="str">
        <f>IF(AU284="",AT284,AU284)</f>
        <v/>
      </c>
      <c r="AU282" s="216" t="str">
        <f>IF(D282="","",IF(AND(D542="",#REF!&lt;&gt;"",AV285=#REF!),#REF!,IF(AND(D542="",#REF!="",#REF!&lt;&gt;"",AV545=#REF!),#REF!,IF(AND(D542="",#REF!="",#REF!="",#REF!&lt;&gt;"",#REF!=#REF!),#REF!,IF(AND(D542="",#REF!="",#REF!="",#REF!="",D546&lt;&gt;"",#REF!=#REF!),AT546,IF(AND(D542="",#REF!="",#REF!="",#REF!="",D546="",#REF!&lt;&gt;"",#REF!=AV550),#REF!,IF(AND(D542="",#REF!="",#REF!="",#REF!="",D546="",#REF!="",D551&lt;&gt;"",#REF!=AV554),AT551,"")))))))</f>
        <v/>
      </c>
      <c r="AV282" s="216" t="str">
        <f>IF(L282="ACG",IF(ISNA(VLOOKUP(L284,ＡＣＧ,2,FALSE)),0,VLOOKUP(L284,ＡＣＧ,2,FALSE)),"")</f>
        <v/>
      </c>
      <c r="AW282" s="217" t="str">
        <f>IF(AT282="","",AT282/((AT282*AP282)^2+(AT283*AP282-1)^2))</f>
        <v/>
      </c>
      <c r="AX282" s="218" t="str">
        <f>IF(BA284=0,"",IF(OR(AX278="",AF282&lt;&gt;""),AF282*SQRT(AS284^2+AS285^2)/SQRT(AT284^2+AT285^2),AX278*SQRT(AS284^2+AS285^2)/SQRT(AT284^2+AT285^2)))</f>
        <v/>
      </c>
      <c r="AY282" s="219">
        <f>IF(N(AY284)=10^30,10^30,IF(N(AY544)=10^30,(N(AY284)*(N(AY544)^2+N(AY545)^2)+N(AY544)*(N(AY284)^2+N(AY285)^2))/((N(AY284)+N(AY544))^2+(N(AY285)+N(AY545))^2),(N(AY284)*(N(AY542)^2+N(AY543)^2)+N(AY542)*(N(AY284)^2+N(AY285)^2))/((N(AY284)+N(AY542))^2+(N(AY285)+N(AY543))^2)))</f>
        <v>1E+30</v>
      </c>
      <c r="AZ282" s="23"/>
      <c r="BA282" s="220">
        <f>IF(AND(F282="",SUM(S282:S285)&lt;&gt;0),BA278,F282)</f>
        <v>0</v>
      </c>
      <c r="BB282" s="221">
        <f t="shared" si="5"/>
        <v>0</v>
      </c>
      <c r="BC282" s="232">
        <f>IF(OR(E282="",F285="",AND(OR(P282="",Q282="",R282="",T282=""),OR(P283="",Q283="",R283="",T283=""),OR(P284="",Q284="",R284="",T284=""),OR(P285="",Q285="",R285="",T285="")),AND(OR(X282="",X284="",Y284="",Z284=""),OR(AB282="",AB284="",AC284="",AD284=""))),0,1)</f>
        <v>0</v>
      </c>
      <c r="BD282" s="232">
        <f>BC282+BD278</f>
        <v>0</v>
      </c>
    </row>
    <row r="283" spans="1:56" ht="15" customHeight="1">
      <c r="B283" s="85"/>
      <c r="C283" s="271"/>
      <c r="D283" s="409"/>
      <c r="E283" s="362"/>
      <c r="F283" s="410"/>
      <c r="G283" s="266"/>
      <c r="H283" s="266"/>
      <c r="I283" s="266"/>
      <c r="J283" s="266"/>
      <c r="K283" s="273"/>
      <c r="L283" s="411"/>
      <c r="M283" s="197" t="str">
        <f>IF(L282="ACG",SQRT(AV282^2+AV283^2),IF(L284="","",IF(OR(L282="oil cooled type",L282="(F)molded type"),IF(BA282=1,SQRT(AN282^2+AN283^2),IF(BA282=3,SQRT(AN284^2+AN285^2))),SQRT(AO282^2+AO283^2))))</f>
        <v/>
      </c>
      <c r="N283" s="412"/>
      <c r="O283" s="198"/>
      <c r="P283" s="90"/>
      <c r="Q283" s="199"/>
      <c r="R283" s="91"/>
      <c r="S283" s="92" t="str">
        <f>IF(R284="","",IF(Q284="",P284/R284,P284/(Q284*R284)))</f>
        <v/>
      </c>
      <c r="T283" s="200"/>
      <c r="U283" s="201" t="str">
        <f>IF(OR(BA284="",S283=""),"",S283*1000*T283/(SQRT(BA282)*BA284))</f>
        <v/>
      </c>
      <c r="V283" s="255"/>
      <c r="W283" s="248"/>
      <c r="X283" s="258"/>
      <c r="Y283" s="245"/>
      <c r="Z283" s="246"/>
      <c r="AA283" s="240"/>
      <c r="AB283" s="244"/>
      <c r="AC283" s="245"/>
      <c r="AD283" s="246"/>
      <c r="AE283" s="248"/>
      <c r="AF283" s="235" t="str">
        <f>IF(OR(AF282="",AG278&lt;&gt;""),"",AF282*AQ283/SQRT(AT282^2+AT283^2))</f>
        <v/>
      </c>
      <c r="AG283" s="274" t="str">
        <f>IF(AG282="","",100*AG282*AQ283/BA284)</f>
        <v/>
      </c>
      <c r="AH283" s="275"/>
      <c r="AI283" s="260" t="str">
        <f>IF(BA284=0,"",IF(AI278="",AX284/SQRT(AT282^2+AT283^2),IF(AI286="","",IF(AT282&lt;0,-AX282*AQ279/SQRT(AT282^2+AT283^2),AX282*AQ279/SQRT(AT282^2+AT283^2)))))</f>
        <v/>
      </c>
      <c r="AJ283" s="258"/>
      <c r="AK283" s="259"/>
      <c r="AL283" s="187"/>
      <c r="AM283" s="28"/>
      <c r="AN283" s="213" t="b">
        <f>IF(BA282="","",IF(AND(BA282=1,F284=50,L282="oil cooled type"),VLOOKUP(L284,変１,3,FALSE),IF(AND(BA282=1,F284=50,L282="(F)molded type"),VLOOKUP(L284,変１,8,FALSE),IF(AND(BA282=1,F284=60,L282="oil cooled type"),VLOOKUP(L284,変１,13,FALSE),IF(AND(BA282=1,F284=60,L282="(F)molded type"),VLOOKUP(L284,変１,18,FALSE),FALSE)))))</f>
        <v>0</v>
      </c>
      <c r="AO283" s="213">
        <f>IF(ISNA(VLOOKUP(L284,変ＵＳＥＲ,3,FALSE)),0,VLOOKUP(L284,変ＵＳＥＲ,3,FALSE)*BA285/50)</f>
        <v>0</v>
      </c>
      <c r="AP283" s="214">
        <f>IF(W282="",0,W282*1000/BA284^2/SQRT(BA282))</f>
        <v>0</v>
      </c>
      <c r="AQ283" s="213">
        <f>IF(AND(BA282=1,BA283=2),1,IF(AND(BA282=3,BA283=3),1,IF(AND(BA282=1,BA283=3),2,IF(AND(BA282=3,BA283=4)*OR(BB282=1,BB283=1,BB284=1,BB285=1),1,SQRT(3)))))</f>
        <v>1.7320508075688772</v>
      </c>
      <c r="AR283" s="215" t="str">
        <f>IF(X282="","",IF(X282="600V IV",VLOOKUP(X284,ＩＶ,3,FALSE),IF(X282="600V CV-T",VLOOKUP(X284,ＣＶＴ,3,FALSE),IF(OR(X282="600V CV-1C",X282="600V CV-2C",X282="600V CV-3C",X282="600V CV-4C"),VLOOKUP(X284,ＣＶ２３Ｃ,3,FALSE),VLOOKUP(X284,ＣＵＳＥＲ,3,FALSE)))))</f>
        <v/>
      </c>
      <c r="AS283" s="213" t="str">
        <f>IF(AD285="",AP285,AP285+(AD285/1000))</f>
        <v/>
      </c>
      <c r="AT283" s="216" t="str">
        <f>IF(AU285="",AT285,AU285)</f>
        <v/>
      </c>
      <c r="AU283" s="216" t="str">
        <f>IF(D282="","",IF(AND(D542="",#REF!&lt;&gt;"",AV285=#REF!),#REF!,IF(AND(D542="",#REF!="",#REF!&lt;&gt;"",AV545=#REF!),#REF!,IF(AND(D542="",#REF!="",#REF!="",#REF!&lt;&gt;"",#REF!=#REF!),#REF!,IF(AND(D542="",#REF!="",#REF!="",#REF!="",D546&lt;&gt;"",#REF!=#REF!),AT547,IF(AND(D542="",#REF!="",#REF!="",#REF!="",D546="",#REF!&lt;&gt;"",#REF!=AV550),AT548,IF(AND(D542="",#REF!="",#REF!="",#REF!="",D546="",#REF!="",D551&lt;&gt;"",#REF!=AV554),AT552,"")))))))</f>
        <v/>
      </c>
      <c r="AV283" s="215" t="str">
        <f>IF(L282="ACG",IF(ISNA(VLOOKUP(L284,ＡＣＧ,3,FALSE)),0,VLOOKUP(L284,ＡＣＧ,3,FALSE)*BA285/50),"")</f>
        <v/>
      </c>
      <c r="AW283" s="217" t="str">
        <f>IF(AT283="","",(AT283-AP282*(AT282^2+AT283^2))/((AT282*AP282)^2+(AP282*AT283-1)^2))</f>
        <v/>
      </c>
      <c r="AX283" s="218"/>
      <c r="AY283" s="219">
        <f>IF(N(AY285)=10^30,10^30,IF(N(AY545)=10^30,(N(AY285)*(N(AY544)^2+N(AY545)^2)+N(AY545)*(N(AY284)^2+N(AY285)^2))/((N(AY284)+N(AY544))^2+(N(AY285)+N(AY545))^2),(N(AY285)*(N(AY542)^2+N(AY543)^2)+N(AY543)*(N(AY284)^2+N(AY285)^2))/((N(AY284)+N(AY542))^2+(N(AY285)+N(AY543))^2)))</f>
        <v>1E+30</v>
      </c>
      <c r="AZ283" s="23"/>
      <c r="BA283" s="220">
        <f>IF(AND(H282="",SUM(S282:S285)&lt;&gt;0),BA279,H282)</f>
        <v>0</v>
      </c>
      <c r="BB283" s="221">
        <f t="shared" si="5"/>
        <v>0</v>
      </c>
      <c r="BC283" s="232"/>
      <c r="BD283" s="232"/>
    </row>
    <row r="284" spans="1:56" ht="15" customHeight="1">
      <c r="B284" s="85"/>
      <c r="C284" s="271"/>
      <c r="D284" s="409"/>
      <c r="E284" s="362"/>
      <c r="F284" s="413"/>
      <c r="G284" s="414"/>
      <c r="H284" s="414"/>
      <c r="I284" s="414"/>
      <c r="J284" s="414"/>
      <c r="K284" s="415"/>
      <c r="L284" s="416"/>
      <c r="M284" s="275"/>
      <c r="N284" s="412"/>
      <c r="O284" s="198"/>
      <c r="P284" s="93"/>
      <c r="Q284" s="202"/>
      <c r="R284" s="91"/>
      <c r="S284" s="92" t="str">
        <f>IF(R285="","",IF(Q285="",P285/R285,P285/(Q285*R285)))</f>
        <v/>
      </c>
      <c r="T284" s="200"/>
      <c r="U284" s="203" t="str">
        <f>IF(OR(BA284="",S284=""),"",S284*1000*T284/(SQRT(BA282)*BA284))</f>
        <v/>
      </c>
      <c r="V284" s="94" t="str">
        <f>IF(AND(N(U282)=0,N(U283)=0,N(U284)=0,N(U285)=0),"",V282*(P282*R282*T282+P283*R283*T283+P284*R284*T284+P285*R285*T285)/(P282*T282+P283*T283+P284*T284+P285*T285))</f>
        <v/>
      </c>
      <c r="W284" s="276" t="str">
        <f>IF(AND(N(AP284)=0,N(AP285)=0,N(AP283)=0),"",IF(AP285&gt;=0,COS(ATAN(AP285/AP284)),-COS(ATAN(AP285/AP284))))</f>
        <v/>
      </c>
      <c r="X284" s="95"/>
      <c r="Y284" s="204"/>
      <c r="Z284" s="96"/>
      <c r="AA284" s="97"/>
      <c r="AB284" s="98"/>
      <c r="AC284" s="204"/>
      <c r="AD284" s="96"/>
      <c r="AE284" s="99"/>
      <c r="AF284" s="236" t="str">
        <f>IF(OR(AF282="",AG278&lt;&gt;""),"",BA284/SQRT(AW284^2+AW285^2))</f>
        <v/>
      </c>
      <c r="AG284" s="274" t="str">
        <f>IF(AG282="","",100*((BA284/AQ283)-AG282)/(BA284/AQ283))</f>
        <v/>
      </c>
      <c r="AH284" s="275"/>
      <c r="AI284" s="261"/>
      <c r="AJ284" s="262"/>
      <c r="AK284" s="264"/>
      <c r="AL284" s="188"/>
      <c r="AM284" s="28"/>
      <c r="AN284" s="222" t="b">
        <f>IF(BA282="","",IF(AND(BA282=3,F284=50,L282="oil cooled type"),VLOOKUP(L284,変３,2,FALSE),IF(AND(BA282=3,F284=50,L282="(F)molded type"),VLOOKUP(L284,変３,7,FALSE),IF(AND(BA282=3,F284=60,L282="oil cooled type"),VLOOKUP(L284,変３,12,FALSE),IF(AND(BA282=3,F284=60,L282="(F)molded type"),VLOOKUP(L284,変３,17,FALSE),FALSE)))))</f>
        <v>0</v>
      </c>
      <c r="AO284" s="215" t="str">
        <f>IF(AND(L278="",N(AY282)&lt;10^29),AY282,"")</f>
        <v/>
      </c>
      <c r="AP284" s="223" t="str">
        <f>IF(V282="","",IF(AND(N(V284)=0,N(AP283)=0),"",AQ284/((AQ284*AP283)^2+(AP283*AQ285-1)^2)))</f>
        <v/>
      </c>
      <c r="AQ284" s="213">
        <f>IF(N(V284)=0,10^30,V284)</f>
        <v>1E+30</v>
      </c>
      <c r="AR284" s="215" t="str">
        <f>IF(AB282="","",IF(AB282="600V IV",VLOOKUP(AB284,ＩＶ,2,FALSE),IF(AB282="600V CV-T",VLOOKUP(AB284,ＣＶＴ,2,FALSE),IF(OR(AB282="600V CV-1C",AB282="600V CV-2C",AB282="600V CV-3C",AB282="600V CV-4C"),VLOOKUP(AB284,ＣＶ２３Ｃ,2,FALSE),VLOOKUP(AB284,ＣＵＳＥＲ,2,FALSE)))))</f>
        <v/>
      </c>
      <c r="AS284" s="213" t="str">
        <f>IF(OR(AND(AS542="",AS543=""),AND(D282="",D542&lt;&gt;"")),AS282,(AS282*(AT542^2+AT543^2)+AT542*(AS282^2+AS283^2))/((AS282+AT542)^2+(AS283+AT543)^2))</f>
        <v/>
      </c>
      <c r="AT284" s="216" t="str">
        <f>IF(X285="",AS284,N(AS284)+(X285/1000))</f>
        <v/>
      </c>
      <c r="AU284" s="216" t="str">
        <f>IF(AU282="","",(AT284*(AU282^2+AU283^2)+AU282*(AT284^2+AT285^2))/((AT284+AU282)^2+(AT285+AU283)^2))</f>
        <v/>
      </c>
      <c r="AV284" s="216">
        <f>IF(BA284=0,1,0)</f>
        <v>1</v>
      </c>
      <c r="AW284" s="217" t="str">
        <f>IF(AO284="","",AW282+AO284)</f>
        <v/>
      </c>
      <c r="AX284" s="218" t="str">
        <f>IF(AND(AX280="",AW284&lt;&gt;""),BA284*SQRT(AW282^2+AW283^2)/SQRT(AW284^2+AW285^2),IF(BA284&lt;&gt;0,AX280,""))</f>
        <v/>
      </c>
      <c r="AY284" s="224">
        <f>IF(L284="",10^30,SQRT(BA282)*(BA284^2)*(N(AN282)+N(AN284)+N(AO282)+N(AV282))/(100000*L284*M282))</f>
        <v>1E+30</v>
      </c>
      <c r="AZ284" s="225"/>
      <c r="BA284" s="220">
        <f>IF(AND(J282="",SUM(S282:S285)&lt;&gt;0),BA280,J282)</f>
        <v>0</v>
      </c>
      <c r="BB284" s="221">
        <f t="shared" si="5"/>
        <v>0</v>
      </c>
      <c r="BC284" s="232"/>
      <c r="BD284" s="232"/>
    </row>
    <row r="285" spans="1:56" ht="15" customHeight="1">
      <c r="A285" s="85"/>
      <c r="B285" s="85"/>
      <c r="C285" s="271"/>
      <c r="D285" s="417"/>
      <c r="E285" s="418"/>
      <c r="F285" s="419"/>
      <c r="G285" s="270"/>
      <c r="H285" s="270"/>
      <c r="I285" s="270"/>
      <c r="J285" s="270"/>
      <c r="K285" s="268"/>
      <c r="L285" s="251" t="str">
        <f>IF(M282="","",L284*1000*M282/(SQRT(BA282)*BA284))</f>
        <v/>
      </c>
      <c r="M285" s="252"/>
      <c r="N285" s="277"/>
      <c r="O285" s="205"/>
      <c r="P285" s="106"/>
      <c r="Q285" s="206"/>
      <c r="R285" s="107"/>
      <c r="S285" s="108" t="str">
        <f>IF(R285="","",IF(Q285="",P285/R285,P285/(Q285*R285)))</f>
        <v/>
      </c>
      <c r="T285" s="207"/>
      <c r="U285" s="208" t="str">
        <f>IF(OR(BA284="",S285=""),"",S285*1000*T285/(SQRT(BA282)*BA284))</f>
        <v/>
      </c>
      <c r="V285" s="109" t="str">
        <f>IF(AND(N(U282)=0,N(U283)=0,N(U284)=0,N(U285)=0),"",IF(V282&gt;=0,SQRT(ABS(V282^2-V284^2)),-SQRT(V282^2-V284^2)))</f>
        <v/>
      </c>
      <c r="W285" s="277"/>
      <c r="X285" s="278" t="str">
        <f>IF(Y284="","",AQ282*Z284*AR282*((1+0.00393*(F285-20))/1.2751)/Y284)</f>
        <v/>
      </c>
      <c r="Y285" s="270"/>
      <c r="Z285" s="267" t="str">
        <f>IF(Y284="","",(BA285/50)*AQ282*Z284*AR283/Y284)</f>
        <v/>
      </c>
      <c r="AA285" s="252"/>
      <c r="AB285" s="279" t="str">
        <f>IF(AC284="","",AQ282*AD284*AR284*((1+0.00393*(F285-20))/1.2751)/AC284)</f>
        <v/>
      </c>
      <c r="AC285" s="270"/>
      <c r="AD285" s="267" t="str">
        <f>IF(AC284="","",(BA285/50)*AQ282*AD284*AR285/AC284)</f>
        <v/>
      </c>
      <c r="AE285" s="268"/>
      <c r="AF285" s="237" t="str">
        <f>IF(AND(AX282&lt;&gt;"",D282=""),AX282,"")</f>
        <v/>
      </c>
      <c r="AG285" s="269" t="str">
        <f>IF(AP284="","",AP284)</f>
        <v/>
      </c>
      <c r="AH285" s="270"/>
      <c r="AI285" s="238" t="str">
        <f>IF(AP285="","",AP285)</f>
        <v/>
      </c>
      <c r="AJ285" s="263"/>
      <c r="AK285" s="253"/>
      <c r="AL285" s="189"/>
      <c r="AM285" s="28"/>
      <c r="AN285" s="226" t="b">
        <f>IF(BA282="","",IF(AND(BA282=3,F284=50,L282="oil cooled type"),VLOOKUP(L284,変３,3,FALSE),IF(AND(BA282=3,F284=50,L282="(F)molded type"),VLOOKUP(L284,変３,8,FALSE),IF(AND(BA282=3,F284=60,L282="oil cooled type"),VLOOKUP(L284,変３,13,FALSE),IF(AND(BA282=3,F284=60,L282="(F)molded type"),VLOOKUP(L284,変３,18,FALSE),FALSE)))))</f>
        <v>0</v>
      </c>
      <c r="AO285" s="226" t="str">
        <f>IF(AND(L278="",N(AY283)&lt;10^29),AY283,"")</f>
        <v/>
      </c>
      <c r="AP285" s="227" t="str">
        <f>IF(V282="","",IF(AND(N(V285)=0,N(AP283)=0),0,(AQ285-AP283*(AQ284^2+AQ285^2))/((AQ284*AP283)^2+(AP283*AQ285-1)^2)))</f>
        <v/>
      </c>
      <c r="AQ285" s="228">
        <f>IF(N(V285)=0,10^30,V285)</f>
        <v>1E+30</v>
      </c>
      <c r="AR285" s="226" t="str">
        <f>IF(AB282="","",IF(AB282="600V IV",VLOOKUP(AB284,ＩＶ,3,FALSE),IF(AB282="600V CV-T",VLOOKUP(AB284,ＣＶＴ,3,FALSE),IF(OR(AB282="600V CV-1C",AB282="600V CV-2C",AB282="600V CV-3C",AB282="600V CV-4C"),VLOOKUP(AB284,ＣＶ２３Ｃ,3,FALSE),VLOOKUP(AB284,ＣＵＳＥＲ,3,FALSE)))))</f>
        <v/>
      </c>
      <c r="AS285" s="228" t="str">
        <f>IF(OR(AND(AS542="",AS543=""),AND(D282="",D542&lt;&gt;"")),AS283,(AS283*(AT542^2+AT543^2)+AT543*(AS282^2+AS283^2))/((AS282+AT542)^2+(AS283+AT543)^2))</f>
        <v/>
      </c>
      <c r="AT285" s="229" t="str">
        <f>IF(Z285="",AS285,N(AS285)+(Z285/1000))</f>
        <v/>
      </c>
      <c r="AU285" s="229" t="str">
        <f>IF(AU283="","",(AT285*(AU282^2+AU283^2)+AU283*(AT284^2+AT285^2))/((AT284+AU282)^2+(AT285+AU283)^2))</f>
        <v/>
      </c>
      <c r="AV285" s="229">
        <f>AV281+AV284</f>
        <v>67</v>
      </c>
      <c r="AW285" s="228" t="str">
        <f>IF(AO285="","",AW283+AO285)</f>
        <v/>
      </c>
      <c r="AX285" s="230"/>
      <c r="AY285" s="224">
        <f>IF(L284="",10^30,SQRT(BA282)*(BA284^2)*(N(AN283)+N(AN285)+N(AO283)+N(AV283))/(100000*L284*M282))</f>
        <v>1E+30</v>
      </c>
      <c r="AZ285" s="225"/>
      <c r="BA285" s="220">
        <f>IF(AND(F284="",SUM(S282:S285)&lt;&gt;0),BA281,F284)</f>
        <v>0</v>
      </c>
      <c r="BB285" s="221">
        <f t="shared" si="5"/>
        <v>0</v>
      </c>
      <c r="BC285" s="232"/>
      <c r="BD285" s="232"/>
    </row>
    <row r="286" spans="1:56" ht="15" customHeight="1">
      <c r="B286" s="85"/>
      <c r="C286" s="271" t="str">
        <f>IF(BC286=1,"●","・")</f>
        <v>・</v>
      </c>
      <c r="D286" s="402"/>
      <c r="E286" s="403"/>
      <c r="F286" s="404"/>
      <c r="G286" s="265" t="str">
        <f>IF(F286="","","φ")</f>
        <v/>
      </c>
      <c r="H286" s="405"/>
      <c r="I286" s="265" t="str">
        <f>IF(H286="","","W")</f>
        <v/>
      </c>
      <c r="J286" s="405"/>
      <c r="K286" s="272" t="str">
        <f>IF(J286="","","V")</f>
        <v/>
      </c>
      <c r="L286" s="406"/>
      <c r="M286" s="407"/>
      <c r="N286" s="408"/>
      <c r="O286" s="193"/>
      <c r="P286" s="86"/>
      <c r="Q286" s="194"/>
      <c r="R286" s="87"/>
      <c r="S286" s="88" t="str">
        <f>IF(R286="","",IF(Q286="",P286/R286,P286/(Q286*R286)))</f>
        <v/>
      </c>
      <c r="T286" s="195"/>
      <c r="U286" s="196" t="str">
        <f>IF(OR(BA288="",S286=""),"",S286*1000*T286/(SQRT(BA286)*BA288))</f>
        <v/>
      </c>
      <c r="V286" s="254" t="str">
        <f>IF(AND(N(U286)=0,N(U287)=0,N(U288)=0,N(U289)=0),"",BA288/(SUM(U286:U289)))</f>
        <v/>
      </c>
      <c r="W286" s="280"/>
      <c r="X286" s="281"/>
      <c r="Y286" s="242"/>
      <c r="Z286" s="243"/>
      <c r="AA286" s="239"/>
      <c r="AB286" s="241"/>
      <c r="AC286" s="242"/>
      <c r="AD286" s="243"/>
      <c r="AE286" s="247"/>
      <c r="AF286" s="233" t="str">
        <f>IF(OR(AND(AF282="",N(BA284)=0,BA288&lt;&gt;0),D286&lt;&gt;""),AX288/AQ287,"")</f>
        <v/>
      </c>
      <c r="AG286" s="249" t="str">
        <f>IF(BA288=0,"",IF(AD288="",AX286,IF(AND(D286&lt;&gt;"",AU286=""),AX288*SQRT(AP288^2+AP289^2)/SQRT(AS286^2+AS287^2)/AQ287,AX286*SQRT(AP288^2+AP289^2)/SQRT(AS286^2+AS287^2))))</f>
        <v/>
      </c>
      <c r="AH286" s="250"/>
      <c r="AI286" s="234" t="str">
        <f>IF(AG286="","",IF(N(U286)&lt;0,-AX286*AQ287/SQRT(AS286^2+AS287^2),AX286*AQ287/SQRT(AS286^2+AS287^2)))</f>
        <v/>
      </c>
      <c r="AJ286" s="256"/>
      <c r="AK286" s="257"/>
      <c r="AL286" s="186"/>
      <c r="AM286" s="28"/>
      <c r="AN286" s="213" t="b">
        <f>IF(BA286="","",IF(AND(BA286=1,F288=50,L286="oil cooled type"),VLOOKUP(L288,変１,2,FALSE),IF(AND(BA286=1,F288=50,L286="(F)molded type"),VLOOKUP(L288,変１,7,FALSE),IF(AND(BA286=1,F288=60,L286="oil cooled type"),VLOOKUP(L288,変１,12,FALSE),IF(AND(BA286=1,F288=60,L286="(F)molded type"),VLOOKUP(L288,変１,17,FALSE),FALSE)))))</f>
        <v>0</v>
      </c>
      <c r="AO286" s="213">
        <f>IF(ISNA(VLOOKUP(L288,変ＵＳＥＲ,2,FALSE)),0,VLOOKUP(L288,変ＵＳＥＲ,2,FALSE))</f>
        <v>0</v>
      </c>
      <c r="AP286" s="214">
        <f>IF(N286="",0,N286*1000/BA288^2/SQRT(BA286))</f>
        <v>0</v>
      </c>
      <c r="AQ286" s="213" t="b">
        <f>IF(BA286=1,2,IF(BA286=3,SQRT(3),FALSE))</f>
        <v>0</v>
      </c>
      <c r="AR286" s="215" t="str">
        <f>IF(X286="","",IF(X286="600V IV",VLOOKUP(X288,ＩＶ,2,FALSE),IF(X286="600V CV-T",VLOOKUP(X288,ＣＶＴ,2,FALSE),IF(OR(X286="600V CV-1C",X286="600V CV-2C",X286="600V CV-3C",X286="600V CV-4C"),VLOOKUP(X288,ＣＶ２３Ｃ,2,FALSE),VLOOKUP(X288,ＣＵＳＥＲ,2,FALSE)))))</f>
        <v/>
      </c>
      <c r="AS286" s="213" t="str">
        <f>IF(AB289="",AP288,AP288+(AB289/1000))</f>
        <v/>
      </c>
      <c r="AT286" s="216" t="str">
        <f>IF(AU288="",AT288,AU288)</f>
        <v/>
      </c>
      <c r="AU286" s="216" t="str">
        <f>IF(D286="","",IF(AND(D546="",#REF!&lt;&gt;"",AV289=#REF!),#REF!,IF(AND(D546="",#REF!="",#REF!&lt;&gt;"",AV549=#REF!),#REF!,IF(AND(D546="",#REF!="",#REF!="",#REF!&lt;&gt;"",#REF!=#REF!),#REF!,IF(AND(D546="",#REF!="",#REF!="",#REF!="",D550&lt;&gt;"",#REF!=#REF!),AT550,IF(AND(D546="",#REF!="",#REF!="",#REF!="",D550="",#REF!&lt;&gt;"",#REF!=AV554),#REF!,IF(AND(D546="",#REF!="",#REF!="",#REF!="",D550="",#REF!="",D555&lt;&gt;"",#REF!=AV558),AT555,"")))))))</f>
        <v/>
      </c>
      <c r="AV286" s="216" t="str">
        <f>IF(L286="ACG",IF(ISNA(VLOOKUP(L288,ＡＣＧ,2,FALSE)),0,VLOOKUP(L288,ＡＣＧ,2,FALSE)),"")</f>
        <v/>
      </c>
      <c r="AW286" s="217" t="str">
        <f>IF(AT286="","",AT286/((AT286*AP286)^2+(AT287*AP286-1)^2))</f>
        <v/>
      </c>
      <c r="AX286" s="218" t="str">
        <f>IF(BA288=0,"",IF(OR(AX282="",AF286&lt;&gt;""),AF286*SQRT(AS288^2+AS289^2)/SQRT(AT288^2+AT289^2),AX282*SQRT(AS288^2+AS289^2)/SQRT(AT288^2+AT289^2)))</f>
        <v/>
      </c>
      <c r="AY286" s="219">
        <f>IF(N(AY288)=10^30,10^30,IF(N(AY548)=10^30,(N(AY288)*(N(AY548)^2+N(AY549)^2)+N(AY548)*(N(AY288)^2+N(AY289)^2))/((N(AY288)+N(AY548))^2+(N(AY289)+N(AY549))^2),(N(AY288)*(N(AY546)^2+N(AY547)^2)+N(AY546)*(N(AY288)^2+N(AY289)^2))/((N(AY288)+N(AY546))^2+(N(AY289)+N(AY547))^2)))</f>
        <v>1E+30</v>
      </c>
      <c r="AZ286" s="23"/>
      <c r="BA286" s="220">
        <f>IF(AND(F286="",SUM(S286:S289)&lt;&gt;0),BA282,F286)</f>
        <v>0</v>
      </c>
      <c r="BB286" s="221">
        <f t="shared" si="5"/>
        <v>0</v>
      </c>
      <c r="BC286" s="232">
        <f>IF(OR(E286="",F289="",AND(OR(P286="",Q286="",R286="",T286=""),OR(P287="",Q287="",R287="",T287=""),OR(P288="",Q288="",R288="",T288=""),OR(P289="",Q289="",R289="",T289="")),AND(OR(X286="",X288="",Y288="",Z288=""),OR(AB286="",AB288="",AC288="",AD288=""))),0,1)</f>
        <v>0</v>
      </c>
      <c r="BD286" s="232">
        <f>BC286+BD282</f>
        <v>0</v>
      </c>
    </row>
    <row r="287" spans="1:56" ht="15" customHeight="1">
      <c r="B287" s="85"/>
      <c r="C287" s="271"/>
      <c r="D287" s="409"/>
      <c r="E287" s="362"/>
      <c r="F287" s="410"/>
      <c r="G287" s="266"/>
      <c r="H287" s="266"/>
      <c r="I287" s="266"/>
      <c r="J287" s="266"/>
      <c r="K287" s="273"/>
      <c r="L287" s="411"/>
      <c r="M287" s="197" t="str">
        <f>IF(L286="ACG",SQRT(AV286^2+AV287^2),IF(L288="","",IF(OR(L286="oil cooled type",L286="(F)molded type"),IF(BA286=1,SQRT(AN286^2+AN287^2),IF(BA286=3,SQRT(AN288^2+AN289^2))),SQRT(AO286^2+AO287^2))))</f>
        <v/>
      </c>
      <c r="N287" s="412"/>
      <c r="O287" s="198"/>
      <c r="P287" s="90"/>
      <c r="Q287" s="199"/>
      <c r="R287" s="91"/>
      <c r="S287" s="92" t="str">
        <f>IF(R288="","",IF(Q288="",P288/R288,P288/(Q288*R288)))</f>
        <v/>
      </c>
      <c r="T287" s="200"/>
      <c r="U287" s="201" t="str">
        <f>IF(OR(BA288="",S287=""),"",S287*1000*T287/(SQRT(BA286)*BA288))</f>
        <v/>
      </c>
      <c r="V287" s="255"/>
      <c r="W287" s="248"/>
      <c r="X287" s="258"/>
      <c r="Y287" s="245"/>
      <c r="Z287" s="246"/>
      <c r="AA287" s="240"/>
      <c r="AB287" s="244"/>
      <c r="AC287" s="245"/>
      <c r="AD287" s="246"/>
      <c r="AE287" s="248"/>
      <c r="AF287" s="235" t="str">
        <f>IF(OR(AF286="",AG282&lt;&gt;""),"",AF286*AQ287/SQRT(AT286^2+AT287^2))</f>
        <v/>
      </c>
      <c r="AG287" s="274" t="str">
        <f>IF(AG286="","",100*AG286*AQ287/BA288)</f>
        <v/>
      </c>
      <c r="AH287" s="275"/>
      <c r="AI287" s="260" t="str">
        <f>IF(BA288=0,"",IF(AI282="",AX288/SQRT(AT286^2+AT287^2),IF(AI290="","",IF(AT286&lt;0,-AX286*AQ283/SQRT(AT286^2+AT287^2),AX286*AQ283/SQRT(AT286^2+AT287^2)))))</f>
        <v/>
      </c>
      <c r="AJ287" s="258"/>
      <c r="AK287" s="259"/>
      <c r="AL287" s="187"/>
      <c r="AM287" s="28"/>
      <c r="AN287" s="213" t="b">
        <f>IF(BA286="","",IF(AND(BA286=1,F288=50,L286="oil cooled type"),VLOOKUP(L288,変１,3,FALSE),IF(AND(BA286=1,F288=50,L286="(F)molded type"),VLOOKUP(L288,変１,8,FALSE),IF(AND(BA286=1,F288=60,L286="oil cooled type"),VLOOKUP(L288,変１,13,FALSE),IF(AND(BA286=1,F288=60,L286="(F)molded type"),VLOOKUP(L288,変１,18,FALSE),FALSE)))))</f>
        <v>0</v>
      </c>
      <c r="AO287" s="213">
        <f>IF(ISNA(VLOOKUP(L288,変ＵＳＥＲ,3,FALSE)),0,VLOOKUP(L288,変ＵＳＥＲ,3,FALSE)*BA289/50)</f>
        <v>0</v>
      </c>
      <c r="AP287" s="214">
        <f>IF(W286="",0,W286*1000/BA288^2/SQRT(BA286))</f>
        <v>0</v>
      </c>
      <c r="AQ287" s="213">
        <f>IF(AND(BA286=1,BA287=2),1,IF(AND(BA286=3,BA287=3),1,IF(AND(BA286=1,BA287=3),2,IF(AND(BA286=3,BA287=4)*OR(BB286=1,BB287=1,BB288=1,BB289=1),1,SQRT(3)))))</f>
        <v>1.7320508075688772</v>
      </c>
      <c r="AR287" s="215" t="str">
        <f>IF(X286="","",IF(X286="600V IV",VLOOKUP(X288,ＩＶ,3,FALSE),IF(X286="600V CV-T",VLOOKUP(X288,ＣＶＴ,3,FALSE),IF(OR(X286="600V CV-1C",X286="600V CV-2C",X286="600V CV-3C",X286="600V CV-4C"),VLOOKUP(X288,ＣＶ２３Ｃ,3,FALSE),VLOOKUP(X288,ＣＵＳＥＲ,3,FALSE)))))</f>
        <v/>
      </c>
      <c r="AS287" s="213" t="str">
        <f>IF(AD289="",AP289,AP289+(AD289/1000))</f>
        <v/>
      </c>
      <c r="AT287" s="216" t="str">
        <f>IF(AU289="",AT289,AU289)</f>
        <v/>
      </c>
      <c r="AU287" s="216" t="str">
        <f>IF(D286="","",IF(AND(D546="",#REF!&lt;&gt;"",AV289=#REF!),#REF!,IF(AND(D546="",#REF!="",#REF!&lt;&gt;"",AV549=#REF!),#REF!,IF(AND(D546="",#REF!="",#REF!="",#REF!&lt;&gt;"",#REF!=#REF!),#REF!,IF(AND(D546="",#REF!="",#REF!="",#REF!="",D550&lt;&gt;"",#REF!=#REF!),AT551,IF(AND(D546="",#REF!="",#REF!="",#REF!="",D550="",#REF!&lt;&gt;"",#REF!=AV554),AT552,IF(AND(D546="",#REF!="",#REF!="",#REF!="",D550="",#REF!="",D555&lt;&gt;"",#REF!=AV558),AT556,"")))))))</f>
        <v/>
      </c>
      <c r="AV287" s="215" t="str">
        <f>IF(L286="ACG",IF(ISNA(VLOOKUP(L288,ＡＣＧ,3,FALSE)),0,VLOOKUP(L288,ＡＣＧ,3,FALSE)*BA289/50),"")</f>
        <v/>
      </c>
      <c r="AW287" s="217" t="str">
        <f>IF(AT287="","",(AT287-AP286*(AT286^2+AT287^2))/((AT286*AP286)^2+(AP286*AT287-1)^2))</f>
        <v/>
      </c>
      <c r="AX287" s="218"/>
      <c r="AY287" s="219">
        <f>IF(N(AY289)=10^30,10^30,IF(N(AY549)=10^30,(N(AY289)*(N(AY548)^2+N(AY549)^2)+N(AY549)*(N(AY288)^2+N(AY289)^2))/((N(AY288)+N(AY548))^2+(N(AY289)+N(AY549))^2),(N(AY289)*(N(AY546)^2+N(AY547)^2)+N(AY547)*(N(AY288)^2+N(AY289)^2))/((N(AY288)+N(AY546))^2+(N(AY289)+N(AY547))^2)))</f>
        <v>1E+30</v>
      </c>
      <c r="AZ287" s="23"/>
      <c r="BA287" s="220">
        <f>IF(AND(H286="",SUM(S286:S289)&lt;&gt;0),BA283,H286)</f>
        <v>0</v>
      </c>
      <c r="BB287" s="221">
        <f t="shared" si="5"/>
        <v>0</v>
      </c>
      <c r="BC287" s="232"/>
      <c r="BD287" s="232"/>
    </row>
    <row r="288" spans="1:56" ht="15" customHeight="1">
      <c r="B288" s="85"/>
      <c r="C288" s="271"/>
      <c r="D288" s="409"/>
      <c r="E288" s="362"/>
      <c r="F288" s="413"/>
      <c r="G288" s="414"/>
      <c r="H288" s="414"/>
      <c r="I288" s="414"/>
      <c r="J288" s="414"/>
      <c r="K288" s="415"/>
      <c r="L288" s="416"/>
      <c r="M288" s="275"/>
      <c r="N288" s="412"/>
      <c r="O288" s="198"/>
      <c r="P288" s="93"/>
      <c r="Q288" s="202"/>
      <c r="R288" s="91"/>
      <c r="S288" s="92" t="str">
        <f>IF(R289="","",IF(Q289="",P289/R289,P289/(Q289*R289)))</f>
        <v/>
      </c>
      <c r="T288" s="200"/>
      <c r="U288" s="203" t="str">
        <f>IF(OR(BA288="",S288=""),"",S288*1000*T288/(SQRT(BA286)*BA288))</f>
        <v/>
      </c>
      <c r="V288" s="94" t="str">
        <f>IF(AND(N(U286)=0,N(U287)=0,N(U288)=0,N(U289)=0),"",V286*(P286*R286*T286+P287*R287*T287+P288*R288*T288+P289*R289*T289)/(P286*T286+P287*T287+P288*T288+P289*T289))</f>
        <v/>
      </c>
      <c r="W288" s="276" t="str">
        <f>IF(AND(N(AP288)=0,N(AP289)=0,N(AP287)=0),"",IF(AP289&gt;=0,COS(ATAN(AP289/AP288)),-COS(ATAN(AP289/AP288))))</f>
        <v/>
      </c>
      <c r="X288" s="95"/>
      <c r="Y288" s="204"/>
      <c r="Z288" s="96"/>
      <c r="AA288" s="97"/>
      <c r="AB288" s="98"/>
      <c r="AC288" s="204"/>
      <c r="AD288" s="96"/>
      <c r="AE288" s="99"/>
      <c r="AF288" s="236" t="str">
        <f>IF(OR(AF286="",AG282&lt;&gt;""),"",BA288/SQRT(AW288^2+AW289^2))</f>
        <v/>
      </c>
      <c r="AG288" s="274" t="str">
        <f>IF(AG286="","",100*((BA288/AQ287)-AG286)/(BA288/AQ287))</f>
        <v/>
      </c>
      <c r="AH288" s="275"/>
      <c r="AI288" s="261"/>
      <c r="AJ288" s="262"/>
      <c r="AK288" s="264"/>
      <c r="AL288" s="188"/>
      <c r="AM288" s="28"/>
      <c r="AN288" s="222" t="b">
        <f>IF(BA286="","",IF(AND(BA286=3,F288=50,L286="oil cooled type"),VLOOKUP(L288,変３,2,FALSE),IF(AND(BA286=3,F288=50,L286="(F)molded type"),VLOOKUP(L288,変３,7,FALSE),IF(AND(BA286=3,F288=60,L286="oil cooled type"),VLOOKUP(L288,変３,12,FALSE),IF(AND(BA286=3,F288=60,L286="(F)molded type"),VLOOKUP(L288,変３,17,FALSE),FALSE)))))</f>
        <v>0</v>
      </c>
      <c r="AO288" s="215" t="str">
        <f>IF(AND(L282="",N(AY286)&lt;10^29),AY286,"")</f>
        <v/>
      </c>
      <c r="AP288" s="223" t="str">
        <f>IF(V286="","",IF(AND(N(V288)=0,N(AP287)=0),"",AQ288/((AQ288*AP287)^2+(AP287*AQ289-1)^2)))</f>
        <v/>
      </c>
      <c r="AQ288" s="213">
        <f>IF(N(V288)=0,10^30,V288)</f>
        <v>1E+30</v>
      </c>
      <c r="AR288" s="215" t="str">
        <f>IF(AB286="","",IF(AB286="600V IV",VLOOKUP(AB288,ＩＶ,2,FALSE),IF(AB286="600V CV-T",VLOOKUP(AB288,ＣＶＴ,2,FALSE),IF(OR(AB286="600V CV-1C",AB286="600V CV-2C",AB286="600V CV-3C",AB286="600V CV-4C"),VLOOKUP(AB288,ＣＶ２３Ｃ,2,FALSE),VLOOKUP(AB288,ＣＵＳＥＲ,2,FALSE)))))</f>
        <v/>
      </c>
      <c r="AS288" s="213" t="str">
        <f>IF(OR(AND(AS546="",AS547=""),AND(D286="",D546&lt;&gt;"")),AS286,(AS286*(AT546^2+AT547^2)+AT546*(AS286^2+AS287^2))/((AS286+AT546)^2+(AS287+AT547)^2))</f>
        <v/>
      </c>
      <c r="AT288" s="216" t="str">
        <f>IF(X289="",AS288,N(AS288)+(X289/1000))</f>
        <v/>
      </c>
      <c r="AU288" s="216" t="str">
        <f>IF(AU286="","",(AT288*(AU286^2+AU287^2)+AU286*(AT288^2+AT289^2))/((AT288+AU286)^2+(AT289+AU287)^2))</f>
        <v/>
      </c>
      <c r="AV288" s="216">
        <f>IF(BA288=0,1,0)</f>
        <v>1</v>
      </c>
      <c r="AW288" s="217" t="str">
        <f>IF(AO288="","",AW286+AO288)</f>
        <v/>
      </c>
      <c r="AX288" s="218" t="str">
        <f>IF(AND(AX284="",AW288&lt;&gt;""),BA288*SQRT(AW286^2+AW287^2)/SQRT(AW288^2+AW289^2),IF(BA288&lt;&gt;0,AX284,""))</f>
        <v/>
      </c>
      <c r="AY288" s="224">
        <f>IF(L288="",10^30,SQRT(BA286)*(BA288^2)*(N(AN286)+N(AN288)+N(AO286)+N(AV286))/(100000*L288*M286))</f>
        <v>1E+30</v>
      </c>
      <c r="AZ288" s="225"/>
      <c r="BA288" s="220">
        <f>IF(AND(J286="",SUM(S286:S289)&lt;&gt;0),BA284,J286)</f>
        <v>0</v>
      </c>
      <c r="BB288" s="221">
        <f t="shared" si="5"/>
        <v>0</v>
      </c>
      <c r="BC288" s="232"/>
      <c r="BD288" s="232"/>
    </row>
    <row r="289" spans="1:56" ht="15" customHeight="1">
      <c r="A289" s="85"/>
      <c r="B289" s="85"/>
      <c r="C289" s="271"/>
      <c r="D289" s="417"/>
      <c r="E289" s="418"/>
      <c r="F289" s="419"/>
      <c r="G289" s="270"/>
      <c r="H289" s="270"/>
      <c r="I289" s="270"/>
      <c r="J289" s="270"/>
      <c r="K289" s="268"/>
      <c r="L289" s="251" t="str">
        <f>IF(M286="","",L288*1000*M286/(SQRT(BA286)*BA288))</f>
        <v/>
      </c>
      <c r="M289" s="252"/>
      <c r="N289" s="277"/>
      <c r="O289" s="205"/>
      <c r="P289" s="106"/>
      <c r="Q289" s="206"/>
      <c r="R289" s="107"/>
      <c r="S289" s="108" t="str">
        <f>IF(R289="","",IF(Q289="",P289/R289,P289/(Q289*R289)))</f>
        <v/>
      </c>
      <c r="T289" s="207"/>
      <c r="U289" s="208" t="str">
        <f>IF(OR(BA288="",S289=""),"",S289*1000*T289/(SQRT(BA286)*BA288))</f>
        <v/>
      </c>
      <c r="V289" s="109" t="str">
        <f>IF(AND(N(U286)=0,N(U287)=0,N(U288)=0,N(U289)=0),"",IF(V286&gt;=0,SQRT(ABS(V286^2-V288^2)),-SQRT(V286^2-V288^2)))</f>
        <v/>
      </c>
      <c r="W289" s="277"/>
      <c r="X289" s="278" t="str">
        <f>IF(Y288="","",AQ286*Z288*AR286*((1+0.00393*(F289-20))/1.2751)/Y288)</f>
        <v/>
      </c>
      <c r="Y289" s="270"/>
      <c r="Z289" s="267" t="str">
        <f>IF(Y288="","",(BA289/50)*AQ286*Z288*AR287/Y288)</f>
        <v/>
      </c>
      <c r="AA289" s="252"/>
      <c r="AB289" s="279" t="str">
        <f>IF(AC288="","",AQ286*AD288*AR288*((1+0.00393*(F289-20))/1.2751)/AC288)</f>
        <v/>
      </c>
      <c r="AC289" s="270"/>
      <c r="AD289" s="267" t="str">
        <f>IF(AC288="","",(BA289/50)*AQ286*AD288*AR289/AC288)</f>
        <v/>
      </c>
      <c r="AE289" s="268"/>
      <c r="AF289" s="237" t="str">
        <f>IF(AND(AX286&lt;&gt;"",D286=""),AX286,"")</f>
        <v/>
      </c>
      <c r="AG289" s="269" t="str">
        <f>IF(AP288="","",AP288)</f>
        <v/>
      </c>
      <c r="AH289" s="270"/>
      <c r="AI289" s="238" t="str">
        <f>IF(AP289="","",AP289)</f>
        <v/>
      </c>
      <c r="AJ289" s="263"/>
      <c r="AK289" s="253"/>
      <c r="AL289" s="189"/>
      <c r="AM289" s="28"/>
      <c r="AN289" s="226" t="b">
        <f>IF(BA286="","",IF(AND(BA286=3,F288=50,L286="oil cooled type"),VLOOKUP(L288,変３,3,FALSE),IF(AND(BA286=3,F288=50,L286="(F)molded type"),VLOOKUP(L288,変３,8,FALSE),IF(AND(BA286=3,F288=60,L286="oil cooled type"),VLOOKUP(L288,変３,13,FALSE),IF(AND(BA286=3,F288=60,L286="(F)molded type"),VLOOKUP(L288,変３,18,FALSE),FALSE)))))</f>
        <v>0</v>
      </c>
      <c r="AO289" s="226" t="str">
        <f>IF(AND(L282="",N(AY287)&lt;10^29),AY287,"")</f>
        <v/>
      </c>
      <c r="AP289" s="227" t="str">
        <f>IF(V286="","",IF(AND(N(V289)=0,N(AP287)=0),0,(AQ289-AP287*(AQ288^2+AQ289^2))/((AQ288*AP287)^2+(AP287*AQ289-1)^2)))</f>
        <v/>
      </c>
      <c r="AQ289" s="228">
        <f>IF(N(V289)=0,10^30,V289)</f>
        <v>1E+30</v>
      </c>
      <c r="AR289" s="226" t="str">
        <f>IF(AB286="","",IF(AB286="600V IV",VLOOKUP(AB288,ＩＶ,3,FALSE),IF(AB286="600V CV-T",VLOOKUP(AB288,ＣＶＴ,3,FALSE),IF(OR(AB286="600V CV-1C",AB286="600V CV-2C",AB286="600V CV-3C",AB286="600V CV-4C"),VLOOKUP(AB288,ＣＶ２３Ｃ,3,FALSE),VLOOKUP(AB288,ＣＵＳＥＲ,3,FALSE)))))</f>
        <v/>
      </c>
      <c r="AS289" s="228" t="str">
        <f>IF(OR(AND(AS546="",AS547=""),AND(D286="",D546&lt;&gt;"")),AS287,(AS287*(AT546^2+AT547^2)+AT547*(AS286^2+AS287^2))/((AS286+AT546)^2+(AS287+AT547)^2))</f>
        <v/>
      </c>
      <c r="AT289" s="229" t="str">
        <f>IF(Z289="",AS289,N(AS289)+(Z289/1000))</f>
        <v/>
      </c>
      <c r="AU289" s="229" t="str">
        <f>IF(AU287="","",(AT289*(AU286^2+AU287^2)+AU287*(AT288^2+AT289^2))/((AT288+AU286)^2+(AT289+AU287)^2))</f>
        <v/>
      </c>
      <c r="AV289" s="229">
        <f>AV285+AV288</f>
        <v>68</v>
      </c>
      <c r="AW289" s="228" t="str">
        <f>IF(AO289="","",AW287+AO289)</f>
        <v/>
      </c>
      <c r="AX289" s="230"/>
      <c r="AY289" s="224">
        <f>IF(L288="",10^30,SQRT(BA286)*(BA288^2)*(N(AN287)+N(AN289)+N(AO287)+N(AV287))/(100000*L288*M286))</f>
        <v>1E+30</v>
      </c>
      <c r="AZ289" s="225"/>
      <c r="BA289" s="220">
        <f>IF(AND(F288="",SUM(S286:S289)&lt;&gt;0),BA285,F288)</f>
        <v>0</v>
      </c>
      <c r="BB289" s="221">
        <f t="shared" si="5"/>
        <v>0</v>
      </c>
      <c r="BC289" s="232"/>
      <c r="BD289" s="232"/>
    </row>
    <row r="290" spans="1:56" ht="15" customHeight="1">
      <c r="B290" s="85"/>
      <c r="C290" s="271" t="str">
        <f>IF(BC290=1,"●","・")</f>
        <v>・</v>
      </c>
      <c r="D290" s="402"/>
      <c r="E290" s="403"/>
      <c r="F290" s="404"/>
      <c r="G290" s="265" t="str">
        <f>IF(F290="","","φ")</f>
        <v/>
      </c>
      <c r="H290" s="405"/>
      <c r="I290" s="265" t="str">
        <f>IF(H290="","","W")</f>
        <v/>
      </c>
      <c r="J290" s="405"/>
      <c r="K290" s="272" t="str">
        <f>IF(J290="","","V")</f>
        <v/>
      </c>
      <c r="L290" s="406"/>
      <c r="M290" s="407"/>
      <c r="N290" s="408"/>
      <c r="O290" s="193"/>
      <c r="P290" s="86"/>
      <c r="Q290" s="194"/>
      <c r="R290" s="87"/>
      <c r="S290" s="88" t="str">
        <f>IF(R290="","",IF(Q290="",P290/R290,P290/(Q290*R290)))</f>
        <v/>
      </c>
      <c r="T290" s="195"/>
      <c r="U290" s="196" t="str">
        <f>IF(OR(BA292="",S290=""),"",S290*1000*T290/(SQRT(BA290)*BA292))</f>
        <v/>
      </c>
      <c r="V290" s="254" t="str">
        <f>IF(AND(N(U290)=0,N(U291)=0,N(U292)=0,N(U293)=0),"",BA292/(SUM(U290:U293)))</f>
        <v/>
      </c>
      <c r="W290" s="280"/>
      <c r="X290" s="281"/>
      <c r="Y290" s="242"/>
      <c r="Z290" s="243"/>
      <c r="AA290" s="239"/>
      <c r="AB290" s="241"/>
      <c r="AC290" s="242"/>
      <c r="AD290" s="243"/>
      <c r="AE290" s="247"/>
      <c r="AF290" s="233" t="str">
        <f>IF(OR(AND(AF286="",N(BA288)=0,BA292&lt;&gt;0),D290&lt;&gt;""),AX292/AQ291,"")</f>
        <v/>
      </c>
      <c r="AG290" s="249" t="str">
        <f>IF(BA292=0,"",IF(AD292="",AX290,IF(AND(D290&lt;&gt;"",AU290=""),AX292*SQRT(AP292^2+AP293^2)/SQRT(AS290^2+AS291^2)/AQ291,AX290*SQRT(AP292^2+AP293^2)/SQRT(AS290^2+AS291^2))))</f>
        <v/>
      </c>
      <c r="AH290" s="250"/>
      <c r="AI290" s="234" t="str">
        <f>IF(AG290="","",IF(N(U290)&lt;0,-AX290*AQ291/SQRT(AS290^2+AS291^2),AX290*AQ291/SQRT(AS290^2+AS291^2)))</f>
        <v/>
      </c>
      <c r="AJ290" s="256"/>
      <c r="AK290" s="257"/>
      <c r="AL290" s="186"/>
      <c r="AM290" s="28"/>
      <c r="AN290" s="213" t="b">
        <f>IF(BA290="","",IF(AND(BA290=1,F292=50,L290="oil cooled type"),VLOOKUP(L292,変１,2,FALSE),IF(AND(BA290=1,F292=50,L290="(F)molded type"),VLOOKUP(L292,変１,7,FALSE),IF(AND(BA290=1,F292=60,L290="oil cooled type"),VLOOKUP(L292,変１,12,FALSE),IF(AND(BA290=1,F292=60,L290="(F)molded type"),VLOOKUP(L292,変１,17,FALSE),FALSE)))))</f>
        <v>0</v>
      </c>
      <c r="AO290" s="213">
        <f>IF(ISNA(VLOOKUP(L292,変ＵＳＥＲ,2,FALSE)),0,VLOOKUP(L292,変ＵＳＥＲ,2,FALSE))</f>
        <v>0</v>
      </c>
      <c r="AP290" s="214">
        <f>IF(N290="",0,N290*1000/BA292^2/SQRT(BA290))</f>
        <v>0</v>
      </c>
      <c r="AQ290" s="213" t="b">
        <f>IF(BA290=1,2,IF(BA290=3,SQRT(3),FALSE))</f>
        <v>0</v>
      </c>
      <c r="AR290" s="215" t="str">
        <f>IF(X290="","",IF(X290="600V IV",VLOOKUP(X292,ＩＶ,2,FALSE),IF(X290="600V CV-T",VLOOKUP(X292,ＣＶＴ,2,FALSE),IF(OR(X290="600V CV-1C",X290="600V CV-2C",X290="600V CV-3C",X290="600V CV-4C"),VLOOKUP(X292,ＣＶ２３Ｃ,2,FALSE),VLOOKUP(X292,ＣＵＳＥＲ,2,FALSE)))))</f>
        <v/>
      </c>
      <c r="AS290" s="213" t="str">
        <f>IF(AB293="",AP292,AP292+(AB293/1000))</f>
        <v/>
      </c>
      <c r="AT290" s="216" t="str">
        <f>IF(AU292="",AT292,AU292)</f>
        <v/>
      </c>
      <c r="AU290" s="216" t="str">
        <f>IF(D290="","",IF(AND(D550="",#REF!&lt;&gt;"",AV293=#REF!),#REF!,IF(AND(D550="",#REF!="",#REF!&lt;&gt;"",AV553=#REF!),#REF!,IF(AND(D550="",#REF!="",#REF!="",#REF!&lt;&gt;"",#REF!=#REF!),#REF!,IF(AND(D550="",#REF!="",#REF!="",#REF!="",D554&lt;&gt;"",#REF!=#REF!),AT554,IF(AND(D550="",#REF!="",#REF!="",#REF!="",D554="",#REF!&lt;&gt;"",#REF!=AV558),#REF!,IF(AND(D550="",#REF!="",#REF!="",#REF!="",D554="",#REF!="",D559&lt;&gt;"",#REF!=AV562),AT559,"")))))))</f>
        <v/>
      </c>
      <c r="AV290" s="216" t="str">
        <f>IF(L290="ACG",IF(ISNA(VLOOKUP(L292,ＡＣＧ,2,FALSE)),0,VLOOKUP(L292,ＡＣＧ,2,FALSE)),"")</f>
        <v/>
      </c>
      <c r="AW290" s="217" t="str">
        <f>IF(AT290="","",AT290/((AT290*AP290)^2+(AT291*AP290-1)^2))</f>
        <v/>
      </c>
      <c r="AX290" s="218" t="str">
        <f>IF(BA292=0,"",IF(OR(AX286="",AF290&lt;&gt;""),AF290*SQRT(AS292^2+AS293^2)/SQRT(AT292^2+AT293^2),AX286*SQRT(AS292^2+AS293^2)/SQRT(AT292^2+AT293^2)))</f>
        <v/>
      </c>
      <c r="AY290" s="219">
        <f>IF(N(AY292)=10^30,10^30,IF(N(AY552)=10^30,(N(AY292)*(N(AY552)^2+N(AY553)^2)+N(AY552)*(N(AY292)^2+N(AY293)^2))/((N(AY292)+N(AY552))^2+(N(AY293)+N(AY553))^2),(N(AY292)*(N(AY550)^2+N(AY551)^2)+N(AY550)*(N(AY292)^2+N(AY293)^2))/((N(AY292)+N(AY550))^2+(N(AY293)+N(AY551))^2)))</f>
        <v>1E+30</v>
      </c>
      <c r="AZ290" s="23"/>
      <c r="BA290" s="220">
        <f>IF(AND(F290="",SUM(S290:S293)&lt;&gt;0),BA286,F290)</f>
        <v>0</v>
      </c>
      <c r="BB290" s="221">
        <f t="shared" si="5"/>
        <v>0</v>
      </c>
      <c r="BC290" s="232">
        <f>IF(OR(E290="",F293="",AND(OR(P290="",Q290="",R290="",T290=""),OR(P291="",Q291="",R291="",T291=""),OR(P292="",Q292="",R292="",T292=""),OR(P293="",Q293="",R293="",T293="")),AND(OR(X290="",X292="",Y292="",Z292=""),OR(AB290="",AB292="",AC292="",AD292=""))),0,1)</f>
        <v>0</v>
      </c>
      <c r="BD290" s="232">
        <f>BC290+BD286</f>
        <v>0</v>
      </c>
    </row>
    <row r="291" spans="1:56" ht="15" customHeight="1">
      <c r="B291" s="85"/>
      <c r="C291" s="271"/>
      <c r="D291" s="409"/>
      <c r="E291" s="362"/>
      <c r="F291" s="410"/>
      <c r="G291" s="266"/>
      <c r="H291" s="266"/>
      <c r="I291" s="266"/>
      <c r="J291" s="266"/>
      <c r="K291" s="273"/>
      <c r="L291" s="411"/>
      <c r="M291" s="197" t="str">
        <f>IF(L290="ACG",SQRT(AV290^2+AV291^2),IF(L292="","",IF(OR(L290="oil cooled type",L290="(F)molded type"),IF(BA290=1,SQRT(AN290^2+AN291^2),IF(BA290=3,SQRT(AN292^2+AN293^2))),SQRT(AO290^2+AO291^2))))</f>
        <v/>
      </c>
      <c r="N291" s="412"/>
      <c r="O291" s="198"/>
      <c r="P291" s="90"/>
      <c r="Q291" s="199"/>
      <c r="R291" s="91"/>
      <c r="S291" s="92" t="str">
        <f>IF(R292="","",IF(Q292="",P292/R292,P292/(Q292*R292)))</f>
        <v/>
      </c>
      <c r="T291" s="200"/>
      <c r="U291" s="201" t="str">
        <f>IF(OR(BA292="",S291=""),"",S291*1000*T291/(SQRT(BA290)*BA292))</f>
        <v/>
      </c>
      <c r="V291" s="255"/>
      <c r="W291" s="248"/>
      <c r="X291" s="258"/>
      <c r="Y291" s="245"/>
      <c r="Z291" s="246"/>
      <c r="AA291" s="240"/>
      <c r="AB291" s="244"/>
      <c r="AC291" s="245"/>
      <c r="AD291" s="246"/>
      <c r="AE291" s="248"/>
      <c r="AF291" s="235" t="str">
        <f>IF(OR(AF290="",AG286&lt;&gt;""),"",AF290*AQ291/SQRT(AT290^2+AT291^2))</f>
        <v/>
      </c>
      <c r="AG291" s="274" t="str">
        <f>IF(AG290="","",100*AG290*AQ291/BA292)</f>
        <v/>
      </c>
      <c r="AH291" s="275"/>
      <c r="AI291" s="260" t="str">
        <f>IF(BA292=0,"",IF(AI286="",AX292/SQRT(AT290^2+AT291^2),IF(AI294="","",IF(AT290&lt;0,-AX290*AQ287/SQRT(AT290^2+AT291^2),AX290*AQ287/SQRT(AT290^2+AT291^2)))))</f>
        <v/>
      </c>
      <c r="AJ291" s="258"/>
      <c r="AK291" s="259"/>
      <c r="AL291" s="187"/>
      <c r="AM291" s="28"/>
      <c r="AN291" s="213" t="b">
        <f>IF(BA290="","",IF(AND(BA290=1,F292=50,L290="oil cooled type"),VLOOKUP(L292,変１,3,FALSE),IF(AND(BA290=1,F292=50,L290="(F)molded type"),VLOOKUP(L292,変１,8,FALSE),IF(AND(BA290=1,F292=60,L290="oil cooled type"),VLOOKUP(L292,変１,13,FALSE),IF(AND(BA290=1,F292=60,L290="(F)molded type"),VLOOKUP(L292,変１,18,FALSE),FALSE)))))</f>
        <v>0</v>
      </c>
      <c r="AO291" s="213">
        <f>IF(ISNA(VLOOKUP(L292,変ＵＳＥＲ,3,FALSE)),0,VLOOKUP(L292,変ＵＳＥＲ,3,FALSE)*BA293/50)</f>
        <v>0</v>
      </c>
      <c r="AP291" s="214">
        <f>IF(W290="",0,W290*1000/BA292^2/SQRT(BA290))</f>
        <v>0</v>
      </c>
      <c r="AQ291" s="213">
        <f>IF(AND(BA290=1,BA291=2),1,IF(AND(BA290=3,BA291=3),1,IF(AND(BA290=1,BA291=3),2,IF(AND(BA290=3,BA291=4)*OR(BB290=1,BB291=1,BB292=1,BB293=1),1,SQRT(3)))))</f>
        <v>1.7320508075688772</v>
      </c>
      <c r="AR291" s="215" t="str">
        <f>IF(X290="","",IF(X290="600V IV",VLOOKUP(X292,ＩＶ,3,FALSE),IF(X290="600V CV-T",VLOOKUP(X292,ＣＶＴ,3,FALSE),IF(OR(X290="600V CV-1C",X290="600V CV-2C",X290="600V CV-3C",X290="600V CV-4C"),VLOOKUP(X292,ＣＶ２３Ｃ,3,FALSE),VLOOKUP(X292,ＣＵＳＥＲ,3,FALSE)))))</f>
        <v/>
      </c>
      <c r="AS291" s="213" t="str">
        <f>IF(AD293="",AP293,AP293+(AD293/1000))</f>
        <v/>
      </c>
      <c r="AT291" s="216" t="str">
        <f>IF(AU293="",AT293,AU293)</f>
        <v/>
      </c>
      <c r="AU291" s="216" t="str">
        <f>IF(D290="","",IF(AND(D550="",#REF!&lt;&gt;"",AV293=#REF!),#REF!,IF(AND(D550="",#REF!="",#REF!&lt;&gt;"",AV553=#REF!),#REF!,IF(AND(D550="",#REF!="",#REF!="",#REF!&lt;&gt;"",#REF!=#REF!),#REF!,IF(AND(D550="",#REF!="",#REF!="",#REF!="",D554&lt;&gt;"",#REF!=#REF!),AT555,IF(AND(D550="",#REF!="",#REF!="",#REF!="",D554="",#REF!&lt;&gt;"",#REF!=AV558),AT556,IF(AND(D550="",#REF!="",#REF!="",#REF!="",D554="",#REF!="",D559&lt;&gt;"",#REF!=AV562),AT560,"")))))))</f>
        <v/>
      </c>
      <c r="AV291" s="215" t="str">
        <f>IF(L290="ACG",IF(ISNA(VLOOKUP(L292,ＡＣＧ,3,FALSE)),0,VLOOKUP(L292,ＡＣＧ,3,FALSE)*BA293/50),"")</f>
        <v/>
      </c>
      <c r="AW291" s="217" t="str">
        <f>IF(AT291="","",(AT291-AP290*(AT290^2+AT291^2))/((AT290*AP290)^2+(AP290*AT291-1)^2))</f>
        <v/>
      </c>
      <c r="AX291" s="218"/>
      <c r="AY291" s="219">
        <f>IF(N(AY293)=10^30,10^30,IF(N(AY553)=10^30,(N(AY293)*(N(AY552)^2+N(AY553)^2)+N(AY553)*(N(AY292)^2+N(AY293)^2))/((N(AY292)+N(AY552))^2+(N(AY293)+N(AY553))^2),(N(AY293)*(N(AY550)^2+N(AY551)^2)+N(AY551)*(N(AY292)^2+N(AY293)^2))/((N(AY292)+N(AY550))^2+(N(AY293)+N(AY551))^2)))</f>
        <v>1E+30</v>
      </c>
      <c r="AZ291" s="23"/>
      <c r="BA291" s="220">
        <f>IF(AND(H290="",SUM(S290:S293)&lt;&gt;0),BA287,H290)</f>
        <v>0</v>
      </c>
      <c r="BB291" s="221">
        <f t="shared" si="5"/>
        <v>0</v>
      </c>
      <c r="BC291" s="232"/>
      <c r="BD291" s="232"/>
    </row>
    <row r="292" spans="1:56" ht="15" customHeight="1">
      <c r="B292" s="85"/>
      <c r="C292" s="271"/>
      <c r="D292" s="409"/>
      <c r="E292" s="362"/>
      <c r="F292" s="413"/>
      <c r="G292" s="414"/>
      <c r="H292" s="414"/>
      <c r="I292" s="414"/>
      <c r="J292" s="414"/>
      <c r="K292" s="415"/>
      <c r="L292" s="416"/>
      <c r="M292" s="275"/>
      <c r="N292" s="412"/>
      <c r="O292" s="198"/>
      <c r="P292" s="93"/>
      <c r="Q292" s="202"/>
      <c r="R292" s="91"/>
      <c r="S292" s="92" t="str">
        <f>IF(R293="","",IF(Q293="",P293/R293,P293/(Q293*R293)))</f>
        <v/>
      </c>
      <c r="T292" s="200"/>
      <c r="U292" s="203" t="str">
        <f>IF(OR(BA292="",S292=""),"",S292*1000*T292/(SQRT(BA290)*BA292))</f>
        <v/>
      </c>
      <c r="V292" s="94" t="str">
        <f>IF(AND(N(U290)=0,N(U291)=0,N(U292)=0,N(U293)=0),"",V290*(P290*R290*T290+P291*R291*T291+P292*R292*T292+P293*R293*T293)/(P290*T290+P291*T291+P292*T292+P293*T293))</f>
        <v/>
      </c>
      <c r="W292" s="276" t="str">
        <f>IF(AND(N(AP292)=0,N(AP293)=0,N(AP291)=0),"",IF(AP293&gt;=0,COS(ATAN(AP293/AP292)),-COS(ATAN(AP293/AP292))))</f>
        <v/>
      </c>
      <c r="X292" s="95"/>
      <c r="Y292" s="204"/>
      <c r="Z292" s="96"/>
      <c r="AA292" s="97"/>
      <c r="AB292" s="98"/>
      <c r="AC292" s="204"/>
      <c r="AD292" s="96"/>
      <c r="AE292" s="99"/>
      <c r="AF292" s="236" t="str">
        <f>IF(OR(AF290="",AG286&lt;&gt;""),"",BA292/SQRT(AW292^2+AW293^2))</f>
        <v/>
      </c>
      <c r="AG292" s="274" t="str">
        <f>IF(AG290="","",100*((BA292/AQ291)-AG290)/(BA292/AQ291))</f>
        <v/>
      </c>
      <c r="AH292" s="275"/>
      <c r="AI292" s="261"/>
      <c r="AJ292" s="262"/>
      <c r="AK292" s="264"/>
      <c r="AL292" s="188"/>
      <c r="AM292" s="28"/>
      <c r="AN292" s="222" t="b">
        <f>IF(BA290="","",IF(AND(BA290=3,F292=50,L290="oil cooled type"),VLOOKUP(L292,変３,2,FALSE),IF(AND(BA290=3,F292=50,L290="(F)molded type"),VLOOKUP(L292,変３,7,FALSE),IF(AND(BA290=3,F292=60,L290="oil cooled type"),VLOOKUP(L292,変３,12,FALSE),IF(AND(BA290=3,F292=60,L290="(F)molded type"),VLOOKUP(L292,変３,17,FALSE),FALSE)))))</f>
        <v>0</v>
      </c>
      <c r="AO292" s="215" t="str">
        <f>IF(AND(L286="",N(AY290)&lt;10^29),AY290,"")</f>
        <v/>
      </c>
      <c r="AP292" s="223" t="str">
        <f>IF(V290="","",IF(AND(N(V292)=0,N(AP291)=0),"",AQ292/((AQ292*AP291)^2+(AP291*AQ293-1)^2)))</f>
        <v/>
      </c>
      <c r="AQ292" s="213">
        <f>IF(N(V292)=0,10^30,V292)</f>
        <v>1E+30</v>
      </c>
      <c r="AR292" s="215" t="str">
        <f>IF(AB290="","",IF(AB290="600V IV",VLOOKUP(AB292,ＩＶ,2,FALSE),IF(AB290="600V CV-T",VLOOKUP(AB292,ＣＶＴ,2,FALSE),IF(OR(AB290="600V CV-1C",AB290="600V CV-2C",AB290="600V CV-3C",AB290="600V CV-4C"),VLOOKUP(AB292,ＣＶ２３Ｃ,2,FALSE),VLOOKUP(AB292,ＣＵＳＥＲ,2,FALSE)))))</f>
        <v/>
      </c>
      <c r="AS292" s="213" t="str">
        <f>IF(OR(AND(AS550="",AS551=""),AND(D290="",D550&lt;&gt;"")),AS290,(AS290*(AT550^2+AT551^2)+AT550*(AS290^2+AS291^2))/((AS290+AT550)^2+(AS291+AT551)^2))</f>
        <v/>
      </c>
      <c r="AT292" s="216" t="str">
        <f>IF(X293="",AS292,N(AS292)+(X293/1000))</f>
        <v/>
      </c>
      <c r="AU292" s="216" t="str">
        <f>IF(AU290="","",(AT292*(AU290^2+AU291^2)+AU290*(AT292^2+AT293^2))/((AT292+AU290)^2+(AT293+AU291)^2))</f>
        <v/>
      </c>
      <c r="AV292" s="216">
        <f>IF(BA292=0,1,0)</f>
        <v>1</v>
      </c>
      <c r="AW292" s="217" t="str">
        <f>IF(AO292="","",AW290+AO292)</f>
        <v/>
      </c>
      <c r="AX292" s="218" t="str">
        <f>IF(AND(AX288="",AW292&lt;&gt;""),BA292*SQRT(AW290^2+AW291^2)/SQRT(AW292^2+AW293^2),IF(BA292&lt;&gt;0,AX288,""))</f>
        <v/>
      </c>
      <c r="AY292" s="224">
        <f>IF(L292="",10^30,SQRT(BA290)*(BA292^2)*(N(AN290)+N(AN292)+N(AO290)+N(AV290))/(100000*L292*M290))</f>
        <v>1E+30</v>
      </c>
      <c r="AZ292" s="225"/>
      <c r="BA292" s="220">
        <f>IF(AND(J290="",SUM(S290:S293)&lt;&gt;0),BA288,J290)</f>
        <v>0</v>
      </c>
      <c r="BB292" s="221">
        <f t="shared" si="5"/>
        <v>0</v>
      </c>
      <c r="BC292" s="232"/>
      <c r="BD292" s="232"/>
    </row>
    <row r="293" spans="1:56" ht="15" customHeight="1">
      <c r="A293" s="85"/>
      <c r="B293" s="85"/>
      <c r="C293" s="271"/>
      <c r="D293" s="417"/>
      <c r="E293" s="418"/>
      <c r="F293" s="419"/>
      <c r="G293" s="270"/>
      <c r="H293" s="270"/>
      <c r="I293" s="270"/>
      <c r="J293" s="270"/>
      <c r="K293" s="268"/>
      <c r="L293" s="251" t="str">
        <f>IF(M290="","",L292*1000*M290/(SQRT(BA290)*BA292))</f>
        <v/>
      </c>
      <c r="M293" s="252"/>
      <c r="N293" s="277"/>
      <c r="O293" s="205"/>
      <c r="P293" s="106"/>
      <c r="Q293" s="206"/>
      <c r="R293" s="107"/>
      <c r="S293" s="108" t="str">
        <f>IF(R293="","",IF(Q293="",P293/R293,P293/(Q293*R293)))</f>
        <v/>
      </c>
      <c r="T293" s="207"/>
      <c r="U293" s="208" t="str">
        <f>IF(OR(BA292="",S293=""),"",S293*1000*T293/(SQRT(BA290)*BA292))</f>
        <v/>
      </c>
      <c r="V293" s="109" t="str">
        <f>IF(AND(N(U290)=0,N(U291)=0,N(U292)=0,N(U293)=0),"",IF(V290&gt;=0,SQRT(ABS(V290^2-V292^2)),-SQRT(V290^2-V292^2)))</f>
        <v/>
      </c>
      <c r="W293" s="277"/>
      <c r="X293" s="278" t="str">
        <f>IF(Y292="","",AQ290*Z292*AR290*((1+0.00393*(F293-20))/1.2751)/Y292)</f>
        <v/>
      </c>
      <c r="Y293" s="270"/>
      <c r="Z293" s="267" t="str">
        <f>IF(Y292="","",(BA293/50)*AQ290*Z292*AR291/Y292)</f>
        <v/>
      </c>
      <c r="AA293" s="252"/>
      <c r="AB293" s="279" t="str">
        <f>IF(AC292="","",AQ290*AD292*AR292*((1+0.00393*(F293-20))/1.2751)/AC292)</f>
        <v/>
      </c>
      <c r="AC293" s="270"/>
      <c r="AD293" s="267" t="str">
        <f>IF(AC292="","",(BA293/50)*AQ290*AD292*AR293/AC292)</f>
        <v/>
      </c>
      <c r="AE293" s="268"/>
      <c r="AF293" s="237" t="str">
        <f>IF(AND(AX290&lt;&gt;"",D290=""),AX290,"")</f>
        <v/>
      </c>
      <c r="AG293" s="269" t="str">
        <f>IF(AP292="","",AP292)</f>
        <v/>
      </c>
      <c r="AH293" s="270"/>
      <c r="AI293" s="238" t="str">
        <f>IF(AP293="","",AP293)</f>
        <v/>
      </c>
      <c r="AJ293" s="263"/>
      <c r="AK293" s="253"/>
      <c r="AL293" s="189"/>
      <c r="AM293" s="28"/>
      <c r="AN293" s="226" t="b">
        <f>IF(BA290="","",IF(AND(BA290=3,F292=50,L290="oil cooled type"),VLOOKUP(L292,変３,3,FALSE),IF(AND(BA290=3,F292=50,L290="(F)molded type"),VLOOKUP(L292,変３,8,FALSE),IF(AND(BA290=3,F292=60,L290="oil cooled type"),VLOOKUP(L292,変３,13,FALSE),IF(AND(BA290=3,F292=60,L290="(F)molded type"),VLOOKUP(L292,変３,18,FALSE),FALSE)))))</f>
        <v>0</v>
      </c>
      <c r="AO293" s="226" t="str">
        <f>IF(AND(L286="",N(AY291)&lt;10^29),AY291,"")</f>
        <v/>
      </c>
      <c r="AP293" s="227" t="str">
        <f>IF(V290="","",IF(AND(N(V293)=0,N(AP291)=0),0,(AQ293-AP291*(AQ292^2+AQ293^2))/((AQ292*AP291)^2+(AP291*AQ293-1)^2)))</f>
        <v/>
      </c>
      <c r="AQ293" s="228">
        <f>IF(N(V293)=0,10^30,V293)</f>
        <v>1E+30</v>
      </c>
      <c r="AR293" s="226" t="str">
        <f>IF(AB290="","",IF(AB290="600V IV",VLOOKUP(AB292,ＩＶ,3,FALSE),IF(AB290="600V CV-T",VLOOKUP(AB292,ＣＶＴ,3,FALSE),IF(OR(AB290="600V CV-1C",AB290="600V CV-2C",AB290="600V CV-3C",AB290="600V CV-4C"),VLOOKUP(AB292,ＣＶ２３Ｃ,3,FALSE),VLOOKUP(AB292,ＣＵＳＥＲ,3,FALSE)))))</f>
        <v/>
      </c>
      <c r="AS293" s="228" t="str">
        <f>IF(OR(AND(AS550="",AS551=""),AND(D290="",D550&lt;&gt;"")),AS291,(AS291*(AT550^2+AT551^2)+AT551*(AS290^2+AS291^2))/((AS290+AT550)^2+(AS291+AT551)^2))</f>
        <v/>
      </c>
      <c r="AT293" s="229" t="str">
        <f>IF(Z293="",AS293,N(AS293)+(Z293/1000))</f>
        <v/>
      </c>
      <c r="AU293" s="229" t="str">
        <f>IF(AU291="","",(AT293*(AU290^2+AU291^2)+AU291*(AT292^2+AT293^2))/((AT292+AU290)^2+(AT293+AU291)^2))</f>
        <v/>
      </c>
      <c r="AV293" s="229">
        <f>AV289+AV292</f>
        <v>69</v>
      </c>
      <c r="AW293" s="228" t="str">
        <f>IF(AO293="","",AW291+AO293)</f>
        <v/>
      </c>
      <c r="AX293" s="230"/>
      <c r="AY293" s="224">
        <f>IF(L292="",10^30,SQRT(BA290)*(BA292^2)*(N(AN291)+N(AN293)+N(AO291)+N(AV291))/(100000*L292*M290))</f>
        <v>1E+30</v>
      </c>
      <c r="AZ293" s="225"/>
      <c r="BA293" s="220">
        <f>IF(AND(F292="",SUM(S290:S293)&lt;&gt;0),BA289,F292)</f>
        <v>0</v>
      </c>
      <c r="BB293" s="221">
        <f t="shared" si="5"/>
        <v>0</v>
      </c>
      <c r="BC293" s="232"/>
      <c r="BD293" s="232"/>
    </row>
    <row r="294" spans="1:56" ht="15" customHeight="1">
      <c r="B294" s="85"/>
      <c r="C294" s="271" t="str">
        <f>IF(BC294=1,"●","・")</f>
        <v>・</v>
      </c>
      <c r="D294" s="402"/>
      <c r="E294" s="403"/>
      <c r="F294" s="404"/>
      <c r="G294" s="265" t="str">
        <f>IF(F294="","","φ")</f>
        <v/>
      </c>
      <c r="H294" s="405"/>
      <c r="I294" s="265" t="str">
        <f>IF(H294="","","W")</f>
        <v/>
      </c>
      <c r="J294" s="405"/>
      <c r="K294" s="272" t="str">
        <f>IF(J294="","","V")</f>
        <v/>
      </c>
      <c r="L294" s="406"/>
      <c r="M294" s="407"/>
      <c r="N294" s="408"/>
      <c r="O294" s="193"/>
      <c r="P294" s="86"/>
      <c r="Q294" s="194"/>
      <c r="R294" s="87"/>
      <c r="S294" s="88" t="str">
        <f>IF(R294="","",IF(Q294="",P294/R294,P294/(Q294*R294)))</f>
        <v/>
      </c>
      <c r="T294" s="195"/>
      <c r="U294" s="196" t="str">
        <f>IF(OR(BA296="",S294=""),"",S294*1000*T294/(SQRT(BA294)*BA296))</f>
        <v/>
      </c>
      <c r="V294" s="254" t="str">
        <f>IF(AND(N(U294)=0,N(U295)=0,N(U296)=0,N(U297)=0),"",BA296/(SUM(U294:U297)))</f>
        <v/>
      </c>
      <c r="W294" s="280"/>
      <c r="X294" s="281"/>
      <c r="Y294" s="242"/>
      <c r="Z294" s="243"/>
      <c r="AA294" s="239"/>
      <c r="AB294" s="241"/>
      <c r="AC294" s="242"/>
      <c r="AD294" s="243"/>
      <c r="AE294" s="247"/>
      <c r="AF294" s="233" t="str">
        <f>IF(OR(AND(AF290="",N(BA292)=0,BA296&lt;&gt;0),D294&lt;&gt;""),AX296/AQ295,"")</f>
        <v/>
      </c>
      <c r="AG294" s="249" t="str">
        <f>IF(BA296=0,"",IF(AD296="",AX294,IF(AND(D294&lt;&gt;"",AU294=""),AX296*SQRT(AP296^2+AP297^2)/SQRT(AS294^2+AS295^2)/AQ295,AX294*SQRT(AP296^2+AP297^2)/SQRT(AS294^2+AS295^2))))</f>
        <v/>
      </c>
      <c r="AH294" s="250"/>
      <c r="AI294" s="234" t="str">
        <f>IF(AG294="","",IF(N(U294)&lt;0,-AX294*AQ295/SQRT(AS294^2+AS295^2),AX294*AQ295/SQRT(AS294^2+AS295^2)))</f>
        <v/>
      </c>
      <c r="AJ294" s="256"/>
      <c r="AK294" s="257"/>
      <c r="AL294" s="186"/>
      <c r="AM294" s="28"/>
      <c r="AN294" s="213" t="b">
        <f>IF(BA294="","",IF(AND(BA294=1,F296=50,L294="oil cooled type"),VLOOKUP(L296,変１,2,FALSE),IF(AND(BA294=1,F296=50,L294="(F)molded type"),VLOOKUP(L296,変１,7,FALSE),IF(AND(BA294=1,F296=60,L294="oil cooled type"),VLOOKUP(L296,変１,12,FALSE),IF(AND(BA294=1,F296=60,L294="(F)molded type"),VLOOKUP(L296,変１,17,FALSE),FALSE)))))</f>
        <v>0</v>
      </c>
      <c r="AO294" s="213">
        <f>IF(ISNA(VLOOKUP(L296,変ＵＳＥＲ,2,FALSE)),0,VLOOKUP(L296,変ＵＳＥＲ,2,FALSE))</f>
        <v>0</v>
      </c>
      <c r="AP294" s="214">
        <f>IF(N294="",0,N294*1000/BA296^2/SQRT(BA294))</f>
        <v>0</v>
      </c>
      <c r="AQ294" s="213" t="b">
        <f>IF(BA294=1,2,IF(BA294=3,SQRT(3),FALSE))</f>
        <v>0</v>
      </c>
      <c r="AR294" s="215" t="str">
        <f>IF(X294="","",IF(X294="600V IV",VLOOKUP(X296,ＩＶ,2,FALSE),IF(X294="600V CV-T",VLOOKUP(X296,ＣＶＴ,2,FALSE),IF(OR(X294="600V CV-1C",X294="600V CV-2C",X294="600V CV-3C",X294="600V CV-4C"),VLOOKUP(X296,ＣＶ２３Ｃ,2,FALSE),VLOOKUP(X296,ＣＵＳＥＲ,2,FALSE)))))</f>
        <v/>
      </c>
      <c r="AS294" s="213" t="str">
        <f>IF(AB297="",AP296,AP296+(AB297/1000))</f>
        <v/>
      </c>
      <c r="AT294" s="216" t="str">
        <f>IF(AU296="",AT296,AU296)</f>
        <v/>
      </c>
      <c r="AU294" s="216" t="str">
        <f>IF(D294="","",IF(AND(D374="",#REF!&lt;&gt;"",AV297=#REF!),#REF!,IF(AND(D374="",#REF!="",#REF!&lt;&gt;"",AV377=#REF!),#REF!,IF(AND(D374="",#REF!="",#REF!="",#REF!&lt;&gt;"",#REF!=#REF!),#REF!,IF(AND(D374="",#REF!="",#REF!="",#REF!="",D378&lt;&gt;"",#REF!=#REF!),AT378,IF(AND(D374="",#REF!="",#REF!="",#REF!="",D378="",#REF!&lt;&gt;"",#REF!=AV382),#REF!,IF(AND(D374="",#REF!="",#REF!="",#REF!="",D378="",#REF!="",D383&lt;&gt;"",#REF!=AV386),AT383,"")))))))</f>
        <v/>
      </c>
      <c r="AV294" s="216" t="str">
        <f>IF(L294="ACG",IF(ISNA(VLOOKUP(L296,ＡＣＧ,2,FALSE)),0,VLOOKUP(L296,ＡＣＧ,2,FALSE)),"")</f>
        <v/>
      </c>
      <c r="AW294" s="217" t="str">
        <f>IF(AT294="","",AT294/((AT294*AP294)^2+(AT295*AP294-1)^2))</f>
        <v/>
      </c>
      <c r="AX294" s="218" t="str">
        <f>IF(BA296=0,"",IF(OR(AX110="",AF294&lt;&gt;""),AF294*SQRT(AS296^2+AS297^2)/SQRT(AT296^2+AT297^2),AX110*SQRT(AS296^2+AS297^2)/SQRT(AT296^2+AT297^2)))</f>
        <v/>
      </c>
      <c r="AY294" s="219">
        <f>IF(N(AY296)=10^30,10^30,IF(N(AY376)=10^30,(N(AY296)*(N(AY376)^2+N(AY377)^2)+N(AY376)*(N(AY296)^2+N(AY297)^2))/((N(AY296)+N(AY376))^2+(N(AY297)+N(AY377))^2),(N(AY296)*(N(AY374)^2+N(AY375)^2)+N(AY374)*(N(AY296)^2+N(AY297)^2))/((N(AY296)+N(AY374))^2+(N(AY297)+N(AY375))^2)))</f>
        <v>1E+30</v>
      </c>
      <c r="AZ294" s="23"/>
      <c r="BA294" s="220">
        <f>IF(AND(F294="",SUM(S294:S297)&lt;&gt;0),BA110,F294)</f>
        <v>0</v>
      </c>
      <c r="BB294" s="221">
        <f t="shared" ref="BB294:BB317" si="6">IF(OR(O294="熱源動力",O294="換気動力",O294="衛生動力",O294="生産動力",O294="動力差込",O294="防災動力"),1,0)</f>
        <v>0</v>
      </c>
      <c r="BC294" s="232">
        <f>IF(OR(E294="",F297="",AND(OR(P294="",Q294="",R294="",T294=""),OR(P295="",Q295="",R295="",T295=""),OR(P296="",Q296="",R296="",T296=""),OR(P297="",Q297="",R297="",T297="")),AND(OR(X294="",X296="",Y296="",Z296=""),OR(AB294="",AB296="",AC296="",AD296=""))),0,1)</f>
        <v>0</v>
      </c>
      <c r="BD294" s="232">
        <f>BC294+BD290</f>
        <v>0</v>
      </c>
    </row>
    <row r="295" spans="1:56" ht="15" customHeight="1">
      <c r="B295" s="85"/>
      <c r="C295" s="271"/>
      <c r="D295" s="409"/>
      <c r="E295" s="362"/>
      <c r="F295" s="410"/>
      <c r="G295" s="266"/>
      <c r="H295" s="266"/>
      <c r="I295" s="266"/>
      <c r="J295" s="266"/>
      <c r="K295" s="273"/>
      <c r="L295" s="411"/>
      <c r="M295" s="197" t="str">
        <f>IF(L294="ACG",SQRT(AV294^2+AV295^2),IF(L296="","",IF(OR(L294="oil cooled type",L294="(F)molded type"),IF(BA294=1,SQRT(AN294^2+AN295^2),IF(BA294=3,SQRT(AN296^2+AN297^2))),SQRT(AO294^2+AO295^2))))</f>
        <v/>
      </c>
      <c r="N295" s="412"/>
      <c r="O295" s="198"/>
      <c r="P295" s="90"/>
      <c r="Q295" s="199"/>
      <c r="R295" s="91"/>
      <c r="S295" s="92" t="str">
        <f>IF(R296="","",IF(Q296="",P296/R296,P296/(Q296*R296)))</f>
        <v/>
      </c>
      <c r="T295" s="200"/>
      <c r="U295" s="201" t="str">
        <f>IF(OR(BA296="",S295=""),"",S295*1000*T295/(SQRT(BA294)*BA296))</f>
        <v/>
      </c>
      <c r="V295" s="255"/>
      <c r="W295" s="248"/>
      <c r="X295" s="258"/>
      <c r="Y295" s="245"/>
      <c r="Z295" s="246"/>
      <c r="AA295" s="240"/>
      <c r="AB295" s="244"/>
      <c r="AC295" s="245"/>
      <c r="AD295" s="246"/>
      <c r="AE295" s="248"/>
      <c r="AF295" s="235" t="str">
        <f>IF(OR(AF294="",AG290&lt;&gt;""),"",AF294*AQ295/SQRT(AT294^2+AT295^2))</f>
        <v/>
      </c>
      <c r="AG295" s="274" t="str">
        <f>IF(AG294="","",100*AG294*AQ295/BA296)</f>
        <v/>
      </c>
      <c r="AH295" s="275"/>
      <c r="AI295" s="260" t="str">
        <f>IF(BA296=0,"",IF(AI290="",AX296/SQRT(AT294^2+AT295^2),IF(AI298="","",IF(AT294&lt;0,-AX294*AQ291/SQRT(AT294^2+AT295^2),AX294*AQ291/SQRT(AT294^2+AT295^2)))))</f>
        <v/>
      </c>
      <c r="AJ295" s="258"/>
      <c r="AK295" s="259"/>
      <c r="AL295" s="187"/>
      <c r="AM295" s="28"/>
      <c r="AN295" s="213" t="b">
        <f>IF(BA294="","",IF(AND(BA294=1,F296=50,L294="oil cooled type"),VLOOKUP(L296,変１,3,FALSE),IF(AND(BA294=1,F296=50,L294="(F)molded type"),VLOOKUP(L296,変１,8,FALSE),IF(AND(BA294=1,F296=60,L294="oil cooled type"),VLOOKUP(L296,変１,13,FALSE),IF(AND(BA294=1,F296=60,L294="(F)molded type"),VLOOKUP(L296,変１,18,FALSE),FALSE)))))</f>
        <v>0</v>
      </c>
      <c r="AO295" s="213">
        <f>IF(ISNA(VLOOKUP(L296,変ＵＳＥＲ,3,FALSE)),0,VLOOKUP(L296,変ＵＳＥＲ,3,FALSE)*BA297/50)</f>
        <v>0</v>
      </c>
      <c r="AP295" s="214">
        <f>IF(W294="",0,W294*1000/BA296^2/SQRT(BA294))</f>
        <v>0</v>
      </c>
      <c r="AQ295" s="213">
        <f>IF(AND(BA294=1,BA295=2),1,IF(AND(BA294=3,BA295=3),1,IF(AND(BA294=1,BA295=3),2,IF(AND(BA294=3,BA295=4)*OR(BB294=1,BB295=1,BB296=1,BB297=1),1,SQRT(3)))))</f>
        <v>1.7320508075688772</v>
      </c>
      <c r="AR295" s="215" t="str">
        <f>IF(X294="","",IF(X294="600V IV",VLOOKUP(X296,ＩＶ,3,FALSE),IF(X294="600V CV-T",VLOOKUP(X296,ＣＶＴ,3,FALSE),IF(OR(X294="600V CV-1C",X294="600V CV-2C",X294="600V CV-3C",X294="600V CV-4C"),VLOOKUP(X296,ＣＶ２３Ｃ,3,FALSE),VLOOKUP(X296,ＣＵＳＥＲ,3,FALSE)))))</f>
        <v/>
      </c>
      <c r="AS295" s="213" t="str">
        <f>IF(AD297="",AP297,AP297+(AD297/1000))</f>
        <v/>
      </c>
      <c r="AT295" s="216" t="str">
        <f>IF(AU297="",AT297,AU297)</f>
        <v/>
      </c>
      <c r="AU295" s="216" t="str">
        <f>IF(D294="","",IF(AND(D374="",#REF!&lt;&gt;"",AV297=#REF!),#REF!,IF(AND(D374="",#REF!="",#REF!&lt;&gt;"",AV377=#REF!),#REF!,IF(AND(D374="",#REF!="",#REF!="",#REF!&lt;&gt;"",#REF!=#REF!),#REF!,IF(AND(D374="",#REF!="",#REF!="",#REF!="",D378&lt;&gt;"",#REF!=#REF!),AT379,IF(AND(D374="",#REF!="",#REF!="",#REF!="",D378="",#REF!&lt;&gt;"",#REF!=AV382),AT380,IF(AND(D374="",#REF!="",#REF!="",#REF!="",D378="",#REF!="",D383&lt;&gt;"",#REF!=AV386),AT384,"")))))))</f>
        <v/>
      </c>
      <c r="AV295" s="215" t="str">
        <f>IF(L294="ACG",IF(ISNA(VLOOKUP(L296,ＡＣＧ,3,FALSE)),0,VLOOKUP(L296,ＡＣＧ,3,FALSE)*BA297/50),"")</f>
        <v/>
      </c>
      <c r="AW295" s="217" t="str">
        <f>IF(AT295="","",(AT295-AP294*(AT294^2+AT295^2))/((AT294*AP294)^2+(AP294*AT295-1)^2))</f>
        <v/>
      </c>
      <c r="AX295" s="218"/>
      <c r="AY295" s="219">
        <f>IF(N(AY297)=10^30,10^30,IF(N(AY377)=10^30,(N(AY297)*(N(AY376)^2+N(AY377)^2)+N(AY377)*(N(AY296)^2+N(AY297)^2))/((N(AY296)+N(AY376))^2+(N(AY297)+N(AY377))^2),(N(AY297)*(N(AY374)^2+N(AY375)^2)+N(AY375)*(N(AY296)^2+N(AY297)^2))/((N(AY296)+N(AY374))^2+(N(AY297)+N(AY375))^2)))</f>
        <v>1E+30</v>
      </c>
      <c r="AZ295" s="23"/>
      <c r="BA295" s="220">
        <f>IF(AND(H294="",SUM(S294:S297)&lt;&gt;0),BA111,H294)</f>
        <v>0</v>
      </c>
      <c r="BB295" s="221">
        <f t="shared" si="6"/>
        <v>0</v>
      </c>
      <c r="BC295" s="232"/>
      <c r="BD295" s="232"/>
    </row>
    <row r="296" spans="1:56" ht="15" customHeight="1">
      <c r="B296" s="85"/>
      <c r="C296" s="271"/>
      <c r="D296" s="409"/>
      <c r="E296" s="362"/>
      <c r="F296" s="413"/>
      <c r="G296" s="414"/>
      <c r="H296" s="414"/>
      <c r="I296" s="414"/>
      <c r="J296" s="414"/>
      <c r="K296" s="415"/>
      <c r="L296" s="416"/>
      <c r="M296" s="275"/>
      <c r="N296" s="412"/>
      <c r="O296" s="198"/>
      <c r="P296" s="93"/>
      <c r="Q296" s="202"/>
      <c r="R296" s="91"/>
      <c r="S296" s="92" t="str">
        <f>IF(R297="","",IF(Q297="",P297/R297,P297/(Q297*R297)))</f>
        <v/>
      </c>
      <c r="T296" s="200"/>
      <c r="U296" s="203" t="str">
        <f>IF(OR(BA296="",S296=""),"",S296*1000*T296/(SQRT(BA294)*BA296))</f>
        <v/>
      </c>
      <c r="V296" s="94" t="str">
        <f>IF(AND(N(U294)=0,N(U295)=0,N(U296)=0,N(U297)=0),"",V294*(P294*R294*T294+P295*R295*T295+P296*R296*T296+P297*R297*T297)/(P294*T294+P295*T295+P296*T296+P297*T297))</f>
        <v/>
      </c>
      <c r="W296" s="276" t="str">
        <f>IF(AND(N(AP296)=0,N(AP297)=0,N(AP295)=0),"",IF(AP297&gt;=0,COS(ATAN(AP297/AP296)),-COS(ATAN(AP297/AP296))))</f>
        <v/>
      </c>
      <c r="X296" s="95"/>
      <c r="Y296" s="204"/>
      <c r="Z296" s="96"/>
      <c r="AA296" s="97"/>
      <c r="AB296" s="98"/>
      <c r="AC296" s="204"/>
      <c r="AD296" s="96"/>
      <c r="AE296" s="99"/>
      <c r="AF296" s="236" t="str">
        <f>IF(OR(AF294="",AG290&lt;&gt;""),"",BA296/SQRT(AW296^2+AW297^2))</f>
        <v/>
      </c>
      <c r="AG296" s="274" t="str">
        <f>IF(AG294="","",100*((BA296/AQ295)-AG294)/(BA296/AQ295))</f>
        <v/>
      </c>
      <c r="AH296" s="275"/>
      <c r="AI296" s="261"/>
      <c r="AJ296" s="262"/>
      <c r="AK296" s="264"/>
      <c r="AL296" s="188"/>
      <c r="AM296" s="28"/>
      <c r="AN296" s="222" t="b">
        <f>IF(BA294="","",IF(AND(BA294=3,F296=50,L294="oil cooled type"),VLOOKUP(L296,変３,2,FALSE),IF(AND(BA294=3,F296=50,L294="(F)molded type"),VLOOKUP(L296,変３,7,FALSE),IF(AND(BA294=3,F296=60,L294="oil cooled type"),VLOOKUP(L296,変３,12,FALSE),IF(AND(BA294=3,F296=60,L294="(F)molded type"),VLOOKUP(L296,変３,17,FALSE),FALSE)))))</f>
        <v>0</v>
      </c>
      <c r="AO296" s="215" t="str">
        <f>IF(AND(L110="",N(AY294)&lt;10^29),AY294,"")</f>
        <v/>
      </c>
      <c r="AP296" s="223" t="str">
        <f>IF(V294="","",IF(AND(N(V296)=0,N(AP295)=0),"",AQ296/((AQ296*AP295)^2+(AP295*AQ297-1)^2)))</f>
        <v/>
      </c>
      <c r="AQ296" s="213">
        <f>IF(N(V296)=0,10^30,V296)</f>
        <v>1E+30</v>
      </c>
      <c r="AR296" s="215" t="str">
        <f>IF(AB294="","",IF(AB294="600V IV",VLOOKUP(AB296,ＩＶ,2,FALSE),IF(AB294="600V CV-T",VLOOKUP(AB296,ＣＶＴ,2,FALSE),IF(OR(AB294="600V CV-1C",AB294="600V CV-2C",AB294="600V CV-3C",AB294="600V CV-4C"),VLOOKUP(AB296,ＣＶ２３Ｃ,2,FALSE),VLOOKUP(AB296,ＣＵＳＥＲ,2,FALSE)))))</f>
        <v/>
      </c>
      <c r="AS296" s="213" t="str">
        <f>IF(OR(AND(AS374="",AS375=""),AND(D294="",D374&lt;&gt;"")),AS294,(AS294*(AT374^2+AT375^2)+AT374*(AS294^2+AS295^2))/((AS294+AT374)^2+(AS295+AT375)^2))</f>
        <v/>
      </c>
      <c r="AT296" s="216" t="str">
        <f>IF(X297="",AS296,N(AS296)+(X297/1000))</f>
        <v/>
      </c>
      <c r="AU296" s="216" t="str">
        <f>IF(AU294="","",(AT296*(AU294^2+AU295^2)+AU294*(AT296^2+AT297^2))/((AT296+AU294)^2+(AT297+AU295)^2))</f>
        <v/>
      </c>
      <c r="AV296" s="216">
        <f>IF(BA296=0,1,0)</f>
        <v>1</v>
      </c>
      <c r="AW296" s="217" t="str">
        <f>IF(AO296="","",AW294+AO296)</f>
        <v/>
      </c>
      <c r="AX296" s="218" t="str">
        <f>IF(AND(AX112="",AW296&lt;&gt;""),BA296*SQRT(AW294^2+AW295^2)/SQRT(AW296^2+AW297^2),IF(BA296&lt;&gt;0,AX112,""))</f>
        <v/>
      </c>
      <c r="AY296" s="224">
        <f>IF(L296="",10^30,SQRT(BA294)*(BA296^2)*(N(AN294)+N(AN296)+N(AO294)+N(AV294))/(100000*L296*M294))</f>
        <v>1E+30</v>
      </c>
      <c r="AZ296" s="225"/>
      <c r="BA296" s="220">
        <f>IF(AND(J294="",SUM(S294:S297)&lt;&gt;0),BA112,J294)</f>
        <v>0</v>
      </c>
      <c r="BB296" s="221">
        <f t="shared" si="6"/>
        <v>0</v>
      </c>
      <c r="BC296" s="232"/>
      <c r="BD296" s="232"/>
    </row>
    <row r="297" spans="1:56" ht="15" customHeight="1">
      <c r="A297" s="85"/>
      <c r="B297" s="85"/>
      <c r="C297" s="271"/>
      <c r="D297" s="417"/>
      <c r="E297" s="418"/>
      <c r="F297" s="419"/>
      <c r="G297" s="270"/>
      <c r="H297" s="270"/>
      <c r="I297" s="270"/>
      <c r="J297" s="270"/>
      <c r="K297" s="268"/>
      <c r="L297" s="251" t="str">
        <f>IF(M294="","",L296*1000*M294/(SQRT(BA294)*BA296))</f>
        <v/>
      </c>
      <c r="M297" s="252"/>
      <c r="N297" s="277"/>
      <c r="O297" s="205"/>
      <c r="P297" s="106"/>
      <c r="Q297" s="206"/>
      <c r="R297" s="107"/>
      <c r="S297" s="108" t="str">
        <f>IF(R297="","",IF(Q297="",P297/R297,P297/(Q297*R297)))</f>
        <v/>
      </c>
      <c r="T297" s="207"/>
      <c r="U297" s="208" t="str">
        <f>IF(OR(BA296="",S297=""),"",S297*1000*T297/(SQRT(BA294)*BA296))</f>
        <v/>
      </c>
      <c r="V297" s="109" t="str">
        <f>IF(AND(N(U294)=0,N(U295)=0,N(U296)=0,N(U297)=0),"",IF(V294&gt;=0,SQRT(ABS(V294^2-V296^2)),-SQRT(V294^2-V296^2)))</f>
        <v/>
      </c>
      <c r="W297" s="277"/>
      <c r="X297" s="278" t="str">
        <f>IF(Y296="","",AQ294*Z296*AR294*((1+0.00393*(F297-20))/1.2751)/Y296)</f>
        <v/>
      </c>
      <c r="Y297" s="270"/>
      <c r="Z297" s="267" t="str">
        <f>IF(Y296="","",(BA297/50)*AQ294*Z296*AR295/Y296)</f>
        <v/>
      </c>
      <c r="AA297" s="252"/>
      <c r="AB297" s="279" t="str">
        <f>IF(AC296="","",AQ294*AD296*AR296*((1+0.00393*(F297-20))/1.2751)/AC296)</f>
        <v/>
      </c>
      <c r="AC297" s="270"/>
      <c r="AD297" s="267" t="str">
        <f>IF(AC296="","",(BA297/50)*AQ294*AD296*AR297/AC296)</f>
        <v/>
      </c>
      <c r="AE297" s="268"/>
      <c r="AF297" s="237" t="str">
        <f>IF(AND(AX294&lt;&gt;"",D294=""),AX294,"")</f>
        <v/>
      </c>
      <c r="AG297" s="269" t="str">
        <f>IF(AP296="","",AP296)</f>
        <v/>
      </c>
      <c r="AH297" s="270"/>
      <c r="AI297" s="238" t="str">
        <f>IF(AP297="","",AP297)</f>
        <v/>
      </c>
      <c r="AJ297" s="263"/>
      <c r="AK297" s="253"/>
      <c r="AL297" s="189"/>
      <c r="AM297" s="28"/>
      <c r="AN297" s="226" t="b">
        <f>IF(BA294="","",IF(AND(BA294=3,F296=50,L294="oil cooled type"),VLOOKUP(L296,変３,3,FALSE),IF(AND(BA294=3,F296=50,L294="(F)molded type"),VLOOKUP(L296,変３,8,FALSE),IF(AND(BA294=3,F296=60,L294="oil cooled type"),VLOOKUP(L296,変３,13,FALSE),IF(AND(BA294=3,F296=60,L294="(F)molded type"),VLOOKUP(L296,変３,18,FALSE),FALSE)))))</f>
        <v>0</v>
      </c>
      <c r="AO297" s="226" t="str">
        <f>IF(AND(L110="",N(AY295)&lt;10^29),AY295,"")</f>
        <v/>
      </c>
      <c r="AP297" s="227" t="str">
        <f>IF(V294="","",IF(AND(N(V297)=0,N(AP295)=0),0,(AQ297-AP295*(AQ296^2+AQ297^2))/((AQ296*AP295)^2+(AP295*AQ297-1)^2)))</f>
        <v/>
      </c>
      <c r="AQ297" s="228">
        <f>IF(N(V297)=0,10^30,V297)</f>
        <v>1E+30</v>
      </c>
      <c r="AR297" s="226" t="str">
        <f>IF(AB294="","",IF(AB294="600V IV",VLOOKUP(AB296,ＩＶ,3,FALSE),IF(AB294="600V CV-T",VLOOKUP(AB296,ＣＶＴ,3,FALSE),IF(OR(AB294="600V CV-1C",AB294="600V CV-2C",AB294="600V CV-3C",AB294="600V CV-4C"),VLOOKUP(AB296,ＣＶ２３Ｃ,3,FALSE),VLOOKUP(AB296,ＣＵＳＥＲ,3,FALSE)))))</f>
        <v/>
      </c>
      <c r="AS297" s="228" t="str">
        <f>IF(OR(AND(AS374="",AS375=""),AND(D294="",D374&lt;&gt;"")),AS295,(AS295*(AT374^2+AT375^2)+AT375*(AS294^2+AS295^2))/((AS294+AT374)^2+(AS295+AT375)^2))</f>
        <v/>
      </c>
      <c r="AT297" s="229" t="str">
        <f>IF(Z297="",AS297,N(AS297)+(Z297/1000))</f>
        <v/>
      </c>
      <c r="AU297" s="229" t="str">
        <f>IF(AU295="","",(AT297*(AU294^2+AU295^2)+AU295*(AT296^2+AT297^2))/((AT296+AU294)^2+(AT297+AU295)^2))</f>
        <v/>
      </c>
      <c r="AV297" s="229">
        <f>AV113+AV296</f>
        <v>25</v>
      </c>
      <c r="AW297" s="228" t="str">
        <f>IF(AO297="","",AW295+AO297)</f>
        <v/>
      </c>
      <c r="AX297" s="230"/>
      <c r="AY297" s="224">
        <f>IF(L296="",10^30,SQRT(BA294)*(BA296^2)*(N(AN295)+N(AN297)+N(AO295)+N(AV295))/(100000*L296*M294))</f>
        <v>1E+30</v>
      </c>
      <c r="AZ297" s="225"/>
      <c r="BA297" s="220">
        <f>IF(AND(F296="",SUM(S294:S297)&lt;&gt;0),BA113,F296)</f>
        <v>0</v>
      </c>
      <c r="BB297" s="221">
        <f t="shared" si="6"/>
        <v>0</v>
      </c>
      <c r="BC297" s="232"/>
      <c r="BD297" s="232"/>
    </row>
    <row r="298" spans="1:56" ht="15" customHeight="1">
      <c r="B298" s="85"/>
      <c r="C298" s="271" t="str">
        <f>IF(BC298=1,"●","・")</f>
        <v>・</v>
      </c>
      <c r="D298" s="402"/>
      <c r="E298" s="403"/>
      <c r="F298" s="404"/>
      <c r="G298" s="265" t="str">
        <f>IF(F298="","","φ")</f>
        <v/>
      </c>
      <c r="H298" s="405"/>
      <c r="I298" s="265" t="str">
        <f>IF(H298="","","W")</f>
        <v/>
      </c>
      <c r="J298" s="405"/>
      <c r="K298" s="272" t="str">
        <f>IF(J298="","","V")</f>
        <v/>
      </c>
      <c r="L298" s="406"/>
      <c r="M298" s="407"/>
      <c r="N298" s="408"/>
      <c r="O298" s="193"/>
      <c r="P298" s="86"/>
      <c r="Q298" s="194"/>
      <c r="R298" s="87"/>
      <c r="S298" s="88" t="str">
        <f>IF(R298="","",IF(Q298="",P298/R298,P298/(Q298*R298)))</f>
        <v/>
      </c>
      <c r="T298" s="195"/>
      <c r="U298" s="196" t="str">
        <f>IF(OR(BA300="",S298=""),"",S298*1000*T298/(SQRT(BA298)*BA300))</f>
        <v/>
      </c>
      <c r="V298" s="254" t="str">
        <f>IF(AND(N(U298)=0,N(U299)=0,N(U300)=0,N(U301)=0),"",BA300/(SUM(U298:U301)))</f>
        <v/>
      </c>
      <c r="W298" s="280"/>
      <c r="X298" s="281"/>
      <c r="Y298" s="242"/>
      <c r="Z298" s="243"/>
      <c r="AA298" s="239"/>
      <c r="AB298" s="241"/>
      <c r="AC298" s="242"/>
      <c r="AD298" s="243"/>
      <c r="AE298" s="247"/>
      <c r="AF298" s="233" t="str">
        <f>IF(OR(AND(AF294="",N(BA296)=0,BA300&lt;&gt;0),D298&lt;&gt;""),AX300/AQ299,"")</f>
        <v/>
      </c>
      <c r="AG298" s="249" t="str">
        <f>IF(BA300=0,"",IF(AD300="",AX298,IF(AND(D298&lt;&gt;"",AU298=""),AX300*SQRT(AP300^2+AP301^2)/SQRT(AS298^2+AS299^2)/AQ299,AX298*SQRT(AP300^2+AP301^2)/SQRT(AS298^2+AS299^2))))</f>
        <v/>
      </c>
      <c r="AH298" s="250"/>
      <c r="AI298" s="234" t="str">
        <f>IF(AG298="","",IF(N(U298)&lt;0,-AX298*AQ299/SQRT(AS298^2+AS299^2),AX298*AQ299/SQRT(AS298^2+AS299^2)))</f>
        <v/>
      </c>
      <c r="AJ298" s="256"/>
      <c r="AK298" s="257"/>
      <c r="AL298" s="186"/>
      <c r="AM298" s="28"/>
      <c r="AN298" s="213" t="b">
        <f>IF(BA298="","",IF(AND(BA298=1,F300=50,L298="oil cooled type"),VLOOKUP(L300,変１,2,FALSE),IF(AND(BA298=1,F300=50,L298="(F)molded type"),VLOOKUP(L300,変１,7,FALSE),IF(AND(BA298=1,F300=60,L298="oil cooled type"),VLOOKUP(L300,変１,12,FALSE),IF(AND(BA298=1,F300=60,L298="(F)molded type"),VLOOKUP(L300,変１,17,FALSE),FALSE)))))</f>
        <v>0</v>
      </c>
      <c r="AO298" s="213">
        <f>IF(ISNA(VLOOKUP(L300,変ＵＳＥＲ,2,FALSE)),0,VLOOKUP(L300,変ＵＳＥＲ,2,FALSE))</f>
        <v>0</v>
      </c>
      <c r="AP298" s="214">
        <f>IF(N298="",0,N298*1000/BA300^2/SQRT(BA298))</f>
        <v>0</v>
      </c>
      <c r="AQ298" s="213" t="b">
        <f>IF(BA298=1,2,IF(BA298=3,SQRT(3),FALSE))</f>
        <v>0</v>
      </c>
      <c r="AR298" s="215" t="str">
        <f>IF(X298="","",IF(X298="600V IV",VLOOKUP(X300,ＩＶ,2,FALSE),IF(X298="600V CV-T",VLOOKUP(X300,ＣＶＴ,2,FALSE),IF(OR(X298="600V CV-1C",X298="600V CV-2C",X298="600V CV-3C",X298="600V CV-4C"),VLOOKUP(X300,ＣＶ２３Ｃ,2,FALSE),VLOOKUP(X300,ＣＵＳＥＲ,2,FALSE)))))</f>
        <v/>
      </c>
      <c r="AS298" s="213" t="str">
        <f>IF(AB301="",AP300,AP300+(AB301/1000))</f>
        <v/>
      </c>
      <c r="AT298" s="216" t="str">
        <f>IF(AU300="",AT300,AU300)</f>
        <v/>
      </c>
      <c r="AU298" s="216" t="str">
        <f>IF(D298="","",IF(AND(D378="",#REF!&lt;&gt;"",AV301=#REF!),#REF!,IF(AND(D378="",#REF!="",#REF!&lt;&gt;"",AV381=#REF!),#REF!,IF(AND(D378="",#REF!="",#REF!="",#REF!&lt;&gt;"",#REF!=#REF!),#REF!,IF(AND(D378="",#REF!="",#REF!="",#REF!="",D382&lt;&gt;"",#REF!=#REF!),AT382,IF(AND(D378="",#REF!="",#REF!="",#REF!="",D382="",#REF!&lt;&gt;"",#REF!=AV386),#REF!,IF(AND(D378="",#REF!="",#REF!="",#REF!="",D382="",#REF!="",D387&lt;&gt;"",#REF!=AV390),AT387,"")))))))</f>
        <v/>
      </c>
      <c r="AV298" s="216" t="str">
        <f>IF(L298="ACG",IF(ISNA(VLOOKUP(L300,ＡＣＧ,2,FALSE)),0,VLOOKUP(L300,ＡＣＧ,2,FALSE)),"")</f>
        <v/>
      </c>
      <c r="AW298" s="217" t="str">
        <f>IF(AT298="","",AT298/((AT298*AP298)^2+(AT299*AP298-1)^2))</f>
        <v/>
      </c>
      <c r="AX298" s="218" t="str">
        <f>IF(BA300=0,"",IF(OR(AX294="",AF298&lt;&gt;""),AF298*SQRT(AS300^2+AS301^2)/SQRT(AT300^2+AT301^2),AX294*SQRT(AS300^2+AS301^2)/SQRT(AT300^2+AT301^2)))</f>
        <v/>
      </c>
      <c r="AY298" s="219">
        <f>IF(N(AY300)=10^30,10^30,IF(N(AY380)=10^30,(N(AY300)*(N(AY380)^2+N(AY381)^2)+N(AY380)*(N(AY300)^2+N(AY301)^2))/((N(AY300)+N(AY380))^2+(N(AY301)+N(AY381))^2),(N(AY300)*(N(AY378)^2+N(AY379)^2)+N(AY378)*(N(AY300)^2+N(AY301)^2))/((N(AY300)+N(AY378))^2+(N(AY301)+N(AY379))^2)))</f>
        <v>1E+30</v>
      </c>
      <c r="AZ298" s="23"/>
      <c r="BA298" s="220">
        <f>IF(AND(F298="",SUM(S298:S301)&lt;&gt;0),BA294,F298)</f>
        <v>0</v>
      </c>
      <c r="BB298" s="221">
        <f t="shared" si="6"/>
        <v>0</v>
      </c>
      <c r="BC298" s="232">
        <f>IF(OR(E298="",F301="",AND(OR(P298="",Q298="",R298="",T298=""),OR(P299="",Q299="",R299="",T299=""),OR(P300="",Q300="",R300="",T300=""),OR(P301="",Q301="",R301="",T301="")),AND(OR(X298="",X300="",Y300="",Z300=""),OR(AB298="",AB300="",AC300="",AD300=""))),0,1)</f>
        <v>0</v>
      </c>
      <c r="BD298" s="232">
        <f>BC298+BD294</f>
        <v>0</v>
      </c>
    </row>
    <row r="299" spans="1:56" ht="15" customHeight="1">
      <c r="B299" s="85"/>
      <c r="C299" s="271"/>
      <c r="D299" s="409"/>
      <c r="E299" s="362"/>
      <c r="F299" s="410"/>
      <c r="G299" s="266"/>
      <c r="H299" s="266"/>
      <c r="I299" s="266"/>
      <c r="J299" s="266"/>
      <c r="K299" s="273"/>
      <c r="L299" s="411"/>
      <c r="M299" s="197" t="str">
        <f>IF(L298="ACG",SQRT(AV298^2+AV299^2),IF(L300="","",IF(OR(L298="oil cooled type",L298="(F)molded type"),IF(BA298=1,SQRT(AN298^2+AN299^2),IF(BA298=3,SQRT(AN300^2+AN301^2))),SQRT(AO298^2+AO299^2))))</f>
        <v/>
      </c>
      <c r="N299" s="412"/>
      <c r="O299" s="198"/>
      <c r="P299" s="90"/>
      <c r="Q299" s="199"/>
      <c r="R299" s="91"/>
      <c r="S299" s="92" t="str">
        <f>IF(R300="","",IF(Q300="",P300/R300,P300/(Q300*R300)))</f>
        <v/>
      </c>
      <c r="T299" s="200"/>
      <c r="U299" s="201" t="str">
        <f>IF(OR(BA300="",S299=""),"",S299*1000*T299/(SQRT(BA298)*BA300))</f>
        <v/>
      </c>
      <c r="V299" s="255"/>
      <c r="W299" s="248"/>
      <c r="X299" s="258"/>
      <c r="Y299" s="245"/>
      <c r="Z299" s="246"/>
      <c r="AA299" s="240"/>
      <c r="AB299" s="244"/>
      <c r="AC299" s="245"/>
      <c r="AD299" s="246"/>
      <c r="AE299" s="248"/>
      <c r="AF299" s="235" t="str">
        <f>IF(OR(AF298="",AG294&lt;&gt;""),"",AF298*AQ299/SQRT(AT298^2+AT299^2))</f>
        <v/>
      </c>
      <c r="AG299" s="274" t="str">
        <f>IF(AG298="","",100*AG298*AQ299/BA300)</f>
        <v/>
      </c>
      <c r="AH299" s="275"/>
      <c r="AI299" s="260" t="str">
        <f>IF(BA300=0,"",IF(AI294="",AX300/SQRT(AT298^2+AT299^2),IF(AI302="","",IF(AT298&lt;0,-AX298*AQ295/SQRT(AT298^2+AT299^2),AX298*AQ295/SQRT(AT298^2+AT299^2)))))</f>
        <v/>
      </c>
      <c r="AJ299" s="258"/>
      <c r="AK299" s="259"/>
      <c r="AL299" s="187"/>
      <c r="AM299" s="28"/>
      <c r="AN299" s="213" t="b">
        <f>IF(BA298="","",IF(AND(BA298=1,F300=50,L298="oil cooled type"),VLOOKUP(L300,変１,3,FALSE),IF(AND(BA298=1,F300=50,L298="(F)molded type"),VLOOKUP(L300,変１,8,FALSE),IF(AND(BA298=1,F300=60,L298="oil cooled type"),VLOOKUP(L300,変１,13,FALSE),IF(AND(BA298=1,F300=60,L298="(F)molded type"),VLOOKUP(L300,変１,18,FALSE),FALSE)))))</f>
        <v>0</v>
      </c>
      <c r="AO299" s="213">
        <f>IF(ISNA(VLOOKUP(L300,変ＵＳＥＲ,3,FALSE)),0,VLOOKUP(L300,変ＵＳＥＲ,3,FALSE)*BA301/50)</f>
        <v>0</v>
      </c>
      <c r="AP299" s="214">
        <f>IF(W298="",0,W298*1000/BA300^2/SQRT(BA298))</f>
        <v>0</v>
      </c>
      <c r="AQ299" s="213">
        <f>IF(AND(BA298=1,BA299=2),1,IF(AND(BA298=3,BA299=3),1,IF(AND(BA298=1,BA299=3),2,IF(AND(BA298=3,BA299=4)*OR(BB298=1,BB299=1,BB300=1,BB301=1),1,SQRT(3)))))</f>
        <v>1.7320508075688772</v>
      </c>
      <c r="AR299" s="215" t="str">
        <f>IF(X298="","",IF(X298="600V IV",VLOOKUP(X300,ＩＶ,3,FALSE),IF(X298="600V CV-T",VLOOKUP(X300,ＣＶＴ,3,FALSE),IF(OR(X298="600V CV-1C",X298="600V CV-2C",X298="600V CV-3C",X298="600V CV-4C"),VLOOKUP(X300,ＣＶ２３Ｃ,3,FALSE),VLOOKUP(X300,ＣＵＳＥＲ,3,FALSE)))))</f>
        <v/>
      </c>
      <c r="AS299" s="213" t="str">
        <f>IF(AD301="",AP301,AP301+(AD301/1000))</f>
        <v/>
      </c>
      <c r="AT299" s="216" t="str">
        <f>IF(AU301="",AT301,AU301)</f>
        <v/>
      </c>
      <c r="AU299" s="216" t="str">
        <f>IF(D298="","",IF(AND(D378="",#REF!&lt;&gt;"",AV301=#REF!),#REF!,IF(AND(D378="",#REF!="",#REF!&lt;&gt;"",AV381=#REF!),#REF!,IF(AND(D378="",#REF!="",#REF!="",#REF!&lt;&gt;"",#REF!=#REF!),#REF!,IF(AND(D378="",#REF!="",#REF!="",#REF!="",D382&lt;&gt;"",#REF!=#REF!),AT383,IF(AND(D378="",#REF!="",#REF!="",#REF!="",D382="",#REF!&lt;&gt;"",#REF!=AV386),AT384,IF(AND(D378="",#REF!="",#REF!="",#REF!="",D382="",#REF!="",D387&lt;&gt;"",#REF!=AV390),AT388,"")))))))</f>
        <v/>
      </c>
      <c r="AV299" s="215" t="str">
        <f>IF(L298="ACG",IF(ISNA(VLOOKUP(L300,ＡＣＧ,3,FALSE)),0,VLOOKUP(L300,ＡＣＧ,3,FALSE)*BA301/50),"")</f>
        <v/>
      </c>
      <c r="AW299" s="217" t="str">
        <f>IF(AT299="","",(AT299-AP298*(AT298^2+AT299^2))/((AT298*AP298)^2+(AP298*AT299-1)^2))</f>
        <v/>
      </c>
      <c r="AX299" s="218"/>
      <c r="AY299" s="219">
        <f>IF(N(AY301)=10^30,10^30,IF(N(AY381)=10^30,(N(AY301)*(N(AY380)^2+N(AY381)^2)+N(AY381)*(N(AY300)^2+N(AY301)^2))/((N(AY300)+N(AY380))^2+(N(AY301)+N(AY381))^2),(N(AY301)*(N(AY378)^2+N(AY379)^2)+N(AY379)*(N(AY300)^2+N(AY301)^2))/((N(AY300)+N(AY378))^2+(N(AY301)+N(AY379))^2)))</f>
        <v>1E+30</v>
      </c>
      <c r="AZ299" s="23"/>
      <c r="BA299" s="220">
        <f>IF(AND(H298="",SUM(S298:S301)&lt;&gt;0),BA295,H298)</f>
        <v>0</v>
      </c>
      <c r="BB299" s="221">
        <f t="shared" si="6"/>
        <v>0</v>
      </c>
      <c r="BC299" s="232"/>
      <c r="BD299" s="232"/>
    </row>
    <row r="300" spans="1:56" ht="15" customHeight="1">
      <c r="B300" s="85"/>
      <c r="C300" s="271"/>
      <c r="D300" s="409"/>
      <c r="E300" s="362"/>
      <c r="F300" s="413"/>
      <c r="G300" s="414"/>
      <c r="H300" s="414"/>
      <c r="I300" s="414"/>
      <c r="J300" s="414"/>
      <c r="K300" s="415"/>
      <c r="L300" s="416"/>
      <c r="M300" s="275"/>
      <c r="N300" s="412"/>
      <c r="O300" s="198"/>
      <c r="P300" s="93"/>
      <c r="Q300" s="202"/>
      <c r="R300" s="91"/>
      <c r="S300" s="92" t="str">
        <f>IF(R301="","",IF(Q301="",P301/R301,P301/(Q301*R301)))</f>
        <v/>
      </c>
      <c r="T300" s="200"/>
      <c r="U300" s="203" t="str">
        <f>IF(OR(BA300="",S300=""),"",S300*1000*T300/(SQRT(BA298)*BA300))</f>
        <v/>
      </c>
      <c r="V300" s="94" t="str">
        <f>IF(AND(N(U298)=0,N(U299)=0,N(U300)=0,N(U301)=0),"",V298*(P298*R298*T298+P299*R299*T299+P300*R300*T300+P301*R301*T301)/(P298*T298+P299*T299+P300*T300+P301*T301))</f>
        <v/>
      </c>
      <c r="W300" s="276" t="str">
        <f>IF(AND(N(AP300)=0,N(AP301)=0,N(AP299)=0),"",IF(AP301&gt;=0,COS(ATAN(AP301/AP300)),-COS(ATAN(AP301/AP300))))</f>
        <v/>
      </c>
      <c r="X300" s="95"/>
      <c r="Y300" s="204"/>
      <c r="Z300" s="96"/>
      <c r="AA300" s="97"/>
      <c r="AB300" s="98"/>
      <c r="AC300" s="204"/>
      <c r="AD300" s="96"/>
      <c r="AE300" s="99"/>
      <c r="AF300" s="236" t="str">
        <f>IF(OR(AF298="",AG294&lt;&gt;""),"",BA300/SQRT(AW300^2+AW301^2))</f>
        <v/>
      </c>
      <c r="AG300" s="274" t="str">
        <f>IF(AG298="","",100*((BA300/AQ299)-AG298)/(BA300/AQ299))</f>
        <v/>
      </c>
      <c r="AH300" s="275"/>
      <c r="AI300" s="261"/>
      <c r="AJ300" s="262"/>
      <c r="AK300" s="264"/>
      <c r="AL300" s="188"/>
      <c r="AM300" s="28"/>
      <c r="AN300" s="222" t="b">
        <f>IF(BA298="","",IF(AND(BA298=3,F300=50,L298="oil cooled type"),VLOOKUP(L300,変３,2,FALSE),IF(AND(BA298=3,F300=50,L298="(F)molded type"),VLOOKUP(L300,変３,7,FALSE),IF(AND(BA298=3,F300=60,L298="oil cooled type"),VLOOKUP(L300,変３,12,FALSE),IF(AND(BA298=3,F300=60,L298="(F)molded type"),VLOOKUP(L300,変３,17,FALSE),FALSE)))))</f>
        <v>0</v>
      </c>
      <c r="AO300" s="215" t="str">
        <f>IF(AND(L294="",N(AY298)&lt;10^29),AY298,"")</f>
        <v/>
      </c>
      <c r="AP300" s="223" t="str">
        <f>IF(V298="","",IF(AND(N(V300)=0,N(AP299)=0),"",AQ300/((AQ300*AP299)^2+(AP299*AQ301-1)^2)))</f>
        <v/>
      </c>
      <c r="AQ300" s="213">
        <f>IF(N(V300)=0,10^30,V300)</f>
        <v>1E+30</v>
      </c>
      <c r="AR300" s="215" t="str">
        <f>IF(AB298="","",IF(AB298="600V IV",VLOOKUP(AB300,ＩＶ,2,FALSE),IF(AB298="600V CV-T",VLOOKUP(AB300,ＣＶＴ,2,FALSE),IF(OR(AB298="600V CV-1C",AB298="600V CV-2C",AB298="600V CV-3C",AB298="600V CV-4C"),VLOOKUP(AB300,ＣＶ２３Ｃ,2,FALSE),VLOOKUP(AB300,ＣＵＳＥＲ,2,FALSE)))))</f>
        <v/>
      </c>
      <c r="AS300" s="213" t="str">
        <f>IF(OR(AND(AS378="",AS379=""),AND(D298="",D378&lt;&gt;"")),AS298,(AS298*(AT378^2+AT379^2)+AT378*(AS298^2+AS299^2))/((AS298+AT378)^2+(AS299+AT379)^2))</f>
        <v/>
      </c>
      <c r="AT300" s="216" t="str">
        <f>IF(X301="",AS300,N(AS300)+(X301/1000))</f>
        <v/>
      </c>
      <c r="AU300" s="216" t="str">
        <f>IF(AU298="","",(AT300*(AU298^2+AU299^2)+AU298*(AT300^2+AT301^2))/((AT300+AU298)^2+(AT301+AU299)^2))</f>
        <v/>
      </c>
      <c r="AV300" s="216">
        <f>IF(BA300=0,1,0)</f>
        <v>1</v>
      </c>
      <c r="AW300" s="217" t="str">
        <f>IF(AO300="","",AW298+AO300)</f>
        <v/>
      </c>
      <c r="AX300" s="218" t="str">
        <f>IF(AND(AX296="",AW300&lt;&gt;""),BA300*SQRT(AW298^2+AW299^2)/SQRT(AW300^2+AW301^2),IF(BA300&lt;&gt;0,AX296,""))</f>
        <v/>
      </c>
      <c r="AY300" s="224">
        <f>IF(L300="",10^30,SQRT(BA298)*(BA300^2)*(N(AN298)+N(AN300)+N(AO298)+N(AV298))/(100000*L300*M298))</f>
        <v>1E+30</v>
      </c>
      <c r="AZ300" s="225"/>
      <c r="BA300" s="220">
        <f>IF(AND(J298="",SUM(S298:S301)&lt;&gt;0),BA296,J298)</f>
        <v>0</v>
      </c>
      <c r="BB300" s="221">
        <f t="shared" si="6"/>
        <v>0</v>
      </c>
      <c r="BC300" s="232"/>
      <c r="BD300" s="232"/>
    </row>
    <row r="301" spans="1:56" ht="15" customHeight="1">
      <c r="A301" s="85"/>
      <c r="B301" s="85"/>
      <c r="C301" s="271"/>
      <c r="D301" s="417"/>
      <c r="E301" s="418"/>
      <c r="F301" s="419"/>
      <c r="G301" s="270"/>
      <c r="H301" s="270"/>
      <c r="I301" s="270"/>
      <c r="J301" s="270"/>
      <c r="K301" s="268"/>
      <c r="L301" s="251" t="str">
        <f>IF(M298="","",L300*1000*M298/(SQRT(BA298)*BA300))</f>
        <v/>
      </c>
      <c r="M301" s="252"/>
      <c r="N301" s="277"/>
      <c r="O301" s="205"/>
      <c r="P301" s="106"/>
      <c r="Q301" s="206"/>
      <c r="R301" s="107"/>
      <c r="S301" s="108" t="str">
        <f>IF(R301="","",IF(Q301="",P301/R301,P301/(Q301*R301)))</f>
        <v/>
      </c>
      <c r="T301" s="207"/>
      <c r="U301" s="208" t="str">
        <f>IF(OR(BA300="",S301=""),"",S301*1000*T301/(SQRT(BA298)*BA300))</f>
        <v/>
      </c>
      <c r="V301" s="109" t="str">
        <f>IF(AND(N(U298)=0,N(U299)=0,N(U300)=0,N(U301)=0),"",IF(V298&gt;=0,SQRT(ABS(V298^2-V300^2)),-SQRT(V298^2-V300^2)))</f>
        <v/>
      </c>
      <c r="W301" s="277"/>
      <c r="X301" s="278" t="str">
        <f>IF(Y300="","",AQ298*Z300*AR298*((1+0.00393*(F301-20))/1.2751)/Y300)</f>
        <v/>
      </c>
      <c r="Y301" s="270"/>
      <c r="Z301" s="267" t="str">
        <f>IF(Y300="","",(BA301/50)*AQ298*Z300*AR299/Y300)</f>
        <v/>
      </c>
      <c r="AA301" s="252"/>
      <c r="AB301" s="279" t="str">
        <f>IF(AC300="","",AQ298*AD300*AR300*((1+0.00393*(F301-20))/1.2751)/AC300)</f>
        <v/>
      </c>
      <c r="AC301" s="270"/>
      <c r="AD301" s="267" t="str">
        <f>IF(AC300="","",(BA301/50)*AQ298*AD300*AR301/AC300)</f>
        <v/>
      </c>
      <c r="AE301" s="268"/>
      <c r="AF301" s="237" t="str">
        <f>IF(AND(AX298&lt;&gt;"",D298=""),AX298,"")</f>
        <v/>
      </c>
      <c r="AG301" s="269" t="str">
        <f>IF(AP300="","",AP300)</f>
        <v/>
      </c>
      <c r="AH301" s="270"/>
      <c r="AI301" s="238" t="str">
        <f>IF(AP301="","",AP301)</f>
        <v/>
      </c>
      <c r="AJ301" s="263"/>
      <c r="AK301" s="253"/>
      <c r="AL301" s="189"/>
      <c r="AM301" s="28"/>
      <c r="AN301" s="226" t="b">
        <f>IF(BA298="","",IF(AND(BA298=3,F300=50,L298="oil cooled type"),VLOOKUP(L300,変３,3,FALSE),IF(AND(BA298=3,F300=50,L298="(F)molded type"),VLOOKUP(L300,変３,8,FALSE),IF(AND(BA298=3,F300=60,L298="oil cooled type"),VLOOKUP(L300,変３,13,FALSE),IF(AND(BA298=3,F300=60,L298="(F)molded type"),VLOOKUP(L300,変３,18,FALSE),FALSE)))))</f>
        <v>0</v>
      </c>
      <c r="AO301" s="226" t="str">
        <f>IF(AND(L294="",N(AY299)&lt;10^29),AY299,"")</f>
        <v/>
      </c>
      <c r="AP301" s="227" t="str">
        <f>IF(V298="","",IF(AND(N(V301)=0,N(AP299)=0),0,(AQ301-AP299*(AQ300^2+AQ301^2))/((AQ300*AP299)^2+(AP299*AQ301-1)^2)))</f>
        <v/>
      </c>
      <c r="AQ301" s="228">
        <f>IF(N(V301)=0,10^30,V301)</f>
        <v>1E+30</v>
      </c>
      <c r="AR301" s="226" t="str">
        <f>IF(AB298="","",IF(AB298="600V IV",VLOOKUP(AB300,ＩＶ,3,FALSE),IF(AB298="600V CV-T",VLOOKUP(AB300,ＣＶＴ,3,FALSE),IF(OR(AB298="600V CV-1C",AB298="600V CV-2C",AB298="600V CV-3C",AB298="600V CV-4C"),VLOOKUP(AB300,ＣＶ２３Ｃ,3,FALSE),VLOOKUP(AB300,ＣＵＳＥＲ,3,FALSE)))))</f>
        <v/>
      </c>
      <c r="AS301" s="228" t="str">
        <f>IF(OR(AND(AS378="",AS379=""),AND(D298="",D378&lt;&gt;"")),AS299,(AS299*(AT378^2+AT379^2)+AT379*(AS298^2+AS299^2))/((AS298+AT378)^2+(AS299+AT379)^2))</f>
        <v/>
      </c>
      <c r="AT301" s="229" t="str">
        <f>IF(Z301="",AS301,N(AS301)+(Z301/1000))</f>
        <v/>
      </c>
      <c r="AU301" s="229" t="str">
        <f>IF(AU299="","",(AT301*(AU298^2+AU299^2)+AU299*(AT300^2+AT301^2))/((AT300+AU298)^2+(AT301+AU299)^2))</f>
        <v/>
      </c>
      <c r="AV301" s="229">
        <f>AV297+AV300</f>
        <v>26</v>
      </c>
      <c r="AW301" s="228" t="str">
        <f>IF(AO301="","",AW299+AO301)</f>
        <v/>
      </c>
      <c r="AX301" s="230"/>
      <c r="AY301" s="224">
        <f>IF(L300="",10^30,SQRT(BA298)*(BA300^2)*(N(AN299)+N(AN301)+N(AO299)+N(AV299))/(100000*L300*M298))</f>
        <v>1E+30</v>
      </c>
      <c r="AZ301" s="225"/>
      <c r="BA301" s="220">
        <f>IF(AND(F300="",SUM(S298:S301)&lt;&gt;0),BA297,F300)</f>
        <v>0</v>
      </c>
      <c r="BB301" s="221">
        <f t="shared" si="6"/>
        <v>0</v>
      </c>
      <c r="BC301" s="232"/>
      <c r="BD301" s="232"/>
    </row>
    <row r="302" spans="1:56" ht="15" customHeight="1">
      <c r="B302" s="85"/>
      <c r="C302" s="271" t="str">
        <f>IF(BC302=1,"●","・")</f>
        <v>・</v>
      </c>
      <c r="D302" s="402"/>
      <c r="E302" s="403"/>
      <c r="F302" s="404"/>
      <c r="G302" s="265" t="str">
        <f>IF(F302="","","φ")</f>
        <v/>
      </c>
      <c r="H302" s="405"/>
      <c r="I302" s="265" t="str">
        <f>IF(H302="","","W")</f>
        <v/>
      </c>
      <c r="J302" s="405"/>
      <c r="K302" s="272" t="str">
        <f>IF(J302="","","V")</f>
        <v/>
      </c>
      <c r="L302" s="406"/>
      <c r="M302" s="407"/>
      <c r="N302" s="408"/>
      <c r="O302" s="193"/>
      <c r="P302" s="86"/>
      <c r="Q302" s="194"/>
      <c r="R302" s="87"/>
      <c r="S302" s="88" t="str">
        <f>IF(R302="","",IF(Q302="",P302/R302,P302/(Q302*R302)))</f>
        <v/>
      </c>
      <c r="T302" s="195"/>
      <c r="U302" s="196" t="str">
        <f>IF(OR(BA304="",S302=""),"",S302*1000*T302/(SQRT(BA302)*BA304))</f>
        <v/>
      </c>
      <c r="V302" s="254" t="str">
        <f>IF(AND(N(U302)=0,N(U303)=0,N(U304)=0,N(U305)=0),"",BA304/(SUM(U302:U305)))</f>
        <v/>
      </c>
      <c r="W302" s="280"/>
      <c r="X302" s="281"/>
      <c r="Y302" s="242"/>
      <c r="Z302" s="243"/>
      <c r="AA302" s="239"/>
      <c r="AB302" s="241"/>
      <c r="AC302" s="242"/>
      <c r="AD302" s="243"/>
      <c r="AE302" s="247"/>
      <c r="AF302" s="233" t="str">
        <f>IF(OR(AND(AF298="",N(BA300)=0,BA304&lt;&gt;0),D302&lt;&gt;""),AX304/AQ303,"")</f>
        <v/>
      </c>
      <c r="AG302" s="249" t="str">
        <f>IF(BA304=0,"",IF(AD304="",AX302,IF(AND(D302&lt;&gt;"",AU302=""),AX304*SQRT(AP304^2+AP305^2)/SQRT(AS302^2+AS303^2)/AQ303,AX302*SQRT(AP304^2+AP305^2)/SQRT(AS302^2+AS303^2))))</f>
        <v/>
      </c>
      <c r="AH302" s="250"/>
      <c r="AI302" s="234" t="str">
        <f>IF(AG302="","",IF(N(U302)&lt;0,-AX302*AQ303/SQRT(AS302^2+AS303^2),AX302*AQ303/SQRT(AS302^2+AS303^2)))</f>
        <v/>
      </c>
      <c r="AJ302" s="256"/>
      <c r="AK302" s="257"/>
      <c r="AL302" s="186"/>
      <c r="AM302" s="28"/>
      <c r="AN302" s="213" t="b">
        <f>IF(BA302="","",IF(AND(BA302=1,F304=50,L302="oil cooled type"),VLOOKUP(L304,変１,2,FALSE),IF(AND(BA302=1,F304=50,L302="(F)molded type"),VLOOKUP(L304,変１,7,FALSE),IF(AND(BA302=1,F304=60,L302="oil cooled type"),VLOOKUP(L304,変１,12,FALSE),IF(AND(BA302=1,F304=60,L302="(F)molded type"),VLOOKUP(L304,変１,17,FALSE),FALSE)))))</f>
        <v>0</v>
      </c>
      <c r="AO302" s="213">
        <f>IF(ISNA(VLOOKUP(L304,変ＵＳＥＲ,2,FALSE)),0,VLOOKUP(L304,変ＵＳＥＲ,2,FALSE))</f>
        <v>0</v>
      </c>
      <c r="AP302" s="214">
        <f>IF(N302="",0,N302*1000/BA304^2/SQRT(BA302))</f>
        <v>0</v>
      </c>
      <c r="AQ302" s="213" t="b">
        <f>IF(BA302=1,2,IF(BA302=3,SQRT(3),FALSE))</f>
        <v>0</v>
      </c>
      <c r="AR302" s="215" t="str">
        <f>IF(X302="","",IF(X302="600V IV",VLOOKUP(X304,ＩＶ,2,FALSE),IF(X302="600V CV-T",VLOOKUP(X304,ＣＶＴ,2,FALSE),IF(OR(X302="600V CV-1C",X302="600V CV-2C",X302="600V CV-3C",X302="600V CV-4C"),VLOOKUP(X304,ＣＶ２３Ｃ,2,FALSE),VLOOKUP(X304,ＣＵＳＥＲ,2,FALSE)))))</f>
        <v/>
      </c>
      <c r="AS302" s="213" t="str">
        <f>IF(AB305="",AP304,AP304+(AB305/1000))</f>
        <v/>
      </c>
      <c r="AT302" s="216" t="e">
        <f>IF(AU304="",AT304,AU304)</f>
        <v>#REF!</v>
      </c>
      <c r="AU302" s="216" t="str">
        <f>IF(D302="","",IF(AND(#REF!="",#REF!&lt;&gt;"",AV305=#REF!),#REF!,IF(AND(#REF!="",#REF!="",#REF!&lt;&gt;"",#REF!=#REF!),#REF!,IF(AND(#REF!="",#REF!="",#REF!="",D322&lt;&gt;"",#REF!=#REF!),AT322,IF(AND(#REF!="",#REF!="",#REF!="",D322="",#REF!&lt;&gt;"",#REF!=AV326),#REF!,IF(AND(#REF!="",#REF!="",#REF!="",D322="",#REF!="",D327&lt;&gt;"",#REF!=AV330),AT327,IF(AND(#REF!="",#REF!="",#REF!="",D322="",#REF!="",D327="",#REF!&lt;&gt;"",AV326=AV333),#REF!,"")))))))</f>
        <v/>
      </c>
      <c r="AV302" s="216" t="str">
        <f>IF(L302="ACG",IF(ISNA(VLOOKUP(L304,ＡＣＧ,2,FALSE)),0,VLOOKUP(L304,ＡＣＧ,2,FALSE)),"")</f>
        <v/>
      </c>
      <c r="AW302" s="217" t="e">
        <f>IF(AT302="","",AT302/((AT302*AP302)^2+(AT303*AP302-1)^2))</f>
        <v>#REF!</v>
      </c>
      <c r="AX302" s="218" t="str">
        <f>IF(BA304=0,"",IF(OR(AX58="",AF302&lt;&gt;""),AF302*SQRT(AS304^2+AS305^2)/SQRT(AT304^2+AT305^2),AX58*SQRT(AS304^2+AS305^2)/SQRT(AT304^2+AT305^2)))</f>
        <v/>
      </c>
      <c r="AY302" s="219">
        <f>IF(N(AY304)=10^30,10^30,IF(N(#REF!)=10^30,(N(AY304)*(N(#REF!)^2+N(#REF!)^2)+N(#REF!)*(N(AY304)^2+N(AY305)^2))/((N(AY304)+N(#REF!))^2+(N(AY305)+N(#REF!))^2),(N(AY304)*(N(#REF!)^2+N(#REF!)^2)+N(#REF!)*(N(AY304)^2+N(AY305)^2))/((N(AY304)+N(#REF!))^2+(N(AY305)+N(#REF!))^2)))</f>
        <v>1E+30</v>
      </c>
      <c r="AZ302" s="23"/>
      <c r="BA302" s="220">
        <f>IF(AND(F302="",SUM(S302:S305)&lt;&gt;0),BA58,F302)</f>
        <v>0</v>
      </c>
      <c r="BB302" s="221">
        <f t="shared" si="6"/>
        <v>0</v>
      </c>
      <c r="BC302" s="232">
        <f>IF(OR(E302="",F305="",AND(OR(P302="",Q302="",R302="",T302=""),OR(P303="",Q303="",R303="",T303=""),OR(P304="",Q304="",R304="",T304=""),OR(P305="",Q305="",R305="",T305="")),AND(OR(X302="",X304="",Y304="",Z304=""),OR(AB302="",AB304="",AC304="",AD304=""))),0,1)</f>
        <v>0</v>
      </c>
      <c r="BD302" s="232">
        <f>BC302+BD298</f>
        <v>0</v>
      </c>
    </row>
    <row r="303" spans="1:56" ht="15" customHeight="1">
      <c r="B303" s="85"/>
      <c r="C303" s="271"/>
      <c r="D303" s="409"/>
      <c r="E303" s="362"/>
      <c r="F303" s="410"/>
      <c r="G303" s="266"/>
      <c r="H303" s="266"/>
      <c r="I303" s="266"/>
      <c r="J303" s="266"/>
      <c r="K303" s="273"/>
      <c r="L303" s="411"/>
      <c r="M303" s="197" t="str">
        <f>IF(L302="ACG",SQRT(AV302^2+AV303^2),IF(L304="","",IF(OR(L302="oil cooled type",L302="(F)molded type"),IF(BA302=1,SQRT(AN302^2+AN303^2),IF(BA302=3,SQRT(AN304^2+AN305^2))),SQRT(AO302^2+AO303^2))))</f>
        <v/>
      </c>
      <c r="N303" s="412"/>
      <c r="O303" s="198"/>
      <c r="P303" s="90"/>
      <c r="Q303" s="199"/>
      <c r="R303" s="91"/>
      <c r="S303" s="92" t="str">
        <f>IF(R304="","",IF(Q304="",P304/R304,P304/(Q304*R304)))</f>
        <v/>
      </c>
      <c r="T303" s="200"/>
      <c r="U303" s="201" t="str">
        <f>IF(OR(BA304="",S303=""),"",S303*1000*T303/(SQRT(BA302)*BA304))</f>
        <v/>
      </c>
      <c r="V303" s="255"/>
      <c r="W303" s="248"/>
      <c r="X303" s="258"/>
      <c r="Y303" s="245"/>
      <c r="Z303" s="246"/>
      <c r="AA303" s="240"/>
      <c r="AB303" s="244"/>
      <c r="AC303" s="245"/>
      <c r="AD303" s="246"/>
      <c r="AE303" s="248"/>
      <c r="AF303" s="235" t="str">
        <f>IF(OR(AF302="",AG298&lt;&gt;""),"",AF302*AQ303/SQRT(AT302^2+AT303^2))</f>
        <v/>
      </c>
      <c r="AG303" s="274" t="str">
        <f>IF(AG302="","",100*AG302*AQ303/BA304)</f>
        <v/>
      </c>
      <c r="AH303" s="275"/>
      <c r="AI303" s="260" t="str">
        <f>IF(BA304=0,"",IF(AI298="",AX304/SQRT(AT302^2+AT303^2),IF(AI306="","",IF(AT302&lt;0,-AX302*AQ299/SQRT(AT302^2+AT303^2),AX302*AQ299/SQRT(AT302^2+AT303^2)))))</f>
        <v/>
      </c>
      <c r="AJ303" s="258"/>
      <c r="AK303" s="259"/>
      <c r="AL303" s="187"/>
      <c r="AM303" s="28"/>
      <c r="AN303" s="213" t="b">
        <f>IF(BA302="","",IF(AND(BA302=1,F304=50,L302="oil cooled type"),VLOOKUP(L304,変１,3,FALSE),IF(AND(BA302=1,F304=50,L302="(F)molded type"),VLOOKUP(L304,変１,8,FALSE),IF(AND(BA302=1,F304=60,L302="oil cooled type"),VLOOKUP(L304,変１,13,FALSE),IF(AND(BA302=1,F304=60,L302="(F)molded type"),VLOOKUP(L304,変１,18,FALSE),FALSE)))))</f>
        <v>0</v>
      </c>
      <c r="AO303" s="213">
        <f>IF(ISNA(VLOOKUP(L304,変ＵＳＥＲ,3,FALSE)),0,VLOOKUP(L304,変ＵＳＥＲ,3,FALSE)*BA305/50)</f>
        <v>0</v>
      </c>
      <c r="AP303" s="214">
        <f>IF(W302="",0,W302*1000/BA304^2/SQRT(BA302))</f>
        <v>0</v>
      </c>
      <c r="AQ303" s="213">
        <f>IF(AND(BA302=1,BA303=2),1,IF(AND(BA302=3,BA303=3),1,IF(AND(BA302=1,BA303=3),2,IF(AND(BA302=3,BA303=4)*OR(BB302=1,BB303=1,BB304=1,BB305=1),1,SQRT(3)))))</f>
        <v>1.7320508075688772</v>
      </c>
      <c r="AR303" s="215" t="str">
        <f>IF(X302="","",IF(X302="600V IV",VLOOKUP(X304,ＩＶ,3,FALSE),IF(X302="600V CV-T",VLOOKUP(X304,ＣＶＴ,3,FALSE),IF(OR(X302="600V CV-1C",X302="600V CV-2C",X302="600V CV-3C",X302="600V CV-4C"),VLOOKUP(X304,ＣＶ２３Ｃ,3,FALSE),VLOOKUP(X304,ＣＵＳＥＲ,3,FALSE)))))</f>
        <v/>
      </c>
      <c r="AS303" s="213" t="str">
        <f>IF(AD305="",AP305,AP305+(AD305/1000))</f>
        <v/>
      </c>
      <c r="AT303" s="216" t="e">
        <f>IF(AU305="",AT305,AU305)</f>
        <v>#REF!</v>
      </c>
      <c r="AU303" s="216" t="str">
        <f>IF(D302="","",IF(AND(#REF!="",#REF!&lt;&gt;"",AV305=#REF!),#REF!,IF(AND(#REF!="",#REF!="",#REF!&lt;&gt;"",#REF!=#REF!),#REF!,IF(AND(#REF!="",#REF!="",#REF!="",D322&lt;&gt;"",#REF!=#REF!),AT323,IF(AND(#REF!="",#REF!="",#REF!="",D322="",#REF!&lt;&gt;"",#REF!=AV326),AT324,IF(AND(#REF!="",#REF!="",#REF!="",D322="",#REF!="",D327&lt;&gt;"",#REF!=AV330),AT328,IF(AND(#REF!="",#REF!="",#REF!="",D322="",#REF!="",D327="",#REF!&lt;&gt;"",AV326=AV333),AT331,"")))))))</f>
        <v/>
      </c>
      <c r="AV303" s="215" t="str">
        <f>IF(L302="ACG",IF(ISNA(VLOOKUP(L304,ＡＣＧ,3,FALSE)),0,VLOOKUP(L304,ＡＣＧ,3,FALSE)*BA305/50),"")</f>
        <v/>
      </c>
      <c r="AW303" s="217" t="e">
        <f>IF(AT303="","",(AT303-AP302*(AT302^2+AT303^2))/((AT302*AP302)^2+(AP302*AT303-1)^2))</f>
        <v>#REF!</v>
      </c>
      <c r="AX303" s="218"/>
      <c r="AY303" s="219">
        <f>IF(N(AY305)=10^30,10^30,IF(N(#REF!)=10^30,(N(AY305)*(N(#REF!)^2+N(#REF!)^2)+N(#REF!)*(N(AY304)^2+N(AY305)^2))/((N(AY304)+N(#REF!))^2+(N(AY305)+N(#REF!))^2),(N(AY305)*(N(#REF!)^2+N(#REF!)^2)+N(#REF!)*(N(AY304)^2+N(AY305)^2))/((N(AY304)+N(#REF!))^2+(N(AY305)+N(#REF!))^2)))</f>
        <v>1E+30</v>
      </c>
      <c r="AZ303" s="23"/>
      <c r="BA303" s="220">
        <f>IF(AND(H302="",SUM(S302:S305)&lt;&gt;0),BA59,H302)</f>
        <v>0</v>
      </c>
      <c r="BB303" s="221">
        <f t="shared" si="6"/>
        <v>0</v>
      </c>
      <c r="BC303" s="232"/>
      <c r="BD303" s="232"/>
    </row>
    <row r="304" spans="1:56" ht="15" customHeight="1">
      <c r="B304" s="85"/>
      <c r="C304" s="271"/>
      <c r="D304" s="409"/>
      <c r="E304" s="362"/>
      <c r="F304" s="413"/>
      <c r="G304" s="414"/>
      <c r="H304" s="414"/>
      <c r="I304" s="414"/>
      <c r="J304" s="414"/>
      <c r="K304" s="415"/>
      <c r="L304" s="416"/>
      <c r="M304" s="275"/>
      <c r="N304" s="412"/>
      <c r="O304" s="198"/>
      <c r="P304" s="93"/>
      <c r="Q304" s="202"/>
      <c r="R304" s="91"/>
      <c r="S304" s="92" t="str">
        <f>IF(R305="","",IF(Q305="",P305/R305,P305/(Q305*R305)))</f>
        <v/>
      </c>
      <c r="T304" s="200"/>
      <c r="U304" s="203" t="str">
        <f>IF(OR(BA304="",S304=""),"",S304*1000*T304/(SQRT(BA302)*BA304))</f>
        <v/>
      </c>
      <c r="V304" s="94" t="str">
        <f>IF(AND(N(U302)=0,N(U303)=0,N(U304)=0,N(U305)=0),"",V302*(P302*R302*T302+P303*R303*T303+P304*R304*T304+P305*R305*T305)/(P302*T302+P303*T303+P304*T304+P305*T305))</f>
        <v/>
      </c>
      <c r="W304" s="276" t="str">
        <f>IF(AND(N(AP304)=0,N(AP305)=0,N(AP303)=0),"",IF(AP305&gt;=0,COS(ATAN(AP305/AP304)),-COS(ATAN(AP305/AP304))))</f>
        <v/>
      </c>
      <c r="X304" s="95"/>
      <c r="Y304" s="204"/>
      <c r="Z304" s="96"/>
      <c r="AA304" s="97"/>
      <c r="AB304" s="98"/>
      <c r="AC304" s="204"/>
      <c r="AD304" s="96"/>
      <c r="AE304" s="99"/>
      <c r="AF304" s="236" t="str">
        <f>IF(OR(AF302="",AG298&lt;&gt;""),"",BA304/SQRT(AW304^2+AW305^2))</f>
        <v/>
      </c>
      <c r="AG304" s="274" t="str">
        <f>IF(AG302="","",100*((BA304/AQ303)-AG302)/(BA304/AQ303))</f>
        <v/>
      </c>
      <c r="AH304" s="275"/>
      <c r="AI304" s="261"/>
      <c r="AJ304" s="262"/>
      <c r="AK304" s="264"/>
      <c r="AL304" s="188"/>
      <c r="AM304" s="28"/>
      <c r="AN304" s="222" t="b">
        <f>IF(BA302="","",IF(AND(BA302=3,F304=50,L302="oil cooled type"),VLOOKUP(L304,変３,2,FALSE),IF(AND(BA302=3,F304=50,L302="(F)molded type"),VLOOKUP(L304,変３,7,FALSE),IF(AND(BA302=3,F304=60,L302="oil cooled type"),VLOOKUP(L304,変３,12,FALSE),IF(AND(BA302=3,F304=60,L302="(F)molded type"),VLOOKUP(L304,変３,17,FALSE),FALSE)))))</f>
        <v>0</v>
      </c>
      <c r="AO304" s="215" t="str">
        <f>IF(AND(L58="",N(AY302)&lt;10^29),AY302,"")</f>
        <v/>
      </c>
      <c r="AP304" s="223" t="str">
        <f>IF(V302="","",IF(AND(N(V304)=0,N(AP303)=0),"",AQ304/((AQ304*AP303)^2+(AP303*AQ305-1)^2)))</f>
        <v/>
      </c>
      <c r="AQ304" s="213">
        <f>IF(N(V304)=0,10^30,V304)</f>
        <v>1E+30</v>
      </c>
      <c r="AR304" s="215" t="str">
        <f>IF(AB302="","",IF(AB302="600V IV",VLOOKUP(AB304,ＩＶ,2,FALSE),IF(AB302="600V CV-T",VLOOKUP(AB304,ＣＶＴ,2,FALSE),IF(OR(AB302="600V CV-1C",AB302="600V CV-2C",AB302="600V CV-3C",AB302="600V CV-4C"),VLOOKUP(AB304,ＣＶ２３Ｃ,2,FALSE),VLOOKUP(AB304,ＣＵＳＥＲ,2,FALSE)))))</f>
        <v/>
      </c>
      <c r="AS304" s="213" t="e">
        <f>IF(OR(AND(#REF!="",#REF!=""),AND(D302="",#REF!&lt;&gt;"")),AS302,(AS302*(#REF!^2+#REF!^2)+#REF!*(AS302^2+AS303^2))/((AS302+#REF!)^2+(AS303+#REF!)^2))</f>
        <v>#REF!</v>
      </c>
      <c r="AT304" s="216" t="e">
        <f>IF(X305="",AS304,N(AS304)+(X305/1000))</f>
        <v>#REF!</v>
      </c>
      <c r="AU304" s="216" t="str">
        <f>IF(AU302="","",(AT304*(AU302^2+AU303^2)+AU302*(AT304^2+AT305^2))/((AT304+AU302)^2+(AT305+AU303)^2))</f>
        <v/>
      </c>
      <c r="AV304" s="216">
        <f>IF(BA304=0,1,0)</f>
        <v>1</v>
      </c>
      <c r="AW304" s="217" t="str">
        <f>IF(AO304="","",AW302+AO304)</f>
        <v/>
      </c>
      <c r="AX304" s="218" t="str">
        <f>IF(AND(AX60="",AW304&lt;&gt;""),BA304*SQRT(AW302^2+AW303^2)/SQRT(AW304^2+AW305^2),IF(BA304&lt;&gt;0,AX60,""))</f>
        <v/>
      </c>
      <c r="AY304" s="224">
        <f>IF(L304="",10^30,SQRT(BA302)*(BA304^2)*(N(AN302)+N(AN304)+N(AO302)+N(AV302))/(100000*L304*M302))</f>
        <v>1E+30</v>
      </c>
      <c r="AZ304" s="225"/>
      <c r="BA304" s="220">
        <f>IF(AND(J302="",SUM(S302:S305)&lt;&gt;0),BA60,J302)</f>
        <v>0</v>
      </c>
      <c r="BB304" s="221">
        <f t="shared" si="6"/>
        <v>0</v>
      </c>
      <c r="BC304" s="232"/>
      <c r="BD304" s="232"/>
    </row>
    <row r="305" spans="1:57" ht="15" customHeight="1">
      <c r="A305" s="85"/>
      <c r="B305" s="85"/>
      <c r="C305" s="271"/>
      <c r="D305" s="417"/>
      <c r="E305" s="418"/>
      <c r="F305" s="419"/>
      <c r="G305" s="270"/>
      <c r="H305" s="270"/>
      <c r="I305" s="270"/>
      <c r="J305" s="270"/>
      <c r="K305" s="268"/>
      <c r="L305" s="251" t="str">
        <f>IF(M302="","",L304*1000*M302/(SQRT(BA302)*BA304))</f>
        <v/>
      </c>
      <c r="M305" s="252"/>
      <c r="N305" s="277"/>
      <c r="O305" s="205"/>
      <c r="P305" s="106"/>
      <c r="Q305" s="206"/>
      <c r="R305" s="107"/>
      <c r="S305" s="108" t="str">
        <f>IF(R305="","",IF(Q305="",P305/R305,P305/(Q305*R305)))</f>
        <v/>
      </c>
      <c r="T305" s="207"/>
      <c r="U305" s="208" t="str">
        <f>IF(OR(BA304="",S305=""),"",S305*1000*T305/(SQRT(BA302)*BA304))</f>
        <v/>
      </c>
      <c r="V305" s="109" t="str">
        <f>IF(AND(N(U302)=0,N(U303)=0,N(U304)=0,N(U305)=0),"",IF(V302&gt;=0,SQRT(ABS(V302^2-V304^2)),-SQRT(V302^2-V304^2)))</f>
        <v/>
      </c>
      <c r="W305" s="277"/>
      <c r="X305" s="278" t="str">
        <f>IF(Y304="","",AQ302*Z304*AR302*((1+0.00393*(F305-20))/1.2751)/Y304)</f>
        <v/>
      </c>
      <c r="Y305" s="270"/>
      <c r="Z305" s="267" t="str">
        <f>IF(Y304="","",(BA305/50)*AQ302*Z304*AR303/Y304)</f>
        <v/>
      </c>
      <c r="AA305" s="252"/>
      <c r="AB305" s="279" t="str">
        <f>IF(AC304="","",AQ302*AD304*AR304*((1+0.00393*(F305-20))/1.2751)/AC304)</f>
        <v/>
      </c>
      <c r="AC305" s="270"/>
      <c r="AD305" s="267" t="str">
        <f>IF(AC304="","",(BA305/50)*AQ302*AD304*AR305/AC304)</f>
        <v/>
      </c>
      <c r="AE305" s="268"/>
      <c r="AF305" s="237" t="str">
        <f>IF(AND(AX302&lt;&gt;"",D302=""),AX302,"")</f>
        <v/>
      </c>
      <c r="AG305" s="269" t="str">
        <f>IF(AP304="","",AP304)</f>
        <v/>
      </c>
      <c r="AH305" s="270"/>
      <c r="AI305" s="238" t="str">
        <f>IF(AP305="","",AP305)</f>
        <v/>
      </c>
      <c r="AJ305" s="263"/>
      <c r="AK305" s="253"/>
      <c r="AL305" s="189"/>
      <c r="AM305" s="28"/>
      <c r="AN305" s="226" t="b">
        <f>IF(BA302="","",IF(AND(BA302=3,F304=50,L302="oil cooled type"),VLOOKUP(L304,変３,3,FALSE),IF(AND(BA302=3,F304=50,L302="(F)molded type"),VLOOKUP(L304,変３,8,FALSE),IF(AND(BA302=3,F304=60,L302="oil cooled type"),VLOOKUP(L304,変３,13,FALSE),IF(AND(BA302=3,F304=60,L302="(F)molded type"),VLOOKUP(L304,変３,18,FALSE),FALSE)))))</f>
        <v>0</v>
      </c>
      <c r="AO305" s="226" t="str">
        <f>IF(AND(L58="",N(AY303)&lt;10^29),AY303,"")</f>
        <v/>
      </c>
      <c r="AP305" s="227" t="str">
        <f>IF(V302="","",IF(AND(N(V305)=0,N(AP303)=0),0,(AQ305-AP303*(AQ304^2+AQ305^2))/((AQ304*AP303)^2+(AP303*AQ305-1)^2)))</f>
        <v/>
      </c>
      <c r="AQ305" s="228">
        <f>IF(N(V305)=0,10^30,V305)</f>
        <v>1E+30</v>
      </c>
      <c r="AR305" s="226" t="str">
        <f>IF(AB302="","",IF(AB302="600V IV",VLOOKUP(AB304,ＩＶ,3,FALSE),IF(AB302="600V CV-T",VLOOKUP(AB304,ＣＶＴ,3,FALSE),IF(OR(AB302="600V CV-1C",AB302="600V CV-2C",AB302="600V CV-3C",AB302="600V CV-4C"),VLOOKUP(AB304,ＣＶ２３Ｃ,3,FALSE),VLOOKUP(AB304,ＣＵＳＥＲ,3,FALSE)))))</f>
        <v/>
      </c>
      <c r="AS305" s="228" t="e">
        <f>IF(OR(AND(#REF!="",#REF!=""),AND(D302="",#REF!&lt;&gt;"")),AS303,(AS303*(#REF!^2+#REF!^2)+#REF!*(AS302^2+AS303^2))/((AS302+#REF!)^2+(AS303+#REF!)^2))</f>
        <v>#REF!</v>
      </c>
      <c r="AT305" s="229" t="e">
        <f>IF(Z305="",AS305,N(AS305)+(Z305/1000))</f>
        <v>#REF!</v>
      </c>
      <c r="AU305" s="229" t="str">
        <f>IF(AU303="","",(AT305*(AU302^2+AU303^2)+AU303*(AT304^2+AT305^2))/((AT304+AU302)^2+(AT305+AU303)^2))</f>
        <v/>
      </c>
      <c r="AV305" s="229">
        <f>AV61+AV304</f>
        <v>12</v>
      </c>
      <c r="AW305" s="228" t="str">
        <f>IF(AO305="","",AW303+AO305)</f>
        <v/>
      </c>
      <c r="AX305" s="230"/>
      <c r="AY305" s="224">
        <f>IF(L304="",10^30,SQRT(BA302)*(BA304^2)*(N(AN303)+N(AN305)+N(AO303)+N(AV303))/(100000*L304*M302))</f>
        <v>1E+30</v>
      </c>
      <c r="AZ305" s="225"/>
      <c r="BA305" s="220">
        <f>IF(AND(F304="",SUM(S302:S305)&lt;&gt;0),BA61,F304)</f>
        <v>0</v>
      </c>
      <c r="BB305" s="221">
        <f t="shared" si="6"/>
        <v>0</v>
      </c>
      <c r="BC305" s="232"/>
      <c r="BD305" s="232"/>
    </row>
    <row r="306" spans="1:57" ht="15" customHeight="1">
      <c r="A306" s="85"/>
      <c r="B306" s="85"/>
      <c r="C306" s="271" t="str">
        <f>IF(BC306=1,"●","・")</f>
        <v>・</v>
      </c>
      <c r="D306" s="402"/>
      <c r="E306" s="403"/>
      <c r="F306" s="404"/>
      <c r="G306" s="265" t="str">
        <f>IF(F306="","","φ")</f>
        <v/>
      </c>
      <c r="H306" s="405"/>
      <c r="I306" s="265" t="str">
        <f>IF(H306="","","W")</f>
        <v/>
      </c>
      <c r="J306" s="405"/>
      <c r="K306" s="272" t="str">
        <f>IF(J306="","","V")</f>
        <v/>
      </c>
      <c r="L306" s="406"/>
      <c r="M306" s="407"/>
      <c r="N306" s="408"/>
      <c r="O306" s="193"/>
      <c r="P306" s="86"/>
      <c r="Q306" s="194"/>
      <c r="R306" s="87"/>
      <c r="S306" s="88" t="str">
        <f>IF(R306="","",IF(Q306="",P306/R306,P306/(Q306*R306)))</f>
        <v/>
      </c>
      <c r="T306" s="195"/>
      <c r="U306" s="196" t="str">
        <f>IF(OR(BA308="",S306=""),"",S306*1000*T306/(SQRT(BA306)*BA308))</f>
        <v/>
      </c>
      <c r="V306" s="254" t="str">
        <f>IF(AND(N(U306)=0,N(U307)=0,N(U308)=0,N(U309)=0),"",BA308/(SUM(U306:U309)))</f>
        <v/>
      </c>
      <c r="W306" s="280"/>
      <c r="X306" s="281"/>
      <c r="Y306" s="242"/>
      <c r="Z306" s="243"/>
      <c r="AA306" s="239"/>
      <c r="AB306" s="241"/>
      <c r="AC306" s="242"/>
      <c r="AD306" s="243"/>
      <c r="AE306" s="247"/>
      <c r="AF306" s="233" t="str">
        <f>IF(OR(AND(AF302="",N(BA304)=0,BA308&lt;&gt;0),D306&lt;&gt;""),AX308/AQ307,"")</f>
        <v/>
      </c>
      <c r="AG306" s="249" t="str">
        <f>IF(BA308=0,"",IF(AD308="",AX306,IF(AND(D306&lt;&gt;"",AU306=""),AX308*SQRT(AP308^2+AP309^2)/SQRT(AS306^2+AS307^2)/AQ307,AX306*SQRT(AP308^2+AP309^2)/SQRT(AS306^2+AS307^2))))</f>
        <v/>
      </c>
      <c r="AH306" s="250"/>
      <c r="AI306" s="234" t="str">
        <f>IF(AG306="","",IF(N(U306)&lt;0,-AX306*AQ307/SQRT(AS306^2+AS307^2),AX306*AQ307/SQRT(AS306^2+AS307^2)))</f>
        <v/>
      </c>
      <c r="AJ306" s="256"/>
      <c r="AK306" s="257"/>
      <c r="AL306" s="186"/>
      <c r="AM306" s="28"/>
      <c r="AN306" s="213" t="b">
        <f>IF(BA306="","",IF(AND(BA306=1,F308=50,L306="oil cooled type"),VLOOKUP(L308,変１,2,FALSE),IF(AND(BA306=1,F308=50,L306="(F)molded type"),VLOOKUP(L308,変１,7,FALSE),IF(AND(BA306=1,F308=60,L306="oil cooled type"),VLOOKUP(L308,変１,12,FALSE),IF(AND(BA306=1,F308=60,L306="(F)molded type"),VLOOKUP(L308,変１,17,FALSE),FALSE)))))</f>
        <v>0</v>
      </c>
      <c r="AO306" s="213">
        <f>IF(ISNA(VLOOKUP(L308,変ＵＳＥＲ,2,FALSE)),0,VLOOKUP(L308,変ＵＳＥＲ,2,FALSE))</f>
        <v>0</v>
      </c>
      <c r="AP306" s="214">
        <f>IF(N306="",0,N306*1000/BA308^2/SQRT(BA306))</f>
        <v>0</v>
      </c>
      <c r="AQ306" s="213" t="b">
        <f>IF(BA306=1,2,IF(BA306=3,SQRT(3),FALSE))</f>
        <v>0</v>
      </c>
      <c r="AR306" s="215" t="str">
        <f>IF(X306="","",IF(X306="600V IV",VLOOKUP(X308,ＩＶ,2,FALSE),IF(X306="600V CV-T",VLOOKUP(X308,ＣＶＴ,2,FALSE),IF(OR(X306="600V CV-1C",X306="600V CV-2C",X306="600V CV-3C",X306="600V CV-4C"),VLOOKUP(X308,ＣＶ２３Ｃ,2,FALSE),VLOOKUP(X308,ＣＵＳＥＲ,2,FALSE)))))</f>
        <v/>
      </c>
      <c r="AS306" s="213" t="str">
        <f>IF(AB309="",AP308,AP308+(AB309/1000))</f>
        <v/>
      </c>
      <c r="AT306" s="216" t="str">
        <f>IF(AU308="",AT308,AU308)</f>
        <v/>
      </c>
      <c r="AU306" s="216" t="str">
        <f>IF(D306="","",IF(AND(D310="",D314&lt;&gt;"",AV309=AV317),AT314,IF(AND(D310="",D314="",D318&lt;&gt;"",AV313=AV321),AT318,IF(AND(D310="",D314="",D318="",#REF!&lt;&gt;"",AV317=#REF!),#REF!,IF(AND(D310="",D314="",D318="",#REF!="",#REF!&lt;&gt;"",AV321=#REF!),#REF!,IF(AND(D310="",D314="",D318="",#REF!="",#REF!="",#REF!&lt;&gt;"",#REF!=#REF!),#REF!,IF(AND(D310="",D314="",D318="",#REF!="",#REF!="",#REF!="",D322&lt;&gt;"",#REF!=#REF!),AT322,"")))))))</f>
        <v/>
      </c>
      <c r="AV306" s="216" t="str">
        <f>IF(L306="ACG",IF(ISNA(VLOOKUP(L308,ＡＣＧ,2,FALSE)),0,VLOOKUP(L308,ＡＣＧ,2,FALSE)),"")</f>
        <v/>
      </c>
      <c r="AW306" s="217" t="str">
        <f>IF(AT306="","",AT306/((AT306*AP306)^2+(AT307*AP306-1)^2))</f>
        <v/>
      </c>
      <c r="AX306" s="218" t="str">
        <f>IF(BA308=0,"",IF(OR(AX46="",AF306&lt;&gt;""),AF306*SQRT(AS308^2+AS309^2)/SQRT(AT308^2+AT309^2),AX46*SQRT(AS308^2+AS309^2)/SQRT(AT308^2+AT309^2)))</f>
        <v/>
      </c>
      <c r="AY306" s="219">
        <f>IF(N(AY308)=10^30,10^30,IF(N(AY312)=10^30,(N(AY308)*(N(AY312)^2+N(AY313)^2)+N(AY312)*(N(AY308)^2+N(AY309)^2))/((N(AY308)+N(AY312))^2+(N(AY309)+N(AY313))^2),(N(AY308)*(N(AY310)^2+N(AY311)^2)+N(AY310)*(N(AY308)^2+N(AY309)^2))/((N(AY308)+N(AY310))^2+(N(AY309)+N(AY311))^2)))</f>
        <v>1E+30</v>
      </c>
      <c r="AZ306" s="23"/>
      <c r="BA306" s="220">
        <f>IF(AND(F306="",SUM(S306:S309)&lt;&gt;0),BA46,F306)</f>
        <v>0</v>
      </c>
      <c r="BB306" s="221">
        <f t="shared" si="6"/>
        <v>0</v>
      </c>
      <c r="BC306" s="232">
        <f>IF(OR(E306="",F309="",AND(OR(P306="",Q306="",R306="",T306=""),OR(P307="",Q307="",R307="",T307=""),OR(P308="",Q308="",R308="",T308=""),OR(P309="",Q309="",R309="",T309="")),AND(OR(X306="",X308="",Y308="",Z308=""),OR(AB306="",AB308="",AC308="",AD308=""))),0,1)</f>
        <v>0</v>
      </c>
      <c r="BD306" s="232">
        <f>BC306+BD302</f>
        <v>0</v>
      </c>
    </row>
    <row r="307" spans="1:57" ht="15" customHeight="1">
      <c r="A307" s="85"/>
      <c r="B307" s="85"/>
      <c r="C307" s="271"/>
      <c r="D307" s="409"/>
      <c r="E307" s="362"/>
      <c r="F307" s="410"/>
      <c r="G307" s="266"/>
      <c r="H307" s="266"/>
      <c r="I307" s="266"/>
      <c r="J307" s="266"/>
      <c r="K307" s="273"/>
      <c r="L307" s="411"/>
      <c r="M307" s="197" t="str">
        <f>IF(L306="ACG",SQRT(AV306^2+AV307^2),IF(L308="","",IF(OR(L306="oil cooled type",L306="(F)molded type"),IF(BA306=1,SQRT(AN306^2+AN307^2),IF(BA306=3,SQRT(AN308^2+AN309^2))),SQRT(AO306^2+AO307^2))))</f>
        <v/>
      </c>
      <c r="N307" s="412"/>
      <c r="O307" s="198"/>
      <c r="P307" s="90"/>
      <c r="Q307" s="199"/>
      <c r="R307" s="91"/>
      <c r="S307" s="92" t="str">
        <f>IF(R308="","",IF(Q308="",P308/R308,P308/(Q308*R308)))</f>
        <v/>
      </c>
      <c r="T307" s="200"/>
      <c r="U307" s="201" t="str">
        <f>IF(OR(BA308="",S307=""),"",S307*1000*T307/(SQRT(BA306)*BA308))</f>
        <v/>
      </c>
      <c r="V307" s="255"/>
      <c r="W307" s="248"/>
      <c r="X307" s="258"/>
      <c r="Y307" s="245"/>
      <c r="Z307" s="246"/>
      <c r="AA307" s="240"/>
      <c r="AB307" s="244"/>
      <c r="AC307" s="245"/>
      <c r="AD307" s="246"/>
      <c r="AE307" s="248"/>
      <c r="AF307" s="235" t="str">
        <f>IF(OR(AF306="",AG302&lt;&gt;""),"",AF306*AQ307/SQRT(AT306^2+AT307^2))</f>
        <v/>
      </c>
      <c r="AG307" s="274" t="str">
        <f>IF(AG306="","",100*AG306*AQ307/BA308)</f>
        <v/>
      </c>
      <c r="AH307" s="275"/>
      <c r="AI307" s="260" t="str">
        <f>IF(BA308=0,"",IF(AI302="",AX308/SQRT(AT306^2+AT307^2),IF(AI310="","",IF(AT306&lt;0,-AX306*AQ303/SQRT(AT306^2+AT307^2),AX306*AQ303/SQRT(AT306^2+AT307^2)))))</f>
        <v/>
      </c>
      <c r="AJ307" s="258"/>
      <c r="AK307" s="259"/>
      <c r="AL307" s="187"/>
      <c r="AM307" s="28"/>
      <c r="AN307" s="213" t="b">
        <f>IF(BA306="","",IF(AND(BA306=1,F308=50,L306="oil cooled type"),VLOOKUP(L308,変１,3,FALSE),IF(AND(BA306=1,F308=50,L306="(F)molded type"),VLOOKUP(L308,変１,8,FALSE),IF(AND(BA306=1,F308=60,L306="oil cooled type"),VLOOKUP(L308,変１,13,FALSE),IF(AND(BA306=1,F308=60,L306="(F)molded type"),VLOOKUP(L308,変１,18,FALSE),FALSE)))))</f>
        <v>0</v>
      </c>
      <c r="AO307" s="213">
        <f>IF(ISNA(VLOOKUP(L308,変ＵＳＥＲ,3,FALSE)),0,VLOOKUP(L308,変ＵＳＥＲ,3,FALSE)*BA309/50)</f>
        <v>0</v>
      </c>
      <c r="AP307" s="214">
        <f>IF(W306="",0,W306*1000/BA308^2/SQRT(BA306))</f>
        <v>0</v>
      </c>
      <c r="AQ307" s="213">
        <f>IF(AND(BA306=1,BA307=2),1,IF(AND(BA306=3,BA307=3),1,IF(AND(BA306=1,BA307=3),2,IF(AND(BA306=3,BA307=4)*OR(BB306=1,BB307=1,BB308=1,BB309=1),1,SQRT(3)))))</f>
        <v>1.7320508075688772</v>
      </c>
      <c r="AR307" s="215" t="str">
        <f>IF(X306="","",IF(X306="600V IV",VLOOKUP(X308,ＩＶ,3,FALSE),IF(X306="600V CV-T",VLOOKUP(X308,ＣＶＴ,3,FALSE),IF(OR(X306="600V CV-1C",X306="600V CV-2C",X306="600V CV-3C",X306="600V CV-4C"),VLOOKUP(X308,ＣＶ２３Ｃ,3,FALSE),VLOOKUP(X308,ＣＵＳＥＲ,3,FALSE)))))</f>
        <v/>
      </c>
      <c r="AS307" s="213" t="str">
        <f>IF(AD309="",AP309,AP309+(AD309/1000))</f>
        <v/>
      </c>
      <c r="AT307" s="216" t="str">
        <f>IF(AU309="",AT309,AU309)</f>
        <v/>
      </c>
      <c r="AU307" s="216" t="str">
        <f>IF(D306="","",IF(AND(D310="",D314&lt;&gt;"",AV309=AV317),AT315,IF(AND(D310="",D314="",D318&lt;&gt;"",AV313=AV321),AT319,IF(AND(D310="",D314="",D318="",#REF!&lt;&gt;"",AV317=#REF!),#REF!,IF(AND(D310="",D314="",D318="",#REF!="",#REF!&lt;&gt;"",AV321=#REF!),#REF!,IF(AND(D310="",D314="",D318="",#REF!="",#REF!="",#REF!&lt;&gt;"",#REF!=#REF!),#REF!,IF(AND(D310="",D314="",D318="",#REF!="",#REF!="",#REF!="",D322&lt;&gt;"",#REF!=#REF!),AT323,"")))))))</f>
        <v/>
      </c>
      <c r="AV307" s="215" t="str">
        <f>IF(L306="ACG",IF(ISNA(VLOOKUP(L308,ＡＣＧ,3,FALSE)),0,VLOOKUP(L308,ＡＣＧ,3,FALSE)*BA309/50),"")</f>
        <v/>
      </c>
      <c r="AW307" s="217" t="str">
        <f>IF(AT307="","",(AT307-AP306*(AT306^2+AT307^2))/((AT306*AP306)^2+(AP306*AT307-1)^2))</f>
        <v/>
      </c>
      <c r="AX307" s="218"/>
      <c r="AY307" s="219">
        <f>IF(N(AY309)=10^30,10^30,IF(N(AY313)=10^30,(N(AY309)*(N(AY312)^2+N(AY313)^2)+N(AY313)*(N(AY308)^2+N(AY309)^2))/((N(AY308)+N(AY312))^2+(N(AY309)+N(AY313))^2),(N(AY309)*(N(AY310)^2+N(AY311)^2)+N(AY311)*(N(AY308)^2+N(AY309)^2))/((N(AY308)+N(AY310))^2+(N(AY309)+N(AY311))^2)))</f>
        <v>1E+30</v>
      </c>
      <c r="AZ307" s="23"/>
      <c r="BA307" s="220">
        <f>IF(AND(H306="",SUM(S306:S309)&lt;&gt;0),BA47,H306)</f>
        <v>0</v>
      </c>
      <c r="BB307" s="221">
        <f t="shared" si="6"/>
        <v>0</v>
      </c>
      <c r="BC307" s="232"/>
      <c r="BD307" s="232"/>
    </row>
    <row r="308" spans="1:57" ht="15" customHeight="1">
      <c r="A308" s="85"/>
      <c r="B308" s="85"/>
      <c r="C308" s="271"/>
      <c r="D308" s="409"/>
      <c r="E308" s="362"/>
      <c r="F308" s="413"/>
      <c r="G308" s="414"/>
      <c r="H308" s="414"/>
      <c r="I308" s="414"/>
      <c r="J308" s="414"/>
      <c r="K308" s="415"/>
      <c r="L308" s="416"/>
      <c r="M308" s="275"/>
      <c r="N308" s="412"/>
      <c r="O308" s="198"/>
      <c r="P308" s="93"/>
      <c r="Q308" s="202"/>
      <c r="R308" s="91"/>
      <c r="S308" s="92" t="str">
        <f>IF(R309="","",IF(Q309="",P309/R309,P309/(Q309*R309)))</f>
        <v/>
      </c>
      <c r="T308" s="200"/>
      <c r="U308" s="203" t="str">
        <f>IF(OR(BA308="",S308=""),"",S308*1000*T308/(SQRT(BA306)*BA308))</f>
        <v/>
      </c>
      <c r="V308" s="94" t="str">
        <f>IF(AND(N(U306)=0,N(U307)=0,N(U308)=0,N(U309)=0),"",V306*(P306*R306*T306+P307*R307*T307+P308*R308*T308+P309*R309*T309)/(P306*T306+P307*T307+P308*T308+P309*T309))</f>
        <v/>
      </c>
      <c r="W308" s="276" t="str">
        <f>IF(AND(N(AP308)=0,N(AP309)=0,N(AP307)=0),"",IF(AP309&gt;=0,COS(ATAN(AP309/AP308)),-COS(ATAN(AP309/AP308))))</f>
        <v/>
      </c>
      <c r="X308" s="95"/>
      <c r="Y308" s="204"/>
      <c r="Z308" s="96"/>
      <c r="AA308" s="97"/>
      <c r="AB308" s="98"/>
      <c r="AC308" s="204"/>
      <c r="AD308" s="96"/>
      <c r="AE308" s="99"/>
      <c r="AF308" s="236" t="str">
        <f>IF(OR(AF306="",AG302&lt;&gt;""),"",BA308/SQRT(AW308^2+AW309^2))</f>
        <v/>
      </c>
      <c r="AG308" s="274" t="str">
        <f>IF(AG306="","",100*((BA308/AQ307)-AG306)/(BA308/AQ307))</f>
        <v/>
      </c>
      <c r="AH308" s="275"/>
      <c r="AI308" s="261"/>
      <c r="AJ308" s="262"/>
      <c r="AK308" s="264"/>
      <c r="AL308" s="188"/>
      <c r="AM308" s="28"/>
      <c r="AN308" s="222" t="b">
        <f>IF(BA306="","",IF(AND(BA306=3,F308=50,L306="oil cooled type"),VLOOKUP(L308,変３,2,FALSE),IF(AND(BA306=3,F308=50,L306="(F)molded type"),VLOOKUP(L308,変３,7,FALSE),IF(AND(BA306=3,F308=60,L306="oil cooled type"),VLOOKUP(L308,変３,12,FALSE),IF(AND(BA306=3,F308=60,L306="(F)molded type"),VLOOKUP(L308,変３,17,FALSE),FALSE)))))</f>
        <v>0</v>
      </c>
      <c r="AO308" s="215" t="str">
        <f>IF(AND(L46="",N(AY306)&lt;10^29),AY306,"")</f>
        <v/>
      </c>
      <c r="AP308" s="223" t="str">
        <f>IF(V306="","",IF(AND(N(V308)=0,N(AP307)=0),"",AQ308/((AQ308*AP307)^2+(AP307*AQ309-1)^2)))</f>
        <v/>
      </c>
      <c r="AQ308" s="213">
        <f>IF(N(V308)=0,10^30,V308)</f>
        <v>1E+30</v>
      </c>
      <c r="AR308" s="215" t="str">
        <f>IF(AB306="","",IF(AB306="600V IV",VLOOKUP(AB308,ＩＶ,2,FALSE),IF(AB306="600V CV-T",VLOOKUP(AB308,ＣＶＴ,2,FALSE),IF(OR(AB306="600V CV-1C",AB306="600V CV-2C",AB306="600V CV-3C",AB306="600V CV-4C"),VLOOKUP(AB308,ＣＶ２３Ｃ,2,FALSE),VLOOKUP(AB308,ＣＵＳＥＲ,2,FALSE)))))</f>
        <v/>
      </c>
      <c r="AS308" s="213" t="str">
        <f>IF(OR(AND(AS310="",AS311=""),AND(D306="",D310&lt;&gt;"")),AS306,(AS306*(AT310^2+AT311^2)+AT310*(AS306^2+AS307^2))/((AS306+AT310)^2+(AS307+AT311)^2))</f>
        <v/>
      </c>
      <c r="AT308" s="216" t="str">
        <f>IF(X309="",AS308,N(AS308)+(X309/1000))</f>
        <v/>
      </c>
      <c r="AU308" s="216" t="str">
        <f>IF(AU306="","",(AT308*(AU306^2+AU307^2)+AU306*(AT308^2+AT309^2))/((AT308+AU306)^2+(AT309+AU307)^2))</f>
        <v/>
      </c>
      <c r="AV308" s="216">
        <f>IF(BA308=0,1,0)</f>
        <v>1</v>
      </c>
      <c r="AW308" s="217" t="str">
        <f>IF(AO308="","",AW306+AO308)</f>
        <v/>
      </c>
      <c r="AX308" s="218" t="str">
        <f>IF(AND(AX48="",AW308&lt;&gt;""),BA308*SQRT(AW306^2+AW307^2)/SQRT(AW308^2+AW309^2),IF(BA308&lt;&gt;0,AX48,""))</f>
        <v/>
      </c>
      <c r="AY308" s="224">
        <f>IF(L308="",10^30,SQRT(BA306)*(BA308^2)*(N(AN306)+N(AN308)+N(AO306)+N(AV306))/(100000*L308*M306))</f>
        <v>1E+30</v>
      </c>
      <c r="AZ308" s="225"/>
      <c r="BA308" s="220">
        <f>IF(AND(J306="",SUM(S306:S309)&lt;&gt;0),BA48,J306)</f>
        <v>0</v>
      </c>
      <c r="BB308" s="221">
        <f t="shared" si="6"/>
        <v>0</v>
      </c>
      <c r="BC308" s="232"/>
      <c r="BD308" s="232"/>
    </row>
    <row r="309" spans="1:57" ht="15" customHeight="1">
      <c r="A309" s="85"/>
      <c r="B309" s="85"/>
      <c r="C309" s="271"/>
      <c r="D309" s="417"/>
      <c r="E309" s="418"/>
      <c r="F309" s="419"/>
      <c r="G309" s="270"/>
      <c r="H309" s="270"/>
      <c r="I309" s="270"/>
      <c r="J309" s="270"/>
      <c r="K309" s="268"/>
      <c r="L309" s="251" t="str">
        <f>IF(M306="","",L308*1000*M306/(SQRT(BA306)*BA308))</f>
        <v/>
      </c>
      <c r="M309" s="252"/>
      <c r="N309" s="277"/>
      <c r="O309" s="205"/>
      <c r="P309" s="106"/>
      <c r="Q309" s="206"/>
      <c r="R309" s="107"/>
      <c r="S309" s="108" t="str">
        <f>IF(R309="","",IF(Q309="",P309/R309,P309/(Q309*R309)))</f>
        <v/>
      </c>
      <c r="T309" s="207"/>
      <c r="U309" s="208" t="str">
        <f>IF(OR(BA308="",S309=""),"",S309*1000*T309/(SQRT(BA306)*BA308))</f>
        <v/>
      </c>
      <c r="V309" s="109" t="str">
        <f>IF(AND(N(U306)=0,N(U307)=0,N(U308)=0,N(U309)=0),"",IF(V306&gt;=0,SQRT(ABS(V306^2-V308^2)),-SQRT(V306^2-V308^2)))</f>
        <v/>
      </c>
      <c r="W309" s="277"/>
      <c r="X309" s="278" t="str">
        <f>IF(Y308="","",AQ306*Z308*AR306*((1+0.00393*(F309-20))/1.2751)/Y308)</f>
        <v/>
      </c>
      <c r="Y309" s="270"/>
      <c r="Z309" s="267" t="str">
        <f>IF(Y308="","",(BA309/50)*AQ306*Z308*AR307/Y308)</f>
        <v/>
      </c>
      <c r="AA309" s="252"/>
      <c r="AB309" s="279" t="str">
        <f>IF(AC308="","",AQ306*AD308*AR308*((1+0.00393*(F309-20))/1.2751)/AC308)</f>
        <v/>
      </c>
      <c r="AC309" s="270"/>
      <c r="AD309" s="267" t="str">
        <f>IF(AC308="","",(BA309/50)*AQ306*AD308*AR309/AC308)</f>
        <v/>
      </c>
      <c r="AE309" s="268"/>
      <c r="AF309" s="237" t="str">
        <f>IF(AND(AX306&lt;&gt;"",D306=""),AX306,"")</f>
        <v/>
      </c>
      <c r="AG309" s="269" t="str">
        <f>IF(AP308="","",AP308)</f>
        <v/>
      </c>
      <c r="AH309" s="270"/>
      <c r="AI309" s="238" t="str">
        <f>IF(AP309="","",AP309)</f>
        <v/>
      </c>
      <c r="AJ309" s="263"/>
      <c r="AK309" s="253"/>
      <c r="AL309" s="189"/>
      <c r="AM309" s="28"/>
      <c r="AN309" s="226" t="b">
        <f>IF(BA306="","",IF(AND(BA306=3,F308=50,L306="oil cooled type"),VLOOKUP(L308,変３,3,FALSE),IF(AND(BA306=3,F308=50,L306="(F)molded type"),VLOOKUP(L308,変３,8,FALSE),IF(AND(BA306=3,F308=60,L306="oil cooled type"),VLOOKUP(L308,変３,13,FALSE),IF(AND(BA306=3,F308=60,L306="(F)molded type"),VLOOKUP(L308,変３,18,FALSE),FALSE)))))</f>
        <v>0</v>
      </c>
      <c r="AO309" s="226" t="str">
        <f>IF(AND(L46="",N(AY307)&lt;10^29),AY307,"")</f>
        <v/>
      </c>
      <c r="AP309" s="227" t="str">
        <f>IF(V306="","",IF(AND(N(V309)=0,N(AP307)=0),0,(AQ309-AP307*(AQ308^2+AQ309^2))/((AQ308*AP307)^2+(AP307*AQ309-1)^2)))</f>
        <v/>
      </c>
      <c r="AQ309" s="228">
        <f>IF(N(V309)=0,10^30,V309)</f>
        <v>1E+30</v>
      </c>
      <c r="AR309" s="226" t="str">
        <f>IF(AB306="","",IF(AB306="600V IV",VLOOKUP(AB308,ＩＶ,3,FALSE),IF(AB306="600V CV-T",VLOOKUP(AB308,ＣＶＴ,3,FALSE),IF(OR(AB306="600V CV-1C",AB306="600V CV-2C",AB306="600V CV-3C",AB306="600V CV-4C"),VLOOKUP(AB308,ＣＶ２３Ｃ,3,FALSE),VLOOKUP(AB308,ＣＵＳＥＲ,3,FALSE)))))</f>
        <v/>
      </c>
      <c r="AS309" s="228" t="str">
        <f>IF(OR(AND(AS310="",AS311=""),AND(D306="",D310&lt;&gt;"")),AS307,(AS307*(AT310^2+AT311^2)+AT311*(AS306^2+AS307^2))/((AS306+AT310)^2+(AS307+AT311)^2))</f>
        <v/>
      </c>
      <c r="AT309" s="229" t="str">
        <f>IF(Z309="",AS309,N(AS309)+(Z309/1000))</f>
        <v/>
      </c>
      <c r="AU309" s="229" t="str">
        <f>IF(AU307="","",(AT309*(AU306^2+AU307^2)+AU307*(AT308^2+AT309^2))/((AT308+AU306)^2+(AT309+AU307)^2))</f>
        <v/>
      </c>
      <c r="AV309" s="229">
        <f>AV49+AV308</f>
        <v>9</v>
      </c>
      <c r="AW309" s="228" t="str">
        <f>IF(AO309="","",AW307+AO309)</f>
        <v/>
      </c>
      <c r="AX309" s="230"/>
      <c r="AY309" s="224">
        <f>IF(L308="",10^30,SQRT(BA306)*(BA308^2)*(N(AN307)+N(AN309)+N(AO307)+N(AV307))/(100000*L308*M306))</f>
        <v>1E+30</v>
      </c>
      <c r="AZ309" s="225"/>
      <c r="BA309" s="220">
        <f>IF(AND(F308="",SUM(S306:S309)&lt;&gt;0),BA49,F308)</f>
        <v>0</v>
      </c>
      <c r="BB309" s="221">
        <f t="shared" si="6"/>
        <v>0</v>
      </c>
      <c r="BC309" s="232"/>
      <c r="BD309" s="232"/>
    </row>
    <row r="310" spans="1:57" ht="15" customHeight="1">
      <c r="A310" s="85"/>
      <c r="B310" s="85"/>
      <c r="C310" s="271" t="str">
        <f>IF(BC310=1,"●","・")</f>
        <v>・</v>
      </c>
      <c r="D310" s="402"/>
      <c r="E310" s="403"/>
      <c r="F310" s="404"/>
      <c r="G310" s="265" t="str">
        <f>IF(F310="","","φ")</f>
        <v/>
      </c>
      <c r="H310" s="405"/>
      <c r="I310" s="265" t="str">
        <f>IF(H310="","","W")</f>
        <v/>
      </c>
      <c r="J310" s="405"/>
      <c r="K310" s="272" t="str">
        <f>IF(J310="","","V")</f>
        <v/>
      </c>
      <c r="L310" s="406"/>
      <c r="M310" s="407"/>
      <c r="N310" s="408"/>
      <c r="O310" s="193"/>
      <c r="P310" s="86"/>
      <c r="Q310" s="194"/>
      <c r="R310" s="87"/>
      <c r="S310" s="88" t="str">
        <f>IF(R310="","",IF(Q310="",P310/R310,P310/(Q310*R310)))</f>
        <v/>
      </c>
      <c r="T310" s="195"/>
      <c r="U310" s="196" t="str">
        <f>IF(OR(BA312="",S310=""),"",S310*1000*T310/(SQRT(BA310)*BA312))</f>
        <v/>
      </c>
      <c r="V310" s="254" t="str">
        <f>IF(AND(N(U310)=0,N(U311)=0,N(U312)=0,N(U313)=0),"",BA312/(SUM(U310:U313)))</f>
        <v/>
      </c>
      <c r="W310" s="280"/>
      <c r="X310" s="281"/>
      <c r="Y310" s="242"/>
      <c r="Z310" s="243"/>
      <c r="AA310" s="239"/>
      <c r="AB310" s="241"/>
      <c r="AC310" s="242"/>
      <c r="AD310" s="243"/>
      <c r="AE310" s="247"/>
      <c r="AF310" s="233" t="str">
        <f>IF(OR(AND(AF306="",N(BA308)=0,BA312&lt;&gt;0),D310&lt;&gt;""),AX312/AQ311,"")</f>
        <v/>
      </c>
      <c r="AG310" s="249" t="str">
        <f>IF(BA312=0,"",IF(AD312="",AX310,IF(AND(D310&lt;&gt;"",AU310=""),AX312*SQRT(AP312^2+AP313^2)/SQRT(AS310^2+AS311^2)/AQ311,AX310*SQRT(AP312^2+AP313^2)/SQRT(AS310^2+AS311^2))))</f>
        <v/>
      </c>
      <c r="AH310" s="250"/>
      <c r="AI310" s="234" t="str">
        <f>IF(AG310="","",IF(N(U310)&lt;0,-AX310*AQ311/SQRT(AS310^2+AS311^2),AX310*AQ311/SQRT(AS310^2+AS311^2)))</f>
        <v/>
      </c>
      <c r="AJ310" s="256"/>
      <c r="AK310" s="257"/>
      <c r="AL310" s="186"/>
      <c r="AM310" s="28"/>
      <c r="AN310" s="213" t="b">
        <f>IF(BA310="","",IF(AND(BA310=1,F312=50,L310="oil cooled type"),VLOOKUP(L312,変１,2,FALSE),IF(AND(BA310=1,F312=50,L310="(F)molded type"),VLOOKUP(L312,変１,7,FALSE),IF(AND(BA310=1,F312=60,L310="oil cooled type"),VLOOKUP(L312,変１,12,FALSE),IF(AND(BA310=1,F312=60,L310="(F)molded type"),VLOOKUP(L312,変１,17,FALSE),FALSE)))))</f>
        <v>0</v>
      </c>
      <c r="AO310" s="213">
        <f>IF(ISNA(VLOOKUP(L312,変ＵＳＥＲ,2,FALSE)),0,VLOOKUP(L312,変ＵＳＥＲ,2,FALSE))</f>
        <v>0</v>
      </c>
      <c r="AP310" s="214">
        <f>IF(N310="",0,N310*1000/BA312^2/SQRT(BA310))</f>
        <v>0</v>
      </c>
      <c r="AQ310" s="213" t="b">
        <f>IF(BA310=1,2,IF(BA310=3,SQRT(3),FALSE))</f>
        <v>0</v>
      </c>
      <c r="AR310" s="215" t="str">
        <f>IF(X310="","",IF(X310="600V IV",VLOOKUP(X312,ＩＶ,2,FALSE),IF(X310="600V CV-T",VLOOKUP(X312,ＣＶＴ,2,FALSE),IF(OR(X310="600V CV-1C",X310="600V CV-2C",X310="600V CV-3C",X310="600V CV-4C"),VLOOKUP(X312,ＣＶ２３Ｃ,2,FALSE),VLOOKUP(X312,ＣＵＳＥＲ,2,FALSE)))))</f>
        <v/>
      </c>
      <c r="AS310" s="213" t="str">
        <f>IF(AB313="",AP312,AP312+(AB313/1000))</f>
        <v/>
      </c>
      <c r="AT310" s="216" t="str">
        <f>IF(AU312="",AT312,AU312)</f>
        <v/>
      </c>
      <c r="AU310" s="216" t="str">
        <f>IF(D310="","",IF(AND(D314="",D318&lt;&gt;"",AV313=AV321),AT318,IF(AND(D314="",D318="",#REF!&lt;&gt;"",AV317=#REF!),#REF!,IF(AND(D314="",D318="",#REF!="",#REF!&lt;&gt;"",AV321=#REF!),#REF!,IF(AND(D314="",D318="",#REF!="",#REF!="",#REF!&lt;&gt;"",#REF!=#REF!),#REF!,IF(AND(D314="",D318="",#REF!="",#REF!="",#REF!="",D322&lt;&gt;"",#REF!=#REF!),AT322,IF(AND(D314="",D318="",#REF!="",#REF!="",#REF!="",D322="",#REF!&lt;&gt;"",#REF!=AV326),#REF!,"")))))))</f>
        <v/>
      </c>
      <c r="AV310" s="216" t="str">
        <f>IF(L310="ACG",IF(ISNA(VLOOKUP(L312,ＡＣＧ,2,FALSE)),0,VLOOKUP(L312,ＡＣＧ,2,FALSE)),"")</f>
        <v/>
      </c>
      <c r="AW310" s="217" t="str">
        <f>IF(AT310="","",AT310/((AT310*AP310)^2+(AT311*AP310-1)^2))</f>
        <v/>
      </c>
      <c r="AX310" s="218" t="str">
        <f>IF(BA312=0,"",IF(OR(AX306="",AF310&lt;&gt;""),AF310*SQRT(AS312^2+AS313^2)/SQRT(AT312^2+AT313^2),AX306*SQRT(AS312^2+AS313^2)/SQRT(AT312^2+AT313^2)))</f>
        <v/>
      </c>
      <c r="AY310" s="219">
        <f>IF(N(AY312)=10^30,10^30,IF(N(AY316)=10^30,(N(AY312)*(N(AY316)^2+N(AY317)^2)+N(AY316)*(N(AY312)^2+N(AY313)^2))/((N(AY312)+N(AY316))^2+(N(AY313)+N(AY317))^2),(N(AY312)*(N(AY314)^2+N(AY315)^2)+N(AY314)*(N(AY312)^2+N(AY313)^2))/((N(AY312)+N(AY314))^2+(N(AY313)+N(AY315))^2)))</f>
        <v>1E+30</v>
      </c>
      <c r="AZ310" s="23"/>
      <c r="BA310" s="220">
        <f>IF(AND(F310="",SUM(S310:S313)&lt;&gt;0),BA306,F310)</f>
        <v>0</v>
      </c>
      <c r="BB310" s="221">
        <f t="shared" si="6"/>
        <v>0</v>
      </c>
      <c r="BC310" s="232">
        <f>IF(OR(E310="",F313="",AND(OR(P310="",Q310="",R310="",T310=""),OR(P311="",Q311="",R311="",T311=""),OR(P312="",Q312="",R312="",T312=""),OR(P313="",Q313="",R313="",T313="")),AND(OR(X310="",X312="",Y312="",Z312=""),OR(AB310="",AB312="",AC312="",AD312=""))),0,1)</f>
        <v>0</v>
      </c>
      <c r="BD310" s="232">
        <f>BC310+BD306</f>
        <v>0</v>
      </c>
    </row>
    <row r="311" spans="1:57" ht="15" customHeight="1">
      <c r="A311" s="85"/>
      <c r="B311" s="85"/>
      <c r="C311" s="271"/>
      <c r="D311" s="409"/>
      <c r="E311" s="362"/>
      <c r="F311" s="410"/>
      <c r="G311" s="266"/>
      <c r="H311" s="266"/>
      <c r="I311" s="266"/>
      <c r="J311" s="266"/>
      <c r="K311" s="273"/>
      <c r="L311" s="411"/>
      <c r="M311" s="197" t="str">
        <f>IF(L310="ACG",SQRT(AV310^2+AV311^2),IF(L312="","",IF(OR(L310="oil cooled type",L310="(F)molded type"),IF(BA310=1,SQRT(AN310^2+AN311^2),IF(BA310=3,SQRT(AN312^2+AN313^2))),SQRT(AO310^2+AO311^2))))</f>
        <v/>
      </c>
      <c r="N311" s="412"/>
      <c r="O311" s="198"/>
      <c r="P311" s="90"/>
      <c r="Q311" s="199"/>
      <c r="R311" s="91"/>
      <c r="S311" s="92" t="str">
        <f>IF(R312="","",IF(Q312="",P312/R312,P312/(Q312*R312)))</f>
        <v/>
      </c>
      <c r="T311" s="200"/>
      <c r="U311" s="201" t="str">
        <f>IF(OR(BA312="",S311=""),"",S311*1000*T311/(SQRT(BA310)*BA312))</f>
        <v/>
      </c>
      <c r="V311" s="255"/>
      <c r="W311" s="248"/>
      <c r="X311" s="258"/>
      <c r="Y311" s="245"/>
      <c r="Z311" s="246"/>
      <c r="AA311" s="240"/>
      <c r="AB311" s="244"/>
      <c r="AC311" s="245"/>
      <c r="AD311" s="246"/>
      <c r="AE311" s="248"/>
      <c r="AF311" s="235" t="str">
        <f>IF(OR(AF310="",AG306&lt;&gt;""),"",AF310*AQ311/SQRT(AT310^2+AT311^2))</f>
        <v/>
      </c>
      <c r="AG311" s="274" t="str">
        <f>IF(AG310="","",100*AG310*AQ311/BA312)</f>
        <v/>
      </c>
      <c r="AH311" s="275"/>
      <c r="AI311" s="260" t="str">
        <f>IF(BA312=0,"",IF(AI306="",AX312/SQRT(AT310^2+AT311^2),IF(AI314="","",IF(AT310&lt;0,-AX310*AQ307/SQRT(AT310^2+AT311^2),AX310*AQ307/SQRT(AT310^2+AT311^2)))))</f>
        <v/>
      </c>
      <c r="AJ311" s="258"/>
      <c r="AK311" s="259"/>
      <c r="AL311" s="187"/>
      <c r="AM311" s="28"/>
      <c r="AN311" s="213" t="b">
        <f>IF(BA310="","",IF(AND(BA310=1,F312=50,L310="oil cooled type"),VLOOKUP(L312,変１,3,FALSE),IF(AND(BA310=1,F312=50,L310="(F)molded type"),VLOOKUP(L312,変１,8,FALSE),IF(AND(BA310=1,F312=60,L310="oil cooled type"),VLOOKUP(L312,変１,13,FALSE),IF(AND(BA310=1,F312=60,L310="(F)molded type"),VLOOKUP(L312,変１,18,FALSE),FALSE)))))</f>
        <v>0</v>
      </c>
      <c r="AO311" s="213">
        <f>IF(ISNA(VLOOKUP(L312,変ＵＳＥＲ,3,FALSE)),0,VLOOKUP(L312,変ＵＳＥＲ,3,FALSE)*BA313/50)</f>
        <v>0</v>
      </c>
      <c r="AP311" s="214">
        <f>IF(W310="",0,W310*1000/BA312^2/SQRT(BA310))</f>
        <v>0</v>
      </c>
      <c r="AQ311" s="213">
        <f>IF(AND(BA310=1,BA311=2),1,IF(AND(BA310=3,BA311=3),1,IF(AND(BA310=1,BA311=3),2,IF(AND(BA310=3,BA311=4)*OR(BB310=1,BB311=1,BB312=1,BB313=1),1,SQRT(3)))))</f>
        <v>1.7320508075688772</v>
      </c>
      <c r="AR311" s="215" t="str">
        <f>IF(X310="","",IF(X310="600V IV",VLOOKUP(X312,ＩＶ,3,FALSE),IF(X310="600V CV-T",VLOOKUP(X312,ＣＶＴ,3,FALSE),IF(OR(X310="600V CV-1C",X310="600V CV-2C",X310="600V CV-3C",X310="600V CV-4C"),VLOOKUP(X312,ＣＶ２３Ｃ,3,FALSE),VLOOKUP(X312,ＣＵＳＥＲ,3,FALSE)))))</f>
        <v/>
      </c>
      <c r="AS311" s="213" t="str">
        <f>IF(AD313="",AP313,AP313+(AD313/1000))</f>
        <v/>
      </c>
      <c r="AT311" s="216" t="str">
        <f>IF(AU313="",AT313,AU313)</f>
        <v/>
      </c>
      <c r="AU311" s="216" t="str">
        <f>IF(D310="","",IF(AND(D314="",D318&lt;&gt;"",AV313=AV321),AT319,IF(AND(D314="",D318="",#REF!&lt;&gt;"",AV317=#REF!),#REF!,IF(AND(D314="",D318="",#REF!="",#REF!&lt;&gt;"",AV321=#REF!),#REF!,IF(AND(D314="",D318="",#REF!="",#REF!="",#REF!&lt;&gt;"",#REF!=#REF!),#REF!,IF(AND(D314="",D318="",#REF!="",#REF!="",#REF!="",D322&lt;&gt;"",#REF!=#REF!),AT323,IF(AND(D314="",D318="",#REF!="",#REF!="",#REF!="",D322="",#REF!&lt;&gt;"",#REF!=AV326),AT324,"")))))))</f>
        <v/>
      </c>
      <c r="AV311" s="215" t="str">
        <f>IF(L310="ACG",IF(ISNA(VLOOKUP(L312,ＡＣＧ,3,FALSE)),0,VLOOKUP(L312,ＡＣＧ,3,FALSE)*BA313/50),"")</f>
        <v/>
      </c>
      <c r="AW311" s="217" t="str">
        <f>IF(AT311="","",(AT311-AP310*(AT310^2+AT311^2))/((AT310*AP310)^2+(AP310*AT311-1)^2))</f>
        <v/>
      </c>
      <c r="AX311" s="218"/>
      <c r="AY311" s="219">
        <f>IF(N(AY313)=10^30,10^30,IF(N(AY317)=10^30,(N(AY313)*(N(AY316)^2+N(AY317)^2)+N(AY317)*(N(AY312)^2+N(AY313)^2))/((N(AY312)+N(AY316))^2+(N(AY313)+N(AY317))^2),(N(AY313)*(N(AY314)^2+N(AY315)^2)+N(AY315)*(N(AY312)^2+N(AY313)^2))/((N(AY312)+N(AY314))^2+(N(AY313)+N(AY315))^2)))</f>
        <v>1E+30</v>
      </c>
      <c r="AZ311" s="23"/>
      <c r="BA311" s="220">
        <f>IF(AND(H310="",SUM(S310:S313)&lt;&gt;0),BA307,H310)</f>
        <v>0</v>
      </c>
      <c r="BB311" s="221">
        <f t="shared" si="6"/>
        <v>0</v>
      </c>
      <c r="BC311" s="232"/>
      <c r="BD311" s="232"/>
    </row>
    <row r="312" spans="1:57" ht="15" customHeight="1">
      <c r="A312" s="85"/>
      <c r="B312" s="85"/>
      <c r="C312" s="271"/>
      <c r="D312" s="409"/>
      <c r="E312" s="362"/>
      <c r="F312" s="413"/>
      <c r="G312" s="414"/>
      <c r="H312" s="414"/>
      <c r="I312" s="414"/>
      <c r="J312" s="414"/>
      <c r="K312" s="415"/>
      <c r="L312" s="416"/>
      <c r="M312" s="275"/>
      <c r="N312" s="412"/>
      <c r="O312" s="198"/>
      <c r="P312" s="93"/>
      <c r="Q312" s="202"/>
      <c r="R312" s="91"/>
      <c r="S312" s="92" t="str">
        <f>IF(R313="","",IF(Q313="",P313/R313,P313/(Q313*R313)))</f>
        <v/>
      </c>
      <c r="T312" s="200"/>
      <c r="U312" s="203" t="str">
        <f>IF(OR(BA312="",S312=""),"",S312*1000*T312/(SQRT(BA310)*BA312))</f>
        <v/>
      </c>
      <c r="V312" s="94" t="str">
        <f>IF(AND(N(U310)=0,N(U311)=0,N(U312)=0,N(U313)=0),"",V310*(P310*R310*T310+P311*R311*T311+P312*R312*T312+P313*R313*T313)/(P310*T310+P311*T311+P312*T312+P313*T313))</f>
        <v/>
      </c>
      <c r="W312" s="276" t="str">
        <f>IF(AND(N(AP312)=0,N(AP313)=0,N(AP311)=0),"",IF(AP313&gt;=0,COS(ATAN(AP313/AP312)),-COS(ATAN(AP313/AP312))))</f>
        <v/>
      </c>
      <c r="X312" s="95"/>
      <c r="Y312" s="204"/>
      <c r="Z312" s="96"/>
      <c r="AA312" s="97"/>
      <c r="AB312" s="98"/>
      <c r="AC312" s="204"/>
      <c r="AD312" s="96"/>
      <c r="AE312" s="99"/>
      <c r="AF312" s="236" t="str">
        <f>IF(OR(AF310="",AG306&lt;&gt;""),"",BA312/SQRT(AW312^2+AW313^2))</f>
        <v/>
      </c>
      <c r="AG312" s="274" t="str">
        <f>IF(AG310="","",100*((BA312/AQ311)-AG310)/(BA312/AQ311))</f>
        <v/>
      </c>
      <c r="AH312" s="275"/>
      <c r="AI312" s="261"/>
      <c r="AJ312" s="262"/>
      <c r="AK312" s="264"/>
      <c r="AL312" s="188"/>
      <c r="AM312" s="28"/>
      <c r="AN312" s="222" t="b">
        <f>IF(BA310="","",IF(AND(BA310=3,F312=50,L310="oil cooled type"),VLOOKUP(L312,変３,2,FALSE),IF(AND(BA310=3,F312=50,L310="(F)molded type"),VLOOKUP(L312,変３,7,FALSE),IF(AND(BA310=3,F312=60,L310="oil cooled type"),VLOOKUP(L312,変３,12,FALSE),IF(AND(BA310=3,F312=60,L310="(F)molded type"),VLOOKUP(L312,変３,17,FALSE),FALSE)))))</f>
        <v>0</v>
      </c>
      <c r="AO312" s="215" t="str">
        <f>IF(AND(L306="",N(AY310)&lt;10^29),AY310,"")</f>
        <v/>
      </c>
      <c r="AP312" s="223" t="str">
        <f>IF(V310="","",IF(AND(N(V312)=0,N(AP311)=0),"",AQ312/((AQ312*AP311)^2+(AP311*AQ313-1)^2)))</f>
        <v/>
      </c>
      <c r="AQ312" s="213">
        <f>IF(N(V312)=0,10^30,V312)</f>
        <v>1E+30</v>
      </c>
      <c r="AR312" s="215" t="str">
        <f>IF(AB310="","",IF(AB310="600V IV",VLOOKUP(AB312,ＩＶ,2,FALSE),IF(AB310="600V CV-T",VLOOKUP(AB312,ＣＶＴ,2,FALSE),IF(OR(AB310="600V CV-1C",AB310="600V CV-2C",AB310="600V CV-3C",AB310="600V CV-4C"),VLOOKUP(AB312,ＣＶ２３Ｃ,2,FALSE),VLOOKUP(AB312,ＣＵＳＥＲ,2,FALSE)))))</f>
        <v/>
      </c>
      <c r="AS312" s="213" t="str">
        <f>IF(OR(AND(AS314="",AS315=""),AND(D310="",D314&lt;&gt;"")),AS310,(AS310*(AT314^2+AT315^2)+AT314*(AS310^2+AS311^2))/((AS310+AT314)^2+(AS311+AT315)^2))</f>
        <v/>
      </c>
      <c r="AT312" s="216" t="str">
        <f>IF(X313="",AS312,N(AS312)+(X313/1000))</f>
        <v/>
      </c>
      <c r="AU312" s="216" t="str">
        <f>IF(AU310="","",(AT312*(AU310^2+AU311^2)+AU310*(AT312^2+AT313^2))/((AT312+AU310)^2+(AT313+AU311)^2))</f>
        <v/>
      </c>
      <c r="AV312" s="216">
        <f>IF(BA312=0,1,0)</f>
        <v>1</v>
      </c>
      <c r="AW312" s="217" t="str">
        <f>IF(AO312="","",AW310+AO312)</f>
        <v/>
      </c>
      <c r="AX312" s="218" t="str">
        <f>IF(AND(AX308="",AW312&lt;&gt;""),BA312*SQRT(AW310^2+AW311^2)/SQRT(AW312^2+AW313^2),IF(BA312&lt;&gt;0,AX308,""))</f>
        <v/>
      </c>
      <c r="AY312" s="224">
        <f>IF(L312="",10^30,SQRT(BA310)*(BA312^2)*(N(AN310)+N(AN312)+N(AO310)+N(AV310))/(100000*L312*M310))</f>
        <v>1E+30</v>
      </c>
      <c r="AZ312" s="225"/>
      <c r="BA312" s="220">
        <f>IF(AND(J310="",SUM(S310:S313)&lt;&gt;0),BA308,J310)</f>
        <v>0</v>
      </c>
      <c r="BB312" s="221">
        <f t="shared" si="6"/>
        <v>0</v>
      </c>
      <c r="BC312" s="232"/>
      <c r="BD312" s="232"/>
    </row>
    <row r="313" spans="1:57" ht="15" customHeight="1">
      <c r="A313" s="85"/>
      <c r="B313" s="85"/>
      <c r="C313" s="271"/>
      <c r="D313" s="417"/>
      <c r="E313" s="418"/>
      <c r="F313" s="419"/>
      <c r="G313" s="270"/>
      <c r="H313" s="270"/>
      <c r="I313" s="270"/>
      <c r="J313" s="270"/>
      <c r="K313" s="268"/>
      <c r="L313" s="251" t="str">
        <f>IF(M310="","",L312*1000*M310/(SQRT(BA310)*BA312))</f>
        <v/>
      </c>
      <c r="M313" s="252"/>
      <c r="N313" s="277"/>
      <c r="O313" s="205"/>
      <c r="P313" s="106"/>
      <c r="Q313" s="206"/>
      <c r="R313" s="107"/>
      <c r="S313" s="108" t="str">
        <f>IF(R313="","",IF(Q313="",P313/R313,P313/(Q313*R313)))</f>
        <v/>
      </c>
      <c r="T313" s="207"/>
      <c r="U313" s="208" t="str">
        <f>IF(OR(BA312="",S313=""),"",S313*1000*T313/(SQRT(BA310)*BA312))</f>
        <v/>
      </c>
      <c r="V313" s="109" t="str">
        <f>IF(AND(N(U310)=0,N(U311)=0,N(U312)=0,N(U313)=0),"",IF(V310&gt;=0,SQRT(ABS(V310^2-V312^2)),-SQRT(V310^2-V312^2)))</f>
        <v/>
      </c>
      <c r="W313" s="277"/>
      <c r="X313" s="278" t="str">
        <f>IF(Y312="","",AQ310*Z312*AR310*((1+0.00393*(F313-20))/1.2751)/Y312)</f>
        <v/>
      </c>
      <c r="Y313" s="270"/>
      <c r="Z313" s="267" t="str">
        <f>IF(Y312="","",(BA313/50)*AQ310*Z312*AR311/Y312)</f>
        <v/>
      </c>
      <c r="AA313" s="252"/>
      <c r="AB313" s="279" t="str">
        <f>IF(AC312="","",AQ310*AD312*AR312*((1+0.00393*(F313-20))/1.2751)/AC312)</f>
        <v/>
      </c>
      <c r="AC313" s="270"/>
      <c r="AD313" s="267" t="str">
        <f>IF(AC312="","",(BA313/50)*AQ310*AD312*AR313/AC312)</f>
        <v/>
      </c>
      <c r="AE313" s="268"/>
      <c r="AF313" s="237" t="str">
        <f>IF(AND(AX310&lt;&gt;"",D310=""),AX310,"")</f>
        <v/>
      </c>
      <c r="AG313" s="269" t="str">
        <f>IF(AP312="","",AP312)</f>
        <v/>
      </c>
      <c r="AH313" s="270"/>
      <c r="AI313" s="238" t="str">
        <f>IF(AP313="","",AP313)</f>
        <v/>
      </c>
      <c r="AJ313" s="263"/>
      <c r="AK313" s="253"/>
      <c r="AL313" s="189"/>
      <c r="AM313" s="28"/>
      <c r="AN313" s="226" t="b">
        <f>IF(BA310="","",IF(AND(BA310=3,F312=50,L310="oil cooled type"),VLOOKUP(L312,変３,3,FALSE),IF(AND(BA310=3,F312=50,L310="(F)molded type"),VLOOKUP(L312,変３,8,FALSE),IF(AND(BA310=3,F312=60,L310="oil cooled type"),VLOOKUP(L312,変３,13,FALSE),IF(AND(BA310=3,F312=60,L310="(F)molded type"),VLOOKUP(L312,変３,18,FALSE),FALSE)))))</f>
        <v>0</v>
      </c>
      <c r="AO313" s="226" t="str">
        <f>IF(AND(L306="",N(AY311)&lt;10^29),AY311,"")</f>
        <v/>
      </c>
      <c r="AP313" s="227" t="str">
        <f>IF(V310="","",IF(AND(N(V313)=0,N(AP311)=0),0,(AQ313-AP311*(AQ312^2+AQ313^2))/((AQ312*AP311)^2+(AP311*AQ313-1)^2)))</f>
        <v/>
      </c>
      <c r="AQ313" s="228">
        <f>IF(N(V313)=0,10^30,V313)</f>
        <v>1E+30</v>
      </c>
      <c r="AR313" s="226" t="str">
        <f>IF(AB310="","",IF(AB310="600V IV",VLOOKUP(AB312,ＩＶ,3,FALSE),IF(AB310="600V CV-T",VLOOKUP(AB312,ＣＶＴ,3,FALSE),IF(OR(AB310="600V CV-1C",AB310="600V CV-2C",AB310="600V CV-3C",AB310="600V CV-4C"),VLOOKUP(AB312,ＣＶ２３Ｃ,3,FALSE),VLOOKUP(AB312,ＣＵＳＥＲ,3,FALSE)))))</f>
        <v/>
      </c>
      <c r="AS313" s="228" t="str">
        <f>IF(OR(AND(AS314="",AS315=""),AND(D310="",D314&lt;&gt;"")),AS311,(AS311*(AT314^2+AT315^2)+AT315*(AS310^2+AS311^2))/((AS310+AT314)^2+(AS311+AT315)^2))</f>
        <v/>
      </c>
      <c r="AT313" s="229" t="str">
        <f>IF(Z313="",AS313,N(AS313)+(Z313/1000))</f>
        <v/>
      </c>
      <c r="AU313" s="229" t="str">
        <f>IF(AU311="","",(AT313*(AU310^2+AU311^2)+AU311*(AT312^2+AT313^2))/((AT312+AU310)^2+(AT313+AU311)^2))</f>
        <v/>
      </c>
      <c r="AV313" s="229">
        <f>AV309+AV312</f>
        <v>10</v>
      </c>
      <c r="AW313" s="228" t="str">
        <f>IF(AO313="","",AW311+AO313)</f>
        <v/>
      </c>
      <c r="AX313" s="230"/>
      <c r="AY313" s="224">
        <f>IF(L312="",10^30,SQRT(BA310)*(BA312^2)*(N(AN311)+N(AN313)+N(AO311)+N(AV311))/(100000*L312*M310))</f>
        <v>1E+30</v>
      </c>
      <c r="AZ313" s="225"/>
      <c r="BA313" s="220">
        <f>IF(AND(F312="",SUM(S310:S313)&lt;&gt;0),BA309,F312)</f>
        <v>0</v>
      </c>
      <c r="BB313" s="221">
        <f t="shared" si="6"/>
        <v>0</v>
      </c>
      <c r="BC313" s="232"/>
      <c r="BD313" s="232"/>
    </row>
    <row r="314" spans="1:57" ht="15" customHeight="1">
      <c r="A314" s="85"/>
      <c r="B314" s="85"/>
      <c r="C314" s="271" t="str">
        <f>IF(BC314=1,"●","・")</f>
        <v>・</v>
      </c>
      <c r="D314" s="402"/>
      <c r="E314" s="403"/>
      <c r="F314" s="404"/>
      <c r="G314" s="265" t="str">
        <f>IF(F314="","","φ")</f>
        <v/>
      </c>
      <c r="H314" s="405"/>
      <c r="I314" s="265" t="str">
        <f>IF(H314="","","W")</f>
        <v/>
      </c>
      <c r="J314" s="405"/>
      <c r="K314" s="272" t="str">
        <f>IF(J314="","","V")</f>
        <v/>
      </c>
      <c r="L314" s="406"/>
      <c r="M314" s="407"/>
      <c r="N314" s="408"/>
      <c r="O314" s="193"/>
      <c r="P314" s="86"/>
      <c r="Q314" s="194"/>
      <c r="R314" s="87"/>
      <c r="S314" s="88" t="str">
        <f>IF(R314="","",IF(Q314="",P314/R314,P314/(Q314*R314)))</f>
        <v/>
      </c>
      <c r="T314" s="195"/>
      <c r="U314" s="196" t="str">
        <f>IF(OR(BA316="",S314=""),"",S314*1000*T314/(SQRT(BA314)*BA316))</f>
        <v/>
      </c>
      <c r="V314" s="254" t="str">
        <f>IF(AND(N(U314)=0,N(U315)=0,N(U316)=0,N(U317)=0),"",BA316/(SUM(U314:U317)))</f>
        <v/>
      </c>
      <c r="W314" s="280"/>
      <c r="X314" s="281"/>
      <c r="Y314" s="242"/>
      <c r="Z314" s="243"/>
      <c r="AA314" s="239"/>
      <c r="AB314" s="241"/>
      <c r="AC314" s="242"/>
      <c r="AD314" s="243"/>
      <c r="AE314" s="247"/>
      <c r="AF314" s="233" t="str">
        <f>IF(OR(AND(AF310="",N(BA312)=0,BA316&lt;&gt;0),D314&lt;&gt;""),AX316/AQ315,"")</f>
        <v/>
      </c>
      <c r="AG314" s="249" t="str">
        <f>IF(BA316=0,"",IF(AD316="",AX314,IF(AND(D314&lt;&gt;"",AU314=""),AX316*SQRT(AP316^2+AP317^2)/SQRT(AS314^2+AS315^2)/AQ315,AX314*SQRT(AP316^2+AP317^2)/SQRT(AS314^2+AS315^2))))</f>
        <v/>
      </c>
      <c r="AH314" s="250"/>
      <c r="AI314" s="234" t="str">
        <f>IF(AG314="","",IF(N(U314)&lt;0,-AX314*AQ315/SQRT(AS314^2+AS315^2),AX314*AQ315/SQRT(AS314^2+AS315^2)))</f>
        <v/>
      </c>
      <c r="AJ314" s="256"/>
      <c r="AK314" s="257"/>
      <c r="AL314" s="186"/>
      <c r="AM314" s="28"/>
      <c r="AN314" s="213" t="b">
        <f>IF(BA314="","",IF(AND(BA314=1,F316=50,L314="oil cooled type"),VLOOKUP(L316,変１,2,FALSE),IF(AND(BA314=1,F316=50,L314="(F)molded type"),VLOOKUP(L316,変１,7,FALSE),IF(AND(BA314=1,F316=60,L314="oil cooled type"),VLOOKUP(L316,変１,12,FALSE),IF(AND(BA314=1,F316=60,L314="(F)molded type"),VLOOKUP(L316,変１,17,FALSE),FALSE)))))</f>
        <v>0</v>
      </c>
      <c r="AO314" s="213">
        <f>IF(ISNA(VLOOKUP(L316,変ＵＳＥＲ,2,FALSE)),0,VLOOKUP(L316,変ＵＳＥＲ,2,FALSE))</f>
        <v>0</v>
      </c>
      <c r="AP314" s="214">
        <f>IF(N314="",0,N314*1000/BA316^2/SQRT(BA314))</f>
        <v>0</v>
      </c>
      <c r="AQ314" s="213" t="b">
        <f>IF(BA314=1,2,IF(BA314=3,SQRT(3),FALSE))</f>
        <v>0</v>
      </c>
      <c r="AR314" s="215" t="str">
        <f>IF(X314="","",IF(X314="600V IV",VLOOKUP(X316,ＩＶ,2,FALSE),IF(X314="600V CV-T",VLOOKUP(X316,ＣＶＴ,2,FALSE),IF(OR(X314="600V CV-1C",X314="600V CV-2C",X314="600V CV-3C",X314="600V CV-4C"),VLOOKUP(X316,ＣＶ２３Ｃ,2,FALSE),VLOOKUP(X316,ＣＵＳＥＲ,2,FALSE)))))</f>
        <v/>
      </c>
      <c r="AS314" s="213" t="str">
        <f>IF(AB317="",AP316,AP316+(AB317/1000))</f>
        <v/>
      </c>
      <c r="AT314" s="216" t="str">
        <f>IF(AU316="",AT316,AU316)</f>
        <v/>
      </c>
      <c r="AU314" s="216" t="str">
        <f>IF(D314="","",IF(AND(D318="",#REF!&lt;&gt;"",AV317=#REF!),#REF!,IF(AND(D318="",#REF!="",#REF!&lt;&gt;"",AV321=#REF!),#REF!,IF(AND(D318="",#REF!="",#REF!="",#REF!&lt;&gt;"",#REF!=#REF!),#REF!,IF(AND(D318="",#REF!="",#REF!="",#REF!="",D322&lt;&gt;"",#REF!=#REF!),AT322,IF(AND(D318="",#REF!="",#REF!="",#REF!="",D322="",#REF!&lt;&gt;"",#REF!=AV326),#REF!,IF(AND(D318="",#REF!="",#REF!="",#REF!="",D322="",#REF!="",D327&lt;&gt;"",#REF!=AV330),AT327,"")))))))</f>
        <v/>
      </c>
      <c r="AV314" s="216" t="str">
        <f>IF(L314="ACG",IF(ISNA(VLOOKUP(L316,ＡＣＧ,2,FALSE)),0,VLOOKUP(L316,ＡＣＧ,2,FALSE)),"")</f>
        <v/>
      </c>
      <c r="AW314" s="217" t="str">
        <f>IF(AT314="","",AT314/((AT314*AP314)^2+(AT315*AP314-1)^2))</f>
        <v/>
      </c>
      <c r="AX314" s="218" t="str">
        <f>IF(BA316=0,"",IF(OR(AX310="",AF314&lt;&gt;""),AF314*SQRT(AS316^2+AS317^2)/SQRT(AT316^2+AT317^2),AX310*SQRT(AS316^2+AS317^2)/SQRT(AT316^2+AT317^2)))</f>
        <v/>
      </c>
      <c r="AY314" s="219">
        <f>IF(N(AY316)=10^30,10^30,IF(N(AY320)=10^30,(N(AY316)*(N(AY320)^2+N(AY321)^2)+N(AY320)*(N(AY316)^2+N(AY317)^2))/((N(AY316)+N(AY320))^2+(N(AY317)+N(AY321))^2),(N(AY316)*(N(AY318)^2+N(AY319)^2)+N(AY318)*(N(AY316)^2+N(AY317)^2))/((N(AY316)+N(AY318))^2+(N(AY317)+N(AY319))^2)))</f>
        <v>1E+30</v>
      </c>
      <c r="AZ314" s="23"/>
      <c r="BA314" s="220">
        <f>IF(AND(F314="",SUM(S314:S317)&lt;&gt;0),BA310,F314)</f>
        <v>0</v>
      </c>
      <c r="BB314" s="221">
        <f t="shared" si="6"/>
        <v>0</v>
      </c>
      <c r="BC314" s="232">
        <f>IF(OR(E314="",F317="",AND(OR(P314="",Q314="",R314="",T314=""),OR(P315="",Q315="",R315="",T315=""),OR(P316="",Q316="",R316="",T316=""),OR(P317="",Q317="",R317="",T317="")),AND(OR(X314="",X316="",Y316="",Z316=""),OR(AB314="",AB316="",AC316="",AD316=""))),0,1)</f>
        <v>0</v>
      </c>
      <c r="BD314" s="232">
        <f>BC314+BD310</f>
        <v>0</v>
      </c>
    </row>
    <row r="315" spans="1:57" ht="15" customHeight="1">
      <c r="A315" s="85"/>
      <c r="B315" s="85"/>
      <c r="C315" s="271"/>
      <c r="D315" s="409"/>
      <c r="E315" s="362"/>
      <c r="F315" s="410"/>
      <c r="G315" s="266"/>
      <c r="H315" s="266"/>
      <c r="I315" s="266"/>
      <c r="J315" s="266"/>
      <c r="K315" s="273"/>
      <c r="L315" s="411"/>
      <c r="M315" s="197" t="str">
        <f>IF(L314="ACG",SQRT(AV314^2+AV315^2),IF(L316="","",IF(OR(L314="oil cooled type",L314="(F)molded type"),IF(BA314=1,SQRT(AN314^2+AN315^2),IF(BA314=3,SQRT(AN316^2+AN317^2))),SQRT(AO314^2+AO315^2))))</f>
        <v/>
      </c>
      <c r="N315" s="412"/>
      <c r="O315" s="198"/>
      <c r="P315" s="90"/>
      <c r="Q315" s="199"/>
      <c r="R315" s="91"/>
      <c r="S315" s="92" t="str">
        <f>IF(R316="","",IF(Q316="",P316/R316,P316/(Q316*R316)))</f>
        <v/>
      </c>
      <c r="T315" s="200"/>
      <c r="U315" s="201" t="str">
        <f>IF(OR(BA316="",S315=""),"",S315*1000*T315/(SQRT(BA314)*BA316))</f>
        <v/>
      </c>
      <c r="V315" s="255"/>
      <c r="W315" s="248"/>
      <c r="X315" s="258"/>
      <c r="Y315" s="245"/>
      <c r="Z315" s="246"/>
      <c r="AA315" s="240"/>
      <c r="AB315" s="244"/>
      <c r="AC315" s="245"/>
      <c r="AD315" s="246"/>
      <c r="AE315" s="248"/>
      <c r="AF315" s="235" t="str">
        <f>IF(OR(AF314="",AG310&lt;&gt;""),"",AF314*AQ315/SQRT(AT314^2+AT315^2))</f>
        <v/>
      </c>
      <c r="AG315" s="274" t="str">
        <f>IF(AG314="","",100*AG314*AQ315/BA316)</f>
        <v/>
      </c>
      <c r="AH315" s="275"/>
      <c r="AI315" s="260" t="str">
        <f>IF(BA316=0,"",IF(AI310="",AX316/SQRT(AT314^2+AT315^2),IF(AI318="","",IF(AT314&lt;0,-AX314*AQ311/SQRT(AT314^2+AT315^2),AX314*AQ311/SQRT(AT314^2+AT315^2)))))</f>
        <v/>
      </c>
      <c r="AJ315" s="258"/>
      <c r="AK315" s="259"/>
      <c r="AL315" s="187"/>
      <c r="AM315" s="28"/>
      <c r="AN315" s="213" t="b">
        <f>IF(BA314="","",IF(AND(BA314=1,F316=50,L314="oil cooled type"),VLOOKUP(L316,変１,3,FALSE),IF(AND(BA314=1,F316=50,L314="(F)molded type"),VLOOKUP(L316,変１,8,FALSE),IF(AND(BA314=1,F316=60,L314="oil cooled type"),VLOOKUP(L316,変１,13,FALSE),IF(AND(BA314=1,F316=60,L314="(F)molded type"),VLOOKUP(L316,変１,18,FALSE),FALSE)))))</f>
        <v>0</v>
      </c>
      <c r="AO315" s="213">
        <f>IF(ISNA(VLOOKUP(L316,変ＵＳＥＲ,3,FALSE)),0,VLOOKUP(L316,変ＵＳＥＲ,3,FALSE)*BA317/50)</f>
        <v>0</v>
      </c>
      <c r="AP315" s="214">
        <f>IF(W314="",0,W314*1000/BA316^2/SQRT(BA314))</f>
        <v>0</v>
      </c>
      <c r="AQ315" s="213">
        <f>IF(AND(BA314=1,BA315=2),1,IF(AND(BA314=3,BA315=3),1,IF(AND(BA314=1,BA315=3),2,IF(AND(BA314=3,BA315=4)*OR(BB314=1,BB315=1,BB316=1,BB317=1),1,SQRT(3)))))</f>
        <v>1.7320508075688772</v>
      </c>
      <c r="AR315" s="215" t="str">
        <f>IF(X314="","",IF(X314="600V IV",VLOOKUP(X316,ＩＶ,3,FALSE),IF(X314="600V CV-T",VLOOKUP(X316,ＣＶＴ,3,FALSE),IF(OR(X314="600V CV-1C",X314="600V CV-2C",X314="600V CV-3C",X314="600V CV-4C"),VLOOKUP(X316,ＣＶ２３Ｃ,3,FALSE),VLOOKUP(X316,ＣＵＳＥＲ,3,FALSE)))))</f>
        <v/>
      </c>
      <c r="AS315" s="213" t="str">
        <f>IF(AD317="",AP317,AP317+(AD317/1000))</f>
        <v/>
      </c>
      <c r="AT315" s="216" t="str">
        <f>IF(AU317="",AT317,AU317)</f>
        <v/>
      </c>
      <c r="AU315" s="216" t="str">
        <f>IF(D314="","",IF(AND(D318="",#REF!&lt;&gt;"",AV317=#REF!),#REF!,IF(AND(D318="",#REF!="",#REF!&lt;&gt;"",AV321=#REF!),#REF!,IF(AND(D318="",#REF!="",#REF!="",#REF!&lt;&gt;"",#REF!=#REF!),#REF!,IF(AND(D318="",#REF!="",#REF!="",#REF!="",D322&lt;&gt;"",#REF!=#REF!),AT323,IF(AND(D318="",#REF!="",#REF!="",#REF!="",D322="",#REF!&lt;&gt;"",#REF!=AV326),AT324,IF(AND(D318="",#REF!="",#REF!="",#REF!="",D322="",#REF!="",D327&lt;&gt;"",#REF!=AV330),AT328,"")))))))</f>
        <v/>
      </c>
      <c r="AV315" s="215" t="str">
        <f>IF(L314="ACG",IF(ISNA(VLOOKUP(L316,ＡＣＧ,3,FALSE)),0,VLOOKUP(L316,ＡＣＧ,3,FALSE)*BA317/50),"")</f>
        <v/>
      </c>
      <c r="AW315" s="217" t="str">
        <f>IF(AT315="","",(AT315-AP314*(AT314^2+AT315^2))/((AT314*AP314)^2+(AP314*AT315-1)^2))</f>
        <v/>
      </c>
      <c r="AX315" s="218"/>
      <c r="AY315" s="219">
        <f>IF(N(AY317)=10^30,10^30,IF(N(AY321)=10^30,(N(AY317)*(N(AY320)^2+N(AY321)^2)+N(AY321)*(N(AY316)^2+N(AY317)^2))/((N(AY316)+N(AY320))^2+(N(AY317)+N(AY321))^2),(N(AY317)*(N(AY318)^2+N(AY319)^2)+N(AY319)*(N(AY316)^2+N(AY317)^2))/((N(AY316)+N(AY318))^2+(N(AY317)+N(AY319))^2)))</f>
        <v>1E+30</v>
      </c>
      <c r="AZ315" s="23"/>
      <c r="BA315" s="220">
        <f>IF(AND(H314="",SUM(S314:S317)&lt;&gt;0),BA311,H314)</f>
        <v>0</v>
      </c>
      <c r="BB315" s="221">
        <f t="shared" si="6"/>
        <v>0</v>
      </c>
      <c r="BC315" s="232"/>
      <c r="BD315" s="232"/>
    </row>
    <row r="316" spans="1:57" ht="15" customHeight="1">
      <c r="A316" s="85"/>
      <c r="B316" s="85"/>
      <c r="C316" s="271"/>
      <c r="D316" s="409"/>
      <c r="E316" s="362"/>
      <c r="F316" s="413"/>
      <c r="G316" s="414"/>
      <c r="H316" s="414"/>
      <c r="I316" s="414"/>
      <c r="J316" s="414"/>
      <c r="K316" s="415"/>
      <c r="L316" s="416"/>
      <c r="M316" s="275"/>
      <c r="N316" s="412"/>
      <c r="O316" s="198"/>
      <c r="P316" s="93"/>
      <c r="Q316" s="202"/>
      <c r="R316" s="91"/>
      <c r="S316" s="92" t="str">
        <f>IF(R317="","",IF(Q317="",P317/R317,P317/(Q317*R317)))</f>
        <v/>
      </c>
      <c r="T316" s="200"/>
      <c r="U316" s="203" t="str">
        <f>IF(OR(BA316="",S316=""),"",S316*1000*T316/(SQRT(BA314)*BA316))</f>
        <v/>
      </c>
      <c r="V316" s="94" t="str">
        <f>IF(AND(N(U314)=0,N(U315)=0,N(U316)=0,N(U317)=0),"",V314*(P314*R314*T314+P315*R315*T315+P316*R316*T316+P317*R317*T317)/(P314*T314+P315*T315+P316*T316+P317*T317))</f>
        <v/>
      </c>
      <c r="W316" s="276" t="str">
        <f>IF(AND(N(AP316)=0,N(AP317)=0,N(AP315)=0),"",IF(AP317&gt;=0,COS(ATAN(AP317/AP316)),-COS(ATAN(AP317/AP316))))</f>
        <v/>
      </c>
      <c r="X316" s="95"/>
      <c r="Y316" s="204"/>
      <c r="Z316" s="96"/>
      <c r="AA316" s="97"/>
      <c r="AB316" s="98"/>
      <c r="AC316" s="204"/>
      <c r="AD316" s="96"/>
      <c r="AE316" s="99"/>
      <c r="AF316" s="236" t="str">
        <f>IF(OR(AF314="",AG310&lt;&gt;""),"",BA316/SQRT(AW316^2+AW317^2))</f>
        <v/>
      </c>
      <c r="AG316" s="274" t="str">
        <f>IF(AG314="","",100*((BA316/AQ315)-AG314)/(BA316/AQ315))</f>
        <v/>
      </c>
      <c r="AH316" s="275"/>
      <c r="AI316" s="261"/>
      <c r="AJ316" s="262"/>
      <c r="AK316" s="264"/>
      <c r="AL316" s="188"/>
      <c r="AM316" s="28"/>
      <c r="AN316" s="222" t="b">
        <f>IF(BA314="","",IF(AND(BA314=3,F316=50,L314="oil cooled type"),VLOOKUP(L316,変３,2,FALSE),IF(AND(BA314=3,F316=50,L314="(F)molded type"),VLOOKUP(L316,変３,7,FALSE),IF(AND(BA314=3,F316=60,L314="oil cooled type"),VLOOKUP(L316,変３,12,FALSE),IF(AND(BA314=3,F316=60,L314="(F)molded type"),VLOOKUP(L316,変３,17,FALSE),FALSE)))))</f>
        <v>0</v>
      </c>
      <c r="AO316" s="215" t="str">
        <f>IF(AND(L310="",N(AY314)&lt;10^29),AY314,"")</f>
        <v/>
      </c>
      <c r="AP316" s="223" t="str">
        <f>IF(V314="","",IF(AND(N(V316)=0,N(AP315)=0),"",AQ316/((AQ316*AP315)^2+(AP315*AQ317-1)^2)))</f>
        <v/>
      </c>
      <c r="AQ316" s="213">
        <f>IF(N(V316)=0,10^30,V316)</f>
        <v>1E+30</v>
      </c>
      <c r="AR316" s="215" t="str">
        <f>IF(AB314="","",IF(AB314="600V IV",VLOOKUP(AB316,ＩＶ,2,FALSE),IF(AB314="600V CV-T",VLOOKUP(AB316,ＣＶＴ,2,FALSE),IF(OR(AB314="600V CV-1C",AB314="600V CV-2C",AB314="600V CV-3C",AB314="600V CV-4C"),VLOOKUP(AB316,ＣＶ２３Ｃ,2,FALSE),VLOOKUP(AB316,ＣＵＳＥＲ,2,FALSE)))))</f>
        <v/>
      </c>
      <c r="AS316" s="213" t="str">
        <f>IF(OR(AND(AS318="",AS319=""),AND(D314="",D318&lt;&gt;"")),AS314,(AS314*(AT318^2+AT319^2)+AT318*(AS314^2+AS315^2))/((AS314+AT318)^2+(AS315+AT319)^2))</f>
        <v/>
      </c>
      <c r="AT316" s="216" t="str">
        <f>IF(X317="",AS316,N(AS316)+(X317/1000))</f>
        <v/>
      </c>
      <c r="AU316" s="216" t="str">
        <f>IF(AU314="","",(AT316*(AU314^2+AU315^2)+AU314*(AT316^2+AT317^2))/((AT316+AU314)^2+(AT317+AU315)^2))</f>
        <v/>
      </c>
      <c r="AV316" s="216">
        <f>IF(BA316=0,1,0)</f>
        <v>1</v>
      </c>
      <c r="AW316" s="217" t="str">
        <f>IF(AO316="","",AW314+AO316)</f>
        <v/>
      </c>
      <c r="AX316" s="218" t="str">
        <f>IF(AND(AX312="",AW316&lt;&gt;""),BA316*SQRT(AW314^2+AW315^2)/SQRT(AW316^2+AW317^2),IF(BA316&lt;&gt;0,AX312,""))</f>
        <v/>
      </c>
      <c r="AY316" s="224">
        <f>IF(L316="",10^30,SQRT(BA314)*(BA316^2)*(N(AN314)+N(AN316)+N(AO314)+N(AV314))/(100000*L316*M314))</f>
        <v>1E+30</v>
      </c>
      <c r="AZ316" s="225"/>
      <c r="BA316" s="220">
        <f>IF(AND(J314="",SUM(S314:S317)&lt;&gt;0),BA312,J314)</f>
        <v>0</v>
      </c>
      <c r="BB316" s="221">
        <f t="shared" si="6"/>
        <v>0</v>
      </c>
      <c r="BC316" s="232"/>
      <c r="BD316" s="232"/>
    </row>
    <row r="317" spans="1:57" ht="15" customHeight="1">
      <c r="A317" s="85"/>
      <c r="B317" s="85"/>
      <c r="C317" s="271"/>
      <c r="D317" s="417"/>
      <c r="E317" s="418"/>
      <c r="F317" s="419"/>
      <c r="G317" s="270"/>
      <c r="H317" s="270"/>
      <c r="I317" s="270"/>
      <c r="J317" s="270"/>
      <c r="K317" s="268"/>
      <c r="L317" s="251" t="str">
        <f>IF(M314="","",L316*1000*M314/(SQRT(BA314)*BA316))</f>
        <v/>
      </c>
      <c r="M317" s="252"/>
      <c r="N317" s="277"/>
      <c r="O317" s="205"/>
      <c r="P317" s="106"/>
      <c r="Q317" s="206"/>
      <c r="R317" s="107"/>
      <c r="S317" s="108" t="str">
        <f>IF(R317="","",IF(Q317="",P317/R317,P317/(Q317*R317)))</f>
        <v/>
      </c>
      <c r="T317" s="207"/>
      <c r="U317" s="208" t="str">
        <f>IF(OR(BA316="",S317=""),"",S317*1000*T317/(SQRT(BA314)*BA316))</f>
        <v/>
      </c>
      <c r="V317" s="109" t="str">
        <f>IF(AND(N(U314)=0,N(U315)=0,N(U316)=0,N(U317)=0),"",IF(V314&gt;=0,SQRT(ABS(V314^2-V316^2)),-SQRT(V314^2-V316^2)))</f>
        <v/>
      </c>
      <c r="W317" s="277"/>
      <c r="X317" s="278" t="str">
        <f>IF(Y316="","",AQ314*Z316*AR314*((1+0.00393*(F317-20))/1.2751)/Y316)</f>
        <v/>
      </c>
      <c r="Y317" s="270"/>
      <c r="Z317" s="267" t="str">
        <f>IF(Y316="","",(BA317/50)*AQ314*Z316*AR315/Y316)</f>
        <v/>
      </c>
      <c r="AA317" s="252"/>
      <c r="AB317" s="279" t="str">
        <f>IF(AC316="","",AQ314*AD316*AR316*((1+0.00393*(F317-20))/1.2751)/AC316)</f>
        <v/>
      </c>
      <c r="AC317" s="270"/>
      <c r="AD317" s="267" t="str">
        <f>IF(AC316="","",(BA317/50)*AQ314*AD316*AR317/AC316)</f>
        <v/>
      </c>
      <c r="AE317" s="268"/>
      <c r="AF317" s="237" t="str">
        <f>IF(AND(AX314&lt;&gt;"",D314=""),AX314,"")</f>
        <v/>
      </c>
      <c r="AG317" s="269" t="str">
        <f>IF(AP316="","",AP316)</f>
        <v/>
      </c>
      <c r="AH317" s="270"/>
      <c r="AI317" s="238" t="str">
        <f>IF(AP317="","",AP317)</f>
        <v/>
      </c>
      <c r="AJ317" s="263"/>
      <c r="AK317" s="253"/>
      <c r="AL317" s="189"/>
      <c r="AM317" s="28"/>
      <c r="AN317" s="226" t="b">
        <f>IF(BA314="","",IF(AND(BA314=3,F316=50,L314="oil cooled type"),VLOOKUP(L316,変３,3,FALSE),IF(AND(BA314=3,F316=50,L314="(F)molded type"),VLOOKUP(L316,変３,8,FALSE),IF(AND(BA314=3,F316=60,L314="oil cooled type"),VLOOKUP(L316,変３,13,FALSE),IF(AND(BA314=3,F316=60,L314="(F)molded type"),VLOOKUP(L316,変３,18,FALSE),FALSE)))))</f>
        <v>0</v>
      </c>
      <c r="AO317" s="226" t="str">
        <f>IF(AND(L310="",N(AY315)&lt;10^29),AY315,"")</f>
        <v/>
      </c>
      <c r="AP317" s="227" t="str">
        <f>IF(V314="","",IF(AND(N(V317)=0,N(AP315)=0),0,(AQ317-AP315*(AQ316^2+AQ317^2))/((AQ316*AP315)^2+(AP315*AQ317-1)^2)))</f>
        <v/>
      </c>
      <c r="AQ317" s="228">
        <f>IF(N(V317)=0,10^30,V317)</f>
        <v>1E+30</v>
      </c>
      <c r="AR317" s="226" t="str">
        <f>IF(AB314="","",IF(AB314="600V IV",VLOOKUP(AB316,ＩＶ,3,FALSE),IF(AB314="600V CV-T",VLOOKUP(AB316,ＣＶＴ,3,FALSE),IF(OR(AB314="600V CV-1C",AB314="600V CV-2C",AB314="600V CV-3C",AB314="600V CV-4C"),VLOOKUP(AB316,ＣＶ２３Ｃ,3,FALSE),VLOOKUP(AB316,ＣＵＳＥＲ,3,FALSE)))))</f>
        <v/>
      </c>
      <c r="AS317" s="228" t="str">
        <f>IF(OR(AND(AS318="",AS319=""),AND(D314="",D318&lt;&gt;"")),AS315,(AS315*(AT318^2+AT319^2)+AT319*(AS314^2+AS315^2))/((AS314+AT318)^2+(AS315+AT319)^2))</f>
        <v/>
      </c>
      <c r="AT317" s="229" t="str">
        <f>IF(Z317="",AS317,N(AS317)+(Z317/1000))</f>
        <v/>
      </c>
      <c r="AU317" s="229" t="str">
        <f>IF(AU315="","",(AT317*(AU314^2+AU315^2)+AU315*(AT316^2+AT317^2))/((AT316+AU314)^2+(AT317+AU315)^2))</f>
        <v/>
      </c>
      <c r="AV317" s="229">
        <f>AV313+AV316</f>
        <v>11</v>
      </c>
      <c r="AW317" s="228" t="str">
        <f>IF(AO317="","",AW315+AO317)</f>
        <v/>
      </c>
      <c r="AX317" s="230"/>
      <c r="AY317" s="224">
        <f>IF(L316="",10^30,SQRT(BA314)*(BA316^2)*(N(AN315)+N(AN317)+N(AO315)+N(AV315))/(100000*L316*M314))</f>
        <v>1E+30</v>
      </c>
      <c r="AZ317" s="225"/>
      <c r="BA317" s="220">
        <f>IF(AND(F316="",SUM(S314:S317)&lt;&gt;0),BA313,F316)</f>
        <v>0</v>
      </c>
      <c r="BB317" s="221">
        <f t="shared" si="6"/>
        <v>0</v>
      </c>
      <c r="BC317" s="232"/>
      <c r="BD317" s="232"/>
      <c r="BE317" s="23"/>
    </row>
    <row r="318" spans="1:57" ht="18.75" hidden="1" customHeight="1">
      <c r="A318" s="85"/>
      <c r="B318" s="85"/>
      <c r="C318" s="85"/>
      <c r="D318" s="119"/>
      <c r="E318" s="120"/>
      <c r="F318" s="121"/>
      <c r="G318" s="122"/>
      <c r="H318" s="122"/>
      <c r="I318" s="122"/>
      <c r="J318" s="122"/>
      <c r="K318" s="123"/>
      <c r="L318" s="124"/>
      <c r="M318" s="125"/>
      <c r="N318" s="89"/>
      <c r="O318" s="126"/>
      <c r="P318" s="127"/>
      <c r="Q318" s="128"/>
      <c r="R318" s="128"/>
      <c r="S318" s="129"/>
      <c r="T318" s="130"/>
      <c r="U318" s="116"/>
      <c r="V318" s="94"/>
      <c r="W318" s="131"/>
      <c r="X318" s="132"/>
      <c r="Y318" s="133"/>
      <c r="Z318" s="134"/>
      <c r="AA318" s="135"/>
      <c r="AB318" s="136"/>
      <c r="AC318" s="133"/>
      <c r="AD318" s="134"/>
      <c r="AE318" s="137"/>
      <c r="AF318" s="100"/>
      <c r="AG318" s="138"/>
      <c r="AH318" s="139"/>
      <c r="AI318" s="140"/>
      <c r="AJ318" s="141"/>
      <c r="AK318" s="142"/>
      <c r="AL318" s="143"/>
      <c r="AM318" s="28"/>
      <c r="AN318" s="222"/>
      <c r="AO318" s="217"/>
      <c r="AP318" s="223"/>
      <c r="AQ318" s="213"/>
      <c r="AR318" s="215"/>
      <c r="AS318" s="213"/>
      <c r="AT318" s="213"/>
      <c r="AU318" s="213"/>
      <c r="AV318" s="216"/>
      <c r="AW318" s="217"/>
      <c r="AX318" s="218"/>
      <c r="AY318" s="23"/>
      <c r="AZ318" s="23"/>
      <c r="BA318" s="220"/>
      <c r="BB318" s="221"/>
      <c r="BC318" s="23"/>
      <c r="BD318" s="23"/>
      <c r="BE318" s="23"/>
    </row>
    <row r="319" spans="1:57" ht="21" hidden="1" customHeight="1">
      <c r="A319" s="85"/>
      <c r="B319" s="85"/>
      <c r="C319" s="85"/>
      <c r="D319" s="119"/>
      <c r="E319" s="120"/>
      <c r="F319" s="121"/>
      <c r="G319" s="122"/>
      <c r="H319" s="122"/>
      <c r="I319" s="122"/>
      <c r="J319" s="122"/>
      <c r="K319" s="123"/>
      <c r="L319" s="124"/>
      <c r="M319" s="125"/>
      <c r="N319" s="89"/>
      <c r="O319" s="126"/>
      <c r="P319" s="127"/>
      <c r="Q319" s="128"/>
      <c r="R319" s="128"/>
      <c r="S319" s="129"/>
      <c r="T319" s="130"/>
      <c r="U319" s="116"/>
      <c r="V319" s="94"/>
      <c r="W319" s="131"/>
      <c r="X319" s="132"/>
      <c r="Y319" s="133"/>
      <c r="Z319" s="134"/>
      <c r="AA319" s="135"/>
      <c r="AB319" s="136"/>
      <c r="AC319" s="133"/>
      <c r="AD319" s="134"/>
      <c r="AE319" s="137"/>
      <c r="AF319" s="100"/>
      <c r="AG319" s="138"/>
      <c r="AH319" s="139"/>
      <c r="AI319" s="140"/>
      <c r="AJ319" s="141"/>
      <c r="AK319" s="142"/>
      <c r="AL319" s="143"/>
      <c r="AM319" s="28"/>
      <c r="AN319" s="222"/>
      <c r="AO319" s="217"/>
      <c r="AP319" s="223"/>
      <c r="AQ319" s="213"/>
      <c r="AR319" s="215"/>
      <c r="AS319" s="213"/>
      <c r="AT319" s="213"/>
      <c r="AU319" s="213"/>
      <c r="AV319" s="216"/>
      <c r="AW319" s="217"/>
      <c r="AX319" s="218"/>
      <c r="AY319" s="23"/>
      <c r="AZ319" s="23"/>
      <c r="BA319" s="220"/>
      <c r="BB319" s="221"/>
      <c r="BC319" s="23"/>
      <c r="BD319" s="23"/>
      <c r="BE319" s="23"/>
    </row>
    <row r="320" spans="1:57" ht="20.25" hidden="1" customHeight="1">
      <c r="A320" s="85"/>
      <c r="B320" s="85"/>
      <c r="C320" s="85"/>
      <c r="D320" s="119"/>
      <c r="E320" s="120"/>
      <c r="F320" s="121"/>
      <c r="G320" s="122"/>
      <c r="H320" s="122"/>
      <c r="I320" s="122"/>
      <c r="J320" s="122"/>
      <c r="K320" s="123"/>
      <c r="L320" s="124"/>
      <c r="M320" s="125"/>
      <c r="N320" s="89"/>
      <c r="O320" s="126"/>
      <c r="P320" s="127"/>
      <c r="Q320" s="128"/>
      <c r="R320" s="128"/>
      <c r="S320" s="129"/>
      <c r="T320" s="130"/>
      <c r="U320" s="116"/>
      <c r="V320" s="94"/>
      <c r="W320" s="131"/>
      <c r="X320" s="132"/>
      <c r="Y320" s="133"/>
      <c r="Z320" s="134"/>
      <c r="AA320" s="135"/>
      <c r="AB320" s="136"/>
      <c r="AC320" s="133"/>
      <c r="AD320" s="134"/>
      <c r="AE320" s="137"/>
      <c r="AF320" s="100"/>
      <c r="AG320" s="138"/>
      <c r="AH320" s="139"/>
      <c r="AI320" s="140"/>
      <c r="AJ320" s="141"/>
      <c r="AK320" s="142"/>
      <c r="AL320" s="143"/>
      <c r="AM320" s="28"/>
      <c r="AN320" s="222"/>
      <c r="AO320" s="217"/>
      <c r="AP320" s="223"/>
      <c r="AQ320" s="213"/>
      <c r="AR320" s="215"/>
      <c r="AS320" s="213"/>
      <c r="AT320" s="213"/>
      <c r="AU320" s="213"/>
      <c r="AV320" s="216"/>
      <c r="AW320" s="217"/>
      <c r="AX320" s="218"/>
      <c r="AY320" s="23">
        <f>10^30</f>
        <v>1E+30</v>
      </c>
      <c r="AZ320" s="23"/>
      <c r="BA320" s="220"/>
      <c r="BB320" s="221"/>
      <c r="BC320" s="23"/>
      <c r="BD320" s="23"/>
      <c r="BE320" s="23"/>
    </row>
    <row r="321" spans="1:57" ht="18.75" hidden="1" customHeight="1">
      <c r="A321" s="85"/>
      <c r="B321" s="85"/>
      <c r="C321" s="85"/>
      <c r="D321" s="144"/>
      <c r="E321" s="145"/>
      <c r="F321" s="146"/>
      <c r="G321" s="101"/>
      <c r="H321" s="101"/>
      <c r="I321" s="101"/>
      <c r="J321" s="101"/>
      <c r="K321" s="102"/>
      <c r="L321" s="103"/>
      <c r="M321" s="104"/>
      <c r="N321" s="105"/>
      <c r="O321" s="126"/>
      <c r="P321" s="147"/>
      <c r="Q321" s="148"/>
      <c r="R321" s="148"/>
      <c r="S321" s="117"/>
      <c r="T321" s="149"/>
      <c r="U321" s="116"/>
      <c r="V321" s="94"/>
      <c r="W321" s="110"/>
      <c r="X321" s="111"/>
      <c r="Y321" s="112"/>
      <c r="Z321" s="113"/>
      <c r="AA321" s="114"/>
      <c r="AB321" s="150"/>
      <c r="AC321" s="151"/>
      <c r="AD321" s="113"/>
      <c r="AE321" s="114"/>
      <c r="AF321" s="115"/>
      <c r="AG321" s="152"/>
      <c r="AH321" s="153"/>
      <c r="AI321" s="154"/>
      <c r="AJ321" s="155"/>
      <c r="AK321" s="156"/>
      <c r="AL321" s="157"/>
      <c r="AM321" s="28"/>
      <c r="AN321" s="222"/>
      <c r="AO321" s="217"/>
      <c r="AP321" s="223"/>
      <c r="AQ321" s="213"/>
      <c r="AR321" s="215"/>
      <c r="AS321" s="213"/>
      <c r="AT321" s="213"/>
      <c r="AU321" s="213"/>
      <c r="AV321" s="216"/>
      <c r="AW321" s="217"/>
      <c r="AX321" s="218"/>
      <c r="AY321" s="23">
        <f>10^30</f>
        <v>1E+30</v>
      </c>
      <c r="AZ321" s="23"/>
      <c r="BA321" s="220"/>
      <c r="BB321" s="221"/>
      <c r="BC321" s="23"/>
      <c r="BD321" s="23"/>
      <c r="BE321" s="23"/>
    </row>
    <row r="322" spans="1:57" ht="36" customHeight="1" thickBot="1">
      <c r="D322" s="158"/>
      <c r="E322" s="311" t="s">
        <v>76</v>
      </c>
      <c r="F322" s="312"/>
      <c r="G322" s="312"/>
      <c r="H322" s="312"/>
      <c r="I322" s="312"/>
      <c r="J322" s="312"/>
      <c r="K322" s="312"/>
      <c r="L322" s="312"/>
      <c r="M322" s="312"/>
      <c r="N322" s="312"/>
      <c r="O322" s="312"/>
      <c r="P322" s="312"/>
      <c r="Q322" s="312"/>
      <c r="R322" s="313"/>
      <c r="S322" s="305" t="s">
        <v>77</v>
      </c>
      <c r="T322" s="306"/>
      <c r="U322" s="306"/>
      <c r="V322" s="306"/>
      <c r="W322" s="306"/>
      <c r="X322" s="307"/>
      <c r="Y322" s="308" t="s">
        <v>113</v>
      </c>
      <c r="Z322" s="309"/>
      <c r="AA322" s="309"/>
      <c r="AB322" s="309"/>
      <c r="AC322" s="309"/>
      <c r="AD322" s="309"/>
      <c r="AE322" s="310"/>
      <c r="AF322" s="302"/>
      <c r="AG322" s="303"/>
      <c r="AH322" s="304"/>
      <c r="AI322" s="299" t="s">
        <v>78</v>
      </c>
      <c r="AJ322" s="300"/>
      <c r="AK322" s="301"/>
      <c r="AL322" s="159" t="s">
        <v>79</v>
      </c>
      <c r="BC322" s="161" t="str">
        <f>IF(OR(E322="",Y322="",AI322="",BC327="",BD314=0),"an input -- incomplete","The completion of an input.")</f>
        <v>an input -- incomplete</v>
      </c>
    </row>
    <row r="324" spans="1:57" ht="15.75">
      <c r="BC324" s="282" t="s">
        <v>81</v>
      </c>
      <c r="BD324" s="162" t="s">
        <v>84</v>
      </c>
    </row>
    <row r="325" spans="1:57">
      <c r="BC325" s="282"/>
      <c r="BD325" s="163" t="s">
        <v>82</v>
      </c>
    </row>
    <row r="326" spans="1:57" ht="16.5" thickBot="1">
      <c r="BC326" s="283"/>
      <c r="BD326" s="162" t="s">
        <v>83</v>
      </c>
    </row>
    <row r="327" spans="1:57" ht="21" customHeight="1">
      <c r="BC327" s="284"/>
    </row>
    <row r="328" spans="1:57" ht="21" customHeight="1">
      <c r="BC328" s="285"/>
    </row>
    <row r="329" spans="1:57" ht="21" customHeight="1">
      <c r="BC329" s="285"/>
    </row>
    <row r="330" spans="1:57">
      <c r="BC330" s="160"/>
    </row>
  </sheetData>
  <sheetProtection password="B220" sheet="1" objects="1" scenarios="1" formatCells="0"/>
  <mergeCells count="2603">
    <mergeCell ref="C306:C309"/>
    <mergeCell ref="C310:C313"/>
    <mergeCell ref="C314:C317"/>
    <mergeCell ref="E18:E21"/>
    <mergeCell ref="E22:E25"/>
    <mergeCell ref="E26:E29"/>
    <mergeCell ref="E30:E33"/>
    <mergeCell ref="E34:E37"/>
    <mergeCell ref="E46:E49"/>
    <mergeCell ref="E306:E309"/>
    <mergeCell ref="AA46:AA47"/>
    <mergeCell ref="X46:Z47"/>
    <mergeCell ref="W48:W49"/>
    <mergeCell ref="AB49:AC49"/>
    <mergeCell ref="AB309:AC309"/>
    <mergeCell ref="AB306:AD307"/>
    <mergeCell ref="X306:Z307"/>
    <mergeCell ref="X49:Y49"/>
    <mergeCell ref="N62:N65"/>
    <mergeCell ref="V62:V63"/>
    <mergeCell ref="L48:M48"/>
    <mergeCell ref="L49:M49"/>
    <mergeCell ref="V54:V55"/>
    <mergeCell ref="AB46:AD47"/>
    <mergeCell ref="W46:W47"/>
    <mergeCell ref="Z49:AA49"/>
    <mergeCell ref="L50:L51"/>
    <mergeCell ref="N50:N53"/>
    <mergeCell ref="H18:H19"/>
    <mergeCell ref="F22:F23"/>
    <mergeCell ref="H22:H23"/>
    <mergeCell ref="C46:C49"/>
    <mergeCell ref="C18:C21"/>
    <mergeCell ref="C22:C25"/>
    <mergeCell ref="C26:C29"/>
    <mergeCell ref="C30:C33"/>
    <mergeCell ref="D22:D25"/>
    <mergeCell ref="E38:E41"/>
    <mergeCell ref="E42:E45"/>
    <mergeCell ref="C34:C37"/>
    <mergeCell ref="C38:C41"/>
    <mergeCell ref="C42:C45"/>
    <mergeCell ref="D42:D45"/>
    <mergeCell ref="D38:D41"/>
    <mergeCell ref="H30:H31"/>
    <mergeCell ref="F33:K33"/>
    <mergeCell ref="I30:I31"/>
    <mergeCell ref="K30:K31"/>
    <mergeCell ref="J30:J31"/>
    <mergeCell ref="G30:G31"/>
    <mergeCell ref="G26:G27"/>
    <mergeCell ref="F21:K21"/>
    <mergeCell ref="F26:F27"/>
    <mergeCell ref="J26:J27"/>
    <mergeCell ref="K26:K27"/>
    <mergeCell ref="I26:I27"/>
    <mergeCell ref="I34:I35"/>
    <mergeCell ref="K34:K35"/>
    <mergeCell ref="F29:K29"/>
    <mergeCell ref="F38:F39"/>
    <mergeCell ref="D30:D33"/>
    <mergeCell ref="H34:H35"/>
    <mergeCell ref="F34:F35"/>
    <mergeCell ref="G34:G35"/>
    <mergeCell ref="O10:V10"/>
    <mergeCell ref="L18:L19"/>
    <mergeCell ref="V46:V47"/>
    <mergeCell ref="L44:M44"/>
    <mergeCell ref="L42:L43"/>
    <mergeCell ref="L46:L47"/>
    <mergeCell ref="L45:M45"/>
    <mergeCell ref="N46:N49"/>
    <mergeCell ref="N42:N45"/>
    <mergeCell ref="L20:M20"/>
    <mergeCell ref="O11:O13"/>
    <mergeCell ref="S11:S12"/>
    <mergeCell ref="F11:G11"/>
    <mergeCell ref="H11:I11"/>
    <mergeCell ref="J11:K11"/>
    <mergeCell ref="N10:N12"/>
    <mergeCell ref="L13:M13"/>
    <mergeCell ref="J18:J19"/>
    <mergeCell ref="K18:K19"/>
    <mergeCell ref="F24:K24"/>
    <mergeCell ref="I22:I23"/>
    <mergeCell ref="G18:G19"/>
    <mergeCell ref="F25:K25"/>
    <mergeCell ref="J22:J23"/>
    <mergeCell ref="K22:K23"/>
    <mergeCell ref="N38:N41"/>
    <mergeCell ref="L40:M40"/>
    <mergeCell ref="H38:H39"/>
    <mergeCell ref="I38:I39"/>
    <mergeCell ref="F40:K40"/>
    <mergeCell ref="H26:H27"/>
    <mergeCell ref="G22:G23"/>
    <mergeCell ref="I314:I315"/>
    <mergeCell ref="L310:L311"/>
    <mergeCell ref="G38:G39"/>
    <mergeCell ref="J314:J315"/>
    <mergeCell ref="K314:K315"/>
    <mergeCell ref="L314:L315"/>
    <mergeCell ref="N314:N317"/>
    <mergeCell ref="AD317:AE317"/>
    <mergeCell ref="AG316:AH316"/>
    <mergeCell ref="X317:Y317"/>
    <mergeCell ref="Z317:AA317"/>
    <mergeCell ref="AB317:AC317"/>
    <mergeCell ref="X314:Z315"/>
    <mergeCell ref="AA314:AA315"/>
    <mergeCell ref="AB314:AD315"/>
    <mergeCell ref="AD41:AE41"/>
    <mergeCell ref="AB42:AD43"/>
    <mergeCell ref="AB41:AC41"/>
    <mergeCell ref="X38:Z39"/>
    <mergeCell ref="X41:Y41"/>
    <mergeCell ref="W40:W41"/>
    <mergeCell ref="Z41:AA41"/>
    <mergeCell ref="AA38:AA39"/>
    <mergeCell ref="AE38:AE39"/>
    <mergeCell ref="AE42:AE43"/>
    <mergeCell ref="L38:L39"/>
    <mergeCell ref="W44:W45"/>
    <mergeCell ref="V38:V39"/>
    <mergeCell ref="W38:W39"/>
    <mergeCell ref="V42:V43"/>
    <mergeCell ref="W42:W43"/>
    <mergeCell ref="H314:H315"/>
    <mergeCell ref="D310:D313"/>
    <mergeCell ref="L317:M317"/>
    <mergeCell ref="L24:M24"/>
    <mergeCell ref="L28:M28"/>
    <mergeCell ref="L26:L27"/>
    <mergeCell ref="L25:M25"/>
    <mergeCell ref="L313:M313"/>
    <mergeCell ref="L308:M308"/>
    <mergeCell ref="L309:M309"/>
    <mergeCell ref="V314:V315"/>
    <mergeCell ref="W314:W315"/>
    <mergeCell ref="L316:M316"/>
    <mergeCell ref="L37:M37"/>
    <mergeCell ref="L34:L35"/>
    <mergeCell ref="D314:D317"/>
    <mergeCell ref="F314:F315"/>
    <mergeCell ref="G314:G315"/>
    <mergeCell ref="F316:K316"/>
    <mergeCell ref="F317:K317"/>
    <mergeCell ref="W316:W317"/>
    <mergeCell ref="W306:W307"/>
    <mergeCell ref="W308:W309"/>
    <mergeCell ref="W310:W311"/>
    <mergeCell ref="V34:V35"/>
    <mergeCell ref="W34:W35"/>
    <mergeCell ref="J34:J35"/>
    <mergeCell ref="E310:E313"/>
    <mergeCell ref="E314:E317"/>
    <mergeCell ref="K306:K307"/>
    <mergeCell ref="K46:K47"/>
    <mergeCell ref="J38:J39"/>
    <mergeCell ref="F56:K56"/>
    <mergeCell ref="AJ42:AK43"/>
    <mergeCell ref="AJ44:AJ45"/>
    <mergeCell ref="AG45:AH45"/>
    <mergeCell ref="AG42:AH42"/>
    <mergeCell ref="AG43:AH43"/>
    <mergeCell ref="AA42:AA43"/>
    <mergeCell ref="V30:V31"/>
    <mergeCell ref="AA34:AA35"/>
    <mergeCell ref="AG41:AH41"/>
    <mergeCell ref="AJ38:AK39"/>
    <mergeCell ref="AK40:AK41"/>
    <mergeCell ref="AG39:AH39"/>
    <mergeCell ref="AG38:AH38"/>
    <mergeCell ref="AG32:AH32"/>
    <mergeCell ref="AG30:AH30"/>
    <mergeCell ref="AG31:AH31"/>
    <mergeCell ref="Z33:AA33"/>
    <mergeCell ref="X34:Z35"/>
    <mergeCell ref="AD45:AE45"/>
    <mergeCell ref="Z45:AA45"/>
    <mergeCell ref="AB310:AD311"/>
    <mergeCell ref="AG310:AH310"/>
    <mergeCell ref="X310:Z311"/>
    <mergeCell ref="AA310:AA311"/>
    <mergeCell ref="AB313:AC313"/>
    <mergeCell ref="AD313:AE313"/>
    <mergeCell ref="Z313:AA313"/>
    <mergeCell ref="X313:Y313"/>
    <mergeCell ref="AK308:AK309"/>
    <mergeCell ref="AJ308:AJ309"/>
    <mergeCell ref="AI311:AI312"/>
    <mergeCell ref="AG308:AH308"/>
    <mergeCell ref="AJ314:AK315"/>
    <mergeCell ref="AG314:AH314"/>
    <mergeCell ref="AG315:AH315"/>
    <mergeCell ref="AI315:AI316"/>
    <mergeCell ref="AE314:AE315"/>
    <mergeCell ref="AJ310:AK311"/>
    <mergeCell ref="AJ316:AJ317"/>
    <mergeCell ref="AG311:AH311"/>
    <mergeCell ref="AE310:AE311"/>
    <mergeCell ref="N306:N309"/>
    <mergeCell ref="L306:L307"/>
    <mergeCell ref="N310:N313"/>
    <mergeCell ref="AG313:AH313"/>
    <mergeCell ref="AJ306:AK307"/>
    <mergeCell ref="AE306:AE307"/>
    <mergeCell ref="AK48:AK49"/>
    <mergeCell ref="AE46:AE47"/>
    <mergeCell ref="AG47:AH47"/>
    <mergeCell ref="AG46:AH46"/>
    <mergeCell ref="AJ48:AJ49"/>
    <mergeCell ref="AD49:AE49"/>
    <mergeCell ref="AD305:AE305"/>
    <mergeCell ref="AG305:AH305"/>
    <mergeCell ref="AJ70:AK71"/>
    <mergeCell ref="AG71:AH71"/>
    <mergeCell ref="AI71:AI72"/>
    <mergeCell ref="W72:W73"/>
    <mergeCell ref="AG72:AH72"/>
    <mergeCell ref="AJ72:AJ73"/>
    <mergeCell ref="AK72:AK73"/>
    <mergeCell ref="X73:Y73"/>
    <mergeCell ref="Z73:AA73"/>
    <mergeCell ref="AB73:AC73"/>
    <mergeCell ref="W70:W71"/>
    <mergeCell ref="X70:Z71"/>
    <mergeCell ref="AA306:AA307"/>
    <mergeCell ref="L56:M56"/>
    <mergeCell ref="AJ58:AK59"/>
    <mergeCell ref="AG59:AH59"/>
    <mergeCell ref="AI59:AI60"/>
    <mergeCell ref="AK312:AK313"/>
    <mergeCell ref="H58:H59"/>
    <mergeCell ref="I58:I59"/>
    <mergeCell ref="AJ46:AK47"/>
    <mergeCell ref="AK28:AK29"/>
    <mergeCell ref="AJ28:AJ29"/>
    <mergeCell ref="AG29:AH29"/>
    <mergeCell ref="AD25:AE25"/>
    <mergeCell ref="AJ26:AK27"/>
    <mergeCell ref="AJ24:AJ25"/>
    <mergeCell ref="AK24:AK25"/>
    <mergeCell ref="AE26:AE27"/>
    <mergeCell ref="L32:M32"/>
    <mergeCell ref="AG53:AH53"/>
    <mergeCell ref="H42:H43"/>
    <mergeCell ref="X45:Y45"/>
    <mergeCell ref="AB45:AC45"/>
    <mergeCell ref="AD37:AE37"/>
    <mergeCell ref="AB34:AD35"/>
    <mergeCell ref="AE34:AE35"/>
    <mergeCell ref="W36:W37"/>
    <mergeCell ref="AB37:AC37"/>
    <mergeCell ref="F36:K36"/>
    <mergeCell ref="AI47:AI48"/>
    <mergeCell ref="AG49:AH49"/>
    <mergeCell ref="AG48:AH48"/>
    <mergeCell ref="L41:M41"/>
    <mergeCell ref="L30:L31"/>
    <mergeCell ref="AK44:AK45"/>
    <mergeCell ref="AG44:AH44"/>
    <mergeCell ref="AJ40:AJ41"/>
    <mergeCell ref="AI39:AI40"/>
    <mergeCell ref="AG40:AH40"/>
    <mergeCell ref="AJ20:AJ21"/>
    <mergeCell ref="AK20:AK21"/>
    <mergeCell ref="AG26:AH26"/>
    <mergeCell ref="AG25:AH25"/>
    <mergeCell ref="AG22:AH22"/>
    <mergeCell ref="AG20:AH20"/>
    <mergeCell ref="AJ22:AK23"/>
    <mergeCell ref="AG24:AH24"/>
    <mergeCell ref="X25:Y25"/>
    <mergeCell ref="AJ32:AJ33"/>
    <mergeCell ref="AK32:AK33"/>
    <mergeCell ref="AJ30:AK31"/>
    <mergeCell ref="L29:M29"/>
    <mergeCell ref="L22:L23"/>
    <mergeCell ref="L21:M21"/>
    <mergeCell ref="N22:N25"/>
    <mergeCell ref="L33:M33"/>
    <mergeCell ref="N30:N33"/>
    <mergeCell ref="N18:N21"/>
    <mergeCell ref="W18:W19"/>
    <mergeCell ref="AB21:AC21"/>
    <mergeCell ref="W26:W27"/>
    <mergeCell ref="V26:V27"/>
    <mergeCell ref="AG28:AH28"/>
    <mergeCell ref="AI27:AI28"/>
    <mergeCell ref="AG27:AH27"/>
    <mergeCell ref="X33:Y33"/>
    <mergeCell ref="W32:W33"/>
    <mergeCell ref="AA26:AA27"/>
    <mergeCell ref="X29:Y29"/>
    <mergeCell ref="Z29:AA29"/>
    <mergeCell ref="X26:Z27"/>
    <mergeCell ref="N6:O6"/>
    <mergeCell ref="Q11:Q12"/>
    <mergeCell ref="O9:W9"/>
    <mergeCell ref="L9:N9"/>
    <mergeCell ref="L10:M10"/>
    <mergeCell ref="P11:P12"/>
    <mergeCell ref="AD21:AE21"/>
    <mergeCell ref="Z21:AA21"/>
    <mergeCell ref="AG21:AH21"/>
    <mergeCell ref="AG23:AH23"/>
    <mergeCell ref="AE22:AE23"/>
    <mergeCell ref="X22:Z23"/>
    <mergeCell ref="AA22:AA23"/>
    <mergeCell ref="AB22:AD23"/>
    <mergeCell ref="Z25:AA25"/>
    <mergeCell ref="AB25:AC25"/>
    <mergeCell ref="X13:AA13"/>
    <mergeCell ref="W24:W25"/>
    <mergeCell ref="W20:W21"/>
    <mergeCell ref="V22:V23"/>
    <mergeCell ref="W22:W23"/>
    <mergeCell ref="AG9:AI9"/>
    <mergeCell ref="X9:AA9"/>
    <mergeCell ref="X10:Z10"/>
    <mergeCell ref="Y11:Y12"/>
    <mergeCell ref="AB9:AE9"/>
    <mergeCell ref="AG10:AH10"/>
    <mergeCell ref="AG11:AH11"/>
    <mergeCell ref="AG12:AH12"/>
    <mergeCell ref="AI23:AI24"/>
    <mergeCell ref="AE18:AE19"/>
    <mergeCell ref="V18:V19"/>
    <mergeCell ref="N7:O7"/>
    <mergeCell ref="T11:T12"/>
    <mergeCell ref="L11:L12"/>
    <mergeCell ref="R11:R12"/>
    <mergeCell ref="W10:W11"/>
    <mergeCell ref="U11:U12"/>
    <mergeCell ref="AA18:AA19"/>
    <mergeCell ref="X18:Z19"/>
    <mergeCell ref="X21:Y21"/>
    <mergeCell ref="F30:F31"/>
    <mergeCell ref="F28:K28"/>
    <mergeCell ref="D26:D29"/>
    <mergeCell ref="F32:K32"/>
    <mergeCell ref="D306:D309"/>
    <mergeCell ref="F306:F307"/>
    <mergeCell ref="G306:G307"/>
    <mergeCell ref="F308:K308"/>
    <mergeCell ref="H306:H307"/>
    <mergeCell ref="I306:I307"/>
    <mergeCell ref="F309:K309"/>
    <mergeCell ref="D9:D13"/>
    <mergeCell ref="E9:E13"/>
    <mergeCell ref="D18:D21"/>
    <mergeCell ref="F18:F19"/>
    <mergeCell ref="F13:K13"/>
    <mergeCell ref="I18:I19"/>
    <mergeCell ref="F9:K9"/>
    <mergeCell ref="F10:K10"/>
    <mergeCell ref="F12:K12"/>
    <mergeCell ref="F20:K20"/>
    <mergeCell ref="F41:K41"/>
    <mergeCell ref="J306:J307"/>
    <mergeCell ref="AL9:AL13"/>
    <mergeCell ref="AJ18:AK19"/>
    <mergeCell ref="AJ12:AK12"/>
    <mergeCell ref="AJ11:AK11"/>
    <mergeCell ref="AJ9:AK9"/>
    <mergeCell ref="AJ10:AK10"/>
    <mergeCell ref="AD33:AE33"/>
    <mergeCell ref="AG33:AH33"/>
    <mergeCell ref="AB29:AC29"/>
    <mergeCell ref="AB33:AC33"/>
    <mergeCell ref="AI31:AI32"/>
    <mergeCell ref="J46:J47"/>
    <mergeCell ref="Z37:AA37"/>
    <mergeCell ref="AG36:AH36"/>
    <mergeCell ref="N34:N37"/>
    <mergeCell ref="X37:Y37"/>
    <mergeCell ref="AG37:AH37"/>
    <mergeCell ref="AJ34:AK35"/>
    <mergeCell ref="AK36:AK37"/>
    <mergeCell ref="AJ36:AJ37"/>
    <mergeCell ref="AG34:AH34"/>
    <mergeCell ref="AI35:AI36"/>
    <mergeCell ref="AG35:AH35"/>
    <mergeCell ref="N26:N29"/>
    <mergeCell ref="AD29:AE29"/>
    <mergeCell ref="AB26:AD27"/>
    <mergeCell ref="W30:W31"/>
    <mergeCell ref="X30:Z31"/>
    <mergeCell ref="AA30:AA31"/>
    <mergeCell ref="W28:W29"/>
    <mergeCell ref="AB30:AD31"/>
    <mergeCell ref="AE30:AE31"/>
    <mergeCell ref="X42:Z43"/>
    <mergeCell ref="G310:G311"/>
    <mergeCell ref="F312:K312"/>
    <mergeCell ref="F46:F47"/>
    <mergeCell ref="G46:G47"/>
    <mergeCell ref="F48:K48"/>
    <mergeCell ref="I42:I43"/>
    <mergeCell ref="J42:J43"/>
    <mergeCell ref="E322:R322"/>
    <mergeCell ref="F313:K313"/>
    <mergeCell ref="J310:J311"/>
    <mergeCell ref="K310:K311"/>
    <mergeCell ref="I310:I311"/>
    <mergeCell ref="F310:F311"/>
    <mergeCell ref="H310:H311"/>
    <mergeCell ref="K42:K43"/>
    <mergeCell ref="AI43:AI44"/>
    <mergeCell ref="AI307:AI308"/>
    <mergeCell ref="K62:K63"/>
    <mergeCell ref="L62:L63"/>
    <mergeCell ref="G42:G43"/>
    <mergeCell ref="F44:K44"/>
    <mergeCell ref="F45:K45"/>
    <mergeCell ref="F42:F43"/>
    <mergeCell ref="V306:V307"/>
    <mergeCell ref="AG306:AH306"/>
    <mergeCell ref="L312:M312"/>
    <mergeCell ref="F57:K57"/>
    <mergeCell ref="L57:M57"/>
    <mergeCell ref="F61:K61"/>
    <mergeCell ref="L61:M61"/>
    <mergeCell ref="G58:G59"/>
    <mergeCell ref="L36:M36"/>
    <mergeCell ref="AD57:AE57"/>
    <mergeCell ref="AG57:AH57"/>
    <mergeCell ref="C50:C53"/>
    <mergeCell ref="D50:D53"/>
    <mergeCell ref="E50:E53"/>
    <mergeCell ref="F50:F51"/>
    <mergeCell ref="G50:G51"/>
    <mergeCell ref="H50:H51"/>
    <mergeCell ref="I50:I51"/>
    <mergeCell ref="J50:J51"/>
    <mergeCell ref="K50:K51"/>
    <mergeCell ref="AA11:AA12"/>
    <mergeCell ref="AB10:AD10"/>
    <mergeCell ref="AC11:AC12"/>
    <mergeCell ref="AE11:AE12"/>
    <mergeCell ref="AB13:AE13"/>
    <mergeCell ref="AG18:AH18"/>
    <mergeCell ref="AB18:AD19"/>
    <mergeCell ref="AG13:AI13"/>
    <mergeCell ref="AI19:AI20"/>
    <mergeCell ref="AG19:AH19"/>
    <mergeCell ref="K38:K39"/>
    <mergeCell ref="AB38:AD39"/>
    <mergeCell ref="F49:K49"/>
    <mergeCell ref="H46:H47"/>
    <mergeCell ref="I46:I47"/>
    <mergeCell ref="D46:D49"/>
    <mergeCell ref="D34:D37"/>
    <mergeCell ref="F37:K37"/>
    <mergeCell ref="H54:H55"/>
    <mergeCell ref="I54:I55"/>
    <mergeCell ref="J54:J55"/>
    <mergeCell ref="K54:K55"/>
    <mergeCell ref="AJ50:AK51"/>
    <mergeCell ref="AG51:AH51"/>
    <mergeCell ref="AI51:AI52"/>
    <mergeCell ref="F52:K52"/>
    <mergeCell ref="L52:M52"/>
    <mergeCell ref="W52:W53"/>
    <mergeCell ref="AG52:AH52"/>
    <mergeCell ref="AJ52:AJ53"/>
    <mergeCell ref="AK52:AK53"/>
    <mergeCell ref="F53:K53"/>
    <mergeCell ref="V50:V51"/>
    <mergeCell ref="L53:M53"/>
    <mergeCell ref="W50:W51"/>
    <mergeCell ref="X50:Z51"/>
    <mergeCell ref="AA50:AA51"/>
    <mergeCell ref="AB50:AD51"/>
    <mergeCell ref="AB53:AC53"/>
    <mergeCell ref="AD53:AE53"/>
    <mergeCell ref="AE50:AE51"/>
    <mergeCell ref="AG50:AH50"/>
    <mergeCell ref="X53:Y53"/>
    <mergeCell ref="Z53:AA53"/>
    <mergeCell ref="F60:K60"/>
    <mergeCell ref="L60:M60"/>
    <mergeCell ref="J58:J59"/>
    <mergeCell ref="C58:C61"/>
    <mergeCell ref="D58:D61"/>
    <mergeCell ref="E58:E61"/>
    <mergeCell ref="F58:F59"/>
    <mergeCell ref="K58:K59"/>
    <mergeCell ref="L58:L59"/>
    <mergeCell ref="AJ54:AK55"/>
    <mergeCell ref="AG55:AH55"/>
    <mergeCell ref="AI55:AI56"/>
    <mergeCell ref="W56:W57"/>
    <mergeCell ref="AG56:AH56"/>
    <mergeCell ref="AJ56:AJ57"/>
    <mergeCell ref="AK56:AK57"/>
    <mergeCell ref="X57:Y57"/>
    <mergeCell ref="Z57:AA57"/>
    <mergeCell ref="AB57:AC57"/>
    <mergeCell ref="W54:W55"/>
    <mergeCell ref="X54:Z55"/>
    <mergeCell ref="AA54:AA55"/>
    <mergeCell ref="AB54:AD55"/>
    <mergeCell ref="AE54:AE55"/>
    <mergeCell ref="AG54:AH54"/>
    <mergeCell ref="L54:L55"/>
    <mergeCell ref="N54:N57"/>
    <mergeCell ref="C54:C57"/>
    <mergeCell ref="D54:D57"/>
    <mergeCell ref="E54:E57"/>
    <mergeCell ref="F54:F55"/>
    <mergeCell ref="G54:G55"/>
    <mergeCell ref="W60:W61"/>
    <mergeCell ref="AG60:AH60"/>
    <mergeCell ref="AJ60:AJ61"/>
    <mergeCell ref="AK60:AK61"/>
    <mergeCell ref="X61:Y61"/>
    <mergeCell ref="Z61:AA61"/>
    <mergeCell ref="AB61:AC61"/>
    <mergeCell ref="W58:W59"/>
    <mergeCell ref="X58:Z59"/>
    <mergeCell ref="AA58:AA59"/>
    <mergeCell ref="AB58:AD59"/>
    <mergeCell ref="AE58:AE59"/>
    <mergeCell ref="AG58:AH58"/>
    <mergeCell ref="N58:N61"/>
    <mergeCell ref="V58:V59"/>
    <mergeCell ref="AG302:AH302"/>
    <mergeCell ref="N302:N305"/>
    <mergeCell ref="V302:V303"/>
    <mergeCell ref="AJ62:AK63"/>
    <mergeCell ref="AI63:AI64"/>
    <mergeCell ref="AJ64:AJ65"/>
    <mergeCell ref="AK64:AK65"/>
    <mergeCell ref="AD69:AE69"/>
    <mergeCell ref="AG69:AH69"/>
    <mergeCell ref="AE70:AE71"/>
    <mergeCell ref="AG70:AH70"/>
    <mergeCell ref="N70:N73"/>
    <mergeCell ref="V70:V71"/>
    <mergeCell ref="N74:N77"/>
    <mergeCell ref="V74:V75"/>
    <mergeCell ref="AJ74:AK75"/>
    <mergeCell ref="AI75:AI76"/>
    <mergeCell ref="F304:K304"/>
    <mergeCell ref="L304:M304"/>
    <mergeCell ref="F305:K305"/>
    <mergeCell ref="L305:M305"/>
    <mergeCell ref="W64:W65"/>
    <mergeCell ref="AG64:AH64"/>
    <mergeCell ref="G302:G303"/>
    <mergeCell ref="H302:H303"/>
    <mergeCell ref="AD61:AE61"/>
    <mergeCell ref="AG61:AH61"/>
    <mergeCell ref="I302:I303"/>
    <mergeCell ref="J302:J303"/>
    <mergeCell ref="C302:C305"/>
    <mergeCell ref="D302:D305"/>
    <mergeCell ref="E302:E305"/>
    <mergeCell ref="F302:F303"/>
    <mergeCell ref="K302:K303"/>
    <mergeCell ref="L302:L303"/>
    <mergeCell ref="AD65:AE65"/>
    <mergeCell ref="AE62:AE63"/>
    <mergeCell ref="AG62:AH62"/>
    <mergeCell ref="AG63:AH63"/>
    <mergeCell ref="AG65:AH65"/>
    <mergeCell ref="I62:I63"/>
    <mergeCell ref="J62:J63"/>
    <mergeCell ref="W62:W63"/>
    <mergeCell ref="X62:Z63"/>
    <mergeCell ref="AA62:AA63"/>
    <mergeCell ref="AB62:AD63"/>
    <mergeCell ref="F69:K69"/>
    <mergeCell ref="L69:M69"/>
    <mergeCell ref="G66:G67"/>
    <mergeCell ref="BC324:BC326"/>
    <mergeCell ref="BC327:BC329"/>
    <mergeCell ref="AJ302:AK303"/>
    <mergeCell ref="AG303:AH303"/>
    <mergeCell ref="AI303:AI304"/>
    <mergeCell ref="W304:W305"/>
    <mergeCell ref="AG304:AH304"/>
    <mergeCell ref="AJ304:AJ305"/>
    <mergeCell ref="AK304:AK305"/>
    <mergeCell ref="X305:Y305"/>
    <mergeCell ref="Z305:AA305"/>
    <mergeCell ref="AB305:AC305"/>
    <mergeCell ref="W302:W303"/>
    <mergeCell ref="X302:Z303"/>
    <mergeCell ref="AA302:AA303"/>
    <mergeCell ref="AB302:AD303"/>
    <mergeCell ref="AE302:AE303"/>
    <mergeCell ref="AI322:AK322"/>
    <mergeCell ref="AF322:AH322"/>
    <mergeCell ref="S322:X322"/>
    <mergeCell ref="Y322:AE322"/>
    <mergeCell ref="AK316:AK317"/>
    <mergeCell ref="AG307:AH307"/>
    <mergeCell ref="AG317:AH317"/>
    <mergeCell ref="AG312:AH312"/>
    <mergeCell ref="AJ312:AJ313"/>
    <mergeCell ref="V310:V311"/>
    <mergeCell ref="W312:W313"/>
    <mergeCell ref="AG309:AH309"/>
    <mergeCell ref="AD309:AE309"/>
    <mergeCell ref="Z309:AA309"/>
    <mergeCell ref="X309:Y309"/>
    <mergeCell ref="C66:C69"/>
    <mergeCell ref="D66:D69"/>
    <mergeCell ref="E66:E69"/>
    <mergeCell ref="F66:F67"/>
    <mergeCell ref="F64:K64"/>
    <mergeCell ref="L64:M64"/>
    <mergeCell ref="F65:K65"/>
    <mergeCell ref="L65:M65"/>
    <mergeCell ref="X65:Y65"/>
    <mergeCell ref="Z65:AA65"/>
    <mergeCell ref="AB65:AC65"/>
    <mergeCell ref="C62:C65"/>
    <mergeCell ref="D62:D65"/>
    <mergeCell ref="E62:E65"/>
    <mergeCell ref="F62:F63"/>
    <mergeCell ref="G62:G63"/>
    <mergeCell ref="H62:H63"/>
    <mergeCell ref="AJ66:AK67"/>
    <mergeCell ref="AG67:AH67"/>
    <mergeCell ref="AI67:AI68"/>
    <mergeCell ref="W68:W69"/>
    <mergeCell ref="AG68:AH68"/>
    <mergeCell ref="AJ68:AJ69"/>
    <mergeCell ref="AK68:AK69"/>
    <mergeCell ref="X69:Y69"/>
    <mergeCell ref="Z69:AA69"/>
    <mergeCell ref="AB69:AC69"/>
    <mergeCell ref="W66:W67"/>
    <mergeCell ref="X66:Z67"/>
    <mergeCell ref="AA66:AA67"/>
    <mergeCell ref="AB66:AD67"/>
    <mergeCell ref="AE66:AE67"/>
    <mergeCell ref="AG66:AH66"/>
    <mergeCell ref="K66:K67"/>
    <mergeCell ref="L66:L67"/>
    <mergeCell ref="N66:N69"/>
    <mergeCell ref="V66:V67"/>
    <mergeCell ref="F68:K68"/>
    <mergeCell ref="L68:M68"/>
    <mergeCell ref="H66:H67"/>
    <mergeCell ref="I66:I67"/>
    <mergeCell ref="J66:J67"/>
    <mergeCell ref="G74:G75"/>
    <mergeCell ref="H74:H75"/>
    <mergeCell ref="AD73:AE73"/>
    <mergeCell ref="AG73:AH73"/>
    <mergeCell ref="I74:I75"/>
    <mergeCell ref="J74:J75"/>
    <mergeCell ref="F72:K72"/>
    <mergeCell ref="L72:M72"/>
    <mergeCell ref="F73:K73"/>
    <mergeCell ref="L73:M73"/>
    <mergeCell ref="G70:G71"/>
    <mergeCell ref="H70:H71"/>
    <mergeCell ref="C74:C77"/>
    <mergeCell ref="D74:D77"/>
    <mergeCell ref="E74:E77"/>
    <mergeCell ref="F74:F75"/>
    <mergeCell ref="K74:K75"/>
    <mergeCell ref="L74:L75"/>
    <mergeCell ref="AG75:AH75"/>
    <mergeCell ref="I70:I71"/>
    <mergeCell ref="J70:J71"/>
    <mergeCell ref="C70:C73"/>
    <mergeCell ref="D70:D73"/>
    <mergeCell ref="E70:E73"/>
    <mergeCell ref="F70:F71"/>
    <mergeCell ref="K70:K71"/>
    <mergeCell ref="L70:L71"/>
    <mergeCell ref="AA70:AA71"/>
    <mergeCell ref="AB70:AD71"/>
    <mergeCell ref="F80:K80"/>
    <mergeCell ref="L80:M80"/>
    <mergeCell ref="F81:K81"/>
    <mergeCell ref="L81:M81"/>
    <mergeCell ref="G78:G79"/>
    <mergeCell ref="H78:H79"/>
    <mergeCell ref="AD77:AE77"/>
    <mergeCell ref="AG77:AH77"/>
    <mergeCell ref="I78:I79"/>
    <mergeCell ref="J78:J79"/>
    <mergeCell ref="C78:C81"/>
    <mergeCell ref="D78:D81"/>
    <mergeCell ref="E78:E81"/>
    <mergeCell ref="F78:F79"/>
    <mergeCell ref="K78:K79"/>
    <mergeCell ref="L78:L79"/>
    <mergeCell ref="N78:N81"/>
    <mergeCell ref="V78:V79"/>
    <mergeCell ref="W76:W77"/>
    <mergeCell ref="AG76:AH76"/>
    <mergeCell ref="F76:K76"/>
    <mergeCell ref="L76:M76"/>
    <mergeCell ref="F77:K77"/>
    <mergeCell ref="L77:M77"/>
    <mergeCell ref="AJ76:AJ77"/>
    <mergeCell ref="AK76:AK77"/>
    <mergeCell ref="X77:Y77"/>
    <mergeCell ref="Z77:AA77"/>
    <mergeCell ref="AB77:AC77"/>
    <mergeCell ref="W74:W75"/>
    <mergeCell ref="X74:Z75"/>
    <mergeCell ref="AA74:AA75"/>
    <mergeCell ref="AB74:AD75"/>
    <mergeCell ref="AE74:AE75"/>
    <mergeCell ref="AG74:AH74"/>
    <mergeCell ref="AJ78:AK79"/>
    <mergeCell ref="AG79:AH79"/>
    <mergeCell ref="AI79:AI80"/>
    <mergeCell ref="W80:W81"/>
    <mergeCell ref="AG80:AH80"/>
    <mergeCell ref="AJ80:AJ81"/>
    <mergeCell ref="AK80:AK81"/>
    <mergeCell ref="X81:Y81"/>
    <mergeCell ref="Z81:AA81"/>
    <mergeCell ref="AB81:AC81"/>
    <mergeCell ref="W78:W79"/>
    <mergeCell ref="X78:Z79"/>
    <mergeCell ref="AA78:AA79"/>
    <mergeCell ref="AB78:AD79"/>
    <mergeCell ref="AE78:AE79"/>
    <mergeCell ref="AG78:AH78"/>
    <mergeCell ref="N82:N85"/>
    <mergeCell ref="V82:V83"/>
    <mergeCell ref="F84:K84"/>
    <mergeCell ref="L84:M84"/>
    <mergeCell ref="F85:K85"/>
    <mergeCell ref="L85:M85"/>
    <mergeCell ref="G82:G83"/>
    <mergeCell ref="H82:H83"/>
    <mergeCell ref="AD81:AE81"/>
    <mergeCell ref="AG81:AH81"/>
    <mergeCell ref="I82:I83"/>
    <mergeCell ref="J82:J83"/>
    <mergeCell ref="C82:C85"/>
    <mergeCell ref="D82:D85"/>
    <mergeCell ref="E82:E85"/>
    <mergeCell ref="F82:F83"/>
    <mergeCell ref="K82:K83"/>
    <mergeCell ref="L82:L83"/>
    <mergeCell ref="F88:K88"/>
    <mergeCell ref="L88:M88"/>
    <mergeCell ref="F89:K89"/>
    <mergeCell ref="L89:M89"/>
    <mergeCell ref="G86:G87"/>
    <mergeCell ref="H86:H87"/>
    <mergeCell ref="AD85:AE85"/>
    <mergeCell ref="AG85:AH85"/>
    <mergeCell ref="I86:I87"/>
    <mergeCell ref="J86:J87"/>
    <mergeCell ref="C86:C89"/>
    <mergeCell ref="D86:D89"/>
    <mergeCell ref="E86:E89"/>
    <mergeCell ref="F86:F87"/>
    <mergeCell ref="K86:K87"/>
    <mergeCell ref="L86:L87"/>
    <mergeCell ref="AJ82:AK83"/>
    <mergeCell ref="AG83:AH83"/>
    <mergeCell ref="AI83:AI84"/>
    <mergeCell ref="W84:W85"/>
    <mergeCell ref="AG84:AH84"/>
    <mergeCell ref="AJ84:AJ85"/>
    <mergeCell ref="AK84:AK85"/>
    <mergeCell ref="X85:Y85"/>
    <mergeCell ref="Z85:AA85"/>
    <mergeCell ref="AB85:AC85"/>
    <mergeCell ref="W82:W83"/>
    <mergeCell ref="X82:Z83"/>
    <mergeCell ref="AA82:AA83"/>
    <mergeCell ref="AB82:AD83"/>
    <mergeCell ref="AE82:AE83"/>
    <mergeCell ref="AG82:AH82"/>
    <mergeCell ref="AJ86:AK87"/>
    <mergeCell ref="AG87:AH87"/>
    <mergeCell ref="AI87:AI88"/>
    <mergeCell ref="W88:W89"/>
    <mergeCell ref="AG88:AH88"/>
    <mergeCell ref="AJ88:AJ89"/>
    <mergeCell ref="AK88:AK89"/>
    <mergeCell ref="X89:Y89"/>
    <mergeCell ref="Z89:AA89"/>
    <mergeCell ref="AB89:AC89"/>
    <mergeCell ref="W86:W87"/>
    <mergeCell ref="X86:Z87"/>
    <mergeCell ref="AA86:AA87"/>
    <mergeCell ref="AB86:AD87"/>
    <mergeCell ref="AE86:AE87"/>
    <mergeCell ref="AG86:AH86"/>
    <mergeCell ref="N86:N89"/>
    <mergeCell ref="V86:V87"/>
    <mergeCell ref="N90:N93"/>
    <mergeCell ref="V90:V91"/>
    <mergeCell ref="F92:K92"/>
    <mergeCell ref="L92:M92"/>
    <mergeCell ref="F93:K93"/>
    <mergeCell ref="L93:M93"/>
    <mergeCell ref="G90:G91"/>
    <mergeCell ref="H90:H91"/>
    <mergeCell ref="AD89:AE89"/>
    <mergeCell ref="AG89:AH89"/>
    <mergeCell ref="I90:I91"/>
    <mergeCell ref="J90:J91"/>
    <mergeCell ref="C90:C93"/>
    <mergeCell ref="D90:D93"/>
    <mergeCell ref="E90:E93"/>
    <mergeCell ref="F90:F91"/>
    <mergeCell ref="K90:K91"/>
    <mergeCell ref="L90:L91"/>
    <mergeCell ref="F96:K96"/>
    <mergeCell ref="L96:M96"/>
    <mergeCell ref="F97:K97"/>
    <mergeCell ref="L97:M97"/>
    <mergeCell ref="G94:G95"/>
    <mergeCell ref="H94:H95"/>
    <mergeCell ref="AD93:AE93"/>
    <mergeCell ref="AG93:AH93"/>
    <mergeCell ref="I94:I95"/>
    <mergeCell ref="J94:J95"/>
    <mergeCell ref="C94:C97"/>
    <mergeCell ref="D94:D97"/>
    <mergeCell ref="E94:E97"/>
    <mergeCell ref="F94:F95"/>
    <mergeCell ref="K94:K95"/>
    <mergeCell ref="L94:L95"/>
    <mergeCell ref="AJ90:AK91"/>
    <mergeCell ref="AG91:AH91"/>
    <mergeCell ref="AI91:AI92"/>
    <mergeCell ref="W92:W93"/>
    <mergeCell ref="AG92:AH92"/>
    <mergeCell ref="AJ92:AJ93"/>
    <mergeCell ref="AK92:AK93"/>
    <mergeCell ref="X93:Y93"/>
    <mergeCell ref="Z93:AA93"/>
    <mergeCell ref="AB93:AC93"/>
    <mergeCell ref="W90:W91"/>
    <mergeCell ref="X90:Z91"/>
    <mergeCell ref="AA90:AA91"/>
    <mergeCell ref="AB90:AD91"/>
    <mergeCell ref="AE90:AE91"/>
    <mergeCell ref="AG90:AH90"/>
    <mergeCell ref="AJ94:AK95"/>
    <mergeCell ref="AG95:AH95"/>
    <mergeCell ref="AI95:AI96"/>
    <mergeCell ref="W96:W97"/>
    <mergeCell ref="AG96:AH96"/>
    <mergeCell ref="AJ96:AJ97"/>
    <mergeCell ref="AK96:AK97"/>
    <mergeCell ref="X97:Y97"/>
    <mergeCell ref="Z97:AA97"/>
    <mergeCell ref="AB97:AC97"/>
    <mergeCell ref="W94:W95"/>
    <mergeCell ref="X94:Z95"/>
    <mergeCell ref="AA94:AA95"/>
    <mergeCell ref="AB94:AD95"/>
    <mergeCell ref="AE94:AE95"/>
    <mergeCell ref="AG94:AH94"/>
    <mergeCell ref="N94:N97"/>
    <mergeCell ref="V94:V95"/>
    <mergeCell ref="N98:N101"/>
    <mergeCell ref="V98:V99"/>
    <mergeCell ref="F100:K100"/>
    <mergeCell ref="L100:M100"/>
    <mergeCell ref="F101:K101"/>
    <mergeCell ref="L101:M101"/>
    <mergeCell ref="G98:G99"/>
    <mergeCell ref="H98:H99"/>
    <mergeCell ref="AD97:AE97"/>
    <mergeCell ref="AG97:AH97"/>
    <mergeCell ref="I98:I99"/>
    <mergeCell ref="J98:J99"/>
    <mergeCell ref="C98:C101"/>
    <mergeCell ref="D98:D101"/>
    <mergeCell ref="E98:E101"/>
    <mergeCell ref="F98:F99"/>
    <mergeCell ref="K98:K99"/>
    <mergeCell ref="L98:L99"/>
    <mergeCell ref="F104:K104"/>
    <mergeCell ref="L104:M104"/>
    <mergeCell ref="F105:K105"/>
    <mergeCell ref="L105:M105"/>
    <mergeCell ref="G102:G103"/>
    <mergeCell ref="H102:H103"/>
    <mergeCell ref="AD101:AE101"/>
    <mergeCell ref="AG101:AH101"/>
    <mergeCell ref="I102:I103"/>
    <mergeCell ref="J102:J103"/>
    <mergeCell ref="C102:C105"/>
    <mergeCell ref="D102:D105"/>
    <mergeCell ref="E102:E105"/>
    <mergeCell ref="F102:F103"/>
    <mergeCell ref="K102:K103"/>
    <mergeCell ref="L102:L103"/>
    <mergeCell ref="AJ98:AK99"/>
    <mergeCell ref="AG99:AH99"/>
    <mergeCell ref="AI99:AI100"/>
    <mergeCell ref="W100:W101"/>
    <mergeCell ref="AG100:AH100"/>
    <mergeCell ref="AJ100:AJ101"/>
    <mergeCell ref="AK100:AK101"/>
    <mergeCell ref="X101:Y101"/>
    <mergeCell ref="Z101:AA101"/>
    <mergeCell ref="AB101:AC101"/>
    <mergeCell ref="W98:W99"/>
    <mergeCell ref="X98:Z99"/>
    <mergeCell ref="AA98:AA99"/>
    <mergeCell ref="AB98:AD99"/>
    <mergeCell ref="AE98:AE99"/>
    <mergeCell ref="AG98:AH98"/>
    <mergeCell ref="F109:K109"/>
    <mergeCell ref="L109:M109"/>
    <mergeCell ref="G106:G107"/>
    <mergeCell ref="H106:H107"/>
    <mergeCell ref="AD105:AE105"/>
    <mergeCell ref="AG105:AH105"/>
    <mergeCell ref="I106:I107"/>
    <mergeCell ref="J106:J107"/>
    <mergeCell ref="C106:C109"/>
    <mergeCell ref="D106:D109"/>
    <mergeCell ref="E106:E109"/>
    <mergeCell ref="F106:F107"/>
    <mergeCell ref="K106:K107"/>
    <mergeCell ref="L106:L107"/>
    <mergeCell ref="AJ102:AK103"/>
    <mergeCell ref="AG103:AH103"/>
    <mergeCell ref="AI103:AI104"/>
    <mergeCell ref="W104:W105"/>
    <mergeCell ref="AG104:AH104"/>
    <mergeCell ref="AJ104:AJ105"/>
    <mergeCell ref="AK104:AK105"/>
    <mergeCell ref="X105:Y105"/>
    <mergeCell ref="Z105:AA105"/>
    <mergeCell ref="AB105:AC105"/>
    <mergeCell ref="W102:W103"/>
    <mergeCell ref="X102:Z103"/>
    <mergeCell ref="AA102:AA103"/>
    <mergeCell ref="AB102:AD103"/>
    <mergeCell ref="AE102:AE103"/>
    <mergeCell ref="AG102:AH102"/>
    <mergeCell ref="N102:N105"/>
    <mergeCell ref="V102:V103"/>
    <mergeCell ref="G110:G111"/>
    <mergeCell ref="H110:H111"/>
    <mergeCell ref="AD109:AE109"/>
    <mergeCell ref="AG109:AH109"/>
    <mergeCell ref="I110:I111"/>
    <mergeCell ref="J110:J111"/>
    <mergeCell ref="C110:C113"/>
    <mergeCell ref="D110:D113"/>
    <mergeCell ref="E110:E113"/>
    <mergeCell ref="F110:F111"/>
    <mergeCell ref="K110:K111"/>
    <mergeCell ref="L110:L111"/>
    <mergeCell ref="AJ106:AK107"/>
    <mergeCell ref="AG107:AH107"/>
    <mergeCell ref="AI107:AI108"/>
    <mergeCell ref="W108:W109"/>
    <mergeCell ref="AG108:AH108"/>
    <mergeCell ref="AJ108:AJ109"/>
    <mergeCell ref="AK108:AK109"/>
    <mergeCell ref="X109:Y109"/>
    <mergeCell ref="Z109:AA109"/>
    <mergeCell ref="AB109:AC109"/>
    <mergeCell ref="W106:W107"/>
    <mergeCell ref="X106:Z107"/>
    <mergeCell ref="AA106:AA107"/>
    <mergeCell ref="AB106:AD107"/>
    <mergeCell ref="AE106:AE107"/>
    <mergeCell ref="AG106:AH106"/>
    <mergeCell ref="N106:N109"/>
    <mergeCell ref="V106:V107"/>
    <mergeCell ref="F108:K108"/>
    <mergeCell ref="L108:M108"/>
    <mergeCell ref="AD113:AE113"/>
    <mergeCell ref="AG113:AH113"/>
    <mergeCell ref="I294:I295"/>
    <mergeCell ref="J294:J295"/>
    <mergeCell ref="C294:C297"/>
    <mergeCell ref="D294:D297"/>
    <mergeCell ref="E294:E297"/>
    <mergeCell ref="F294:F295"/>
    <mergeCell ref="K294:K295"/>
    <mergeCell ref="L294:L295"/>
    <mergeCell ref="AJ110:AK111"/>
    <mergeCell ref="AG111:AH111"/>
    <mergeCell ref="AI111:AI112"/>
    <mergeCell ref="W112:W113"/>
    <mergeCell ref="AG112:AH112"/>
    <mergeCell ref="AJ112:AJ113"/>
    <mergeCell ref="AK112:AK113"/>
    <mergeCell ref="X113:Y113"/>
    <mergeCell ref="Z113:AA113"/>
    <mergeCell ref="AB113:AC113"/>
    <mergeCell ref="W110:W111"/>
    <mergeCell ref="X110:Z111"/>
    <mergeCell ref="AA110:AA111"/>
    <mergeCell ref="AB110:AD111"/>
    <mergeCell ref="AE110:AE111"/>
    <mergeCell ref="AG110:AH110"/>
    <mergeCell ref="N110:N113"/>
    <mergeCell ref="V110:V111"/>
    <mergeCell ref="F112:K112"/>
    <mergeCell ref="L112:M112"/>
    <mergeCell ref="F113:K113"/>
    <mergeCell ref="L113:M113"/>
    <mergeCell ref="K298:K299"/>
    <mergeCell ref="L298:L299"/>
    <mergeCell ref="AJ294:AK295"/>
    <mergeCell ref="AG295:AH295"/>
    <mergeCell ref="AI295:AI296"/>
    <mergeCell ref="W296:W297"/>
    <mergeCell ref="AG296:AH296"/>
    <mergeCell ref="AJ296:AJ297"/>
    <mergeCell ref="AK296:AK297"/>
    <mergeCell ref="X297:Y297"/>
    <mergeCell ref="Z297:AA297"/>
    <mergeCell ref="AB297:AC297"/>
    <mergeCell ref="W294:W295"/>
    <mergeCell ref="X294:Z295"/>
    <mergeCell ref="AA294:AA295"/>
    <mergeCell ref="AB294:AD295"/>
    <mergeCell ref="AE294:AE295"/>
    <mergeCell ref="AG294:AH294"/>
    <mergeCell ref="N294:N297"/>
    <mergeCell ref="V294:V295"/>
    <mergeCell ref="F296:K296"/>
    <mergeCell ref="L296:M296"/>
    <mergeCell ref="F297:K297"/>
    <mergeCell ref="L297:M297"/>
    <mergeCell ref="G294:G295"/>
    <mergeCell ref="H294:H295"/>
    <mergeCell ref="AJ298:AK299"/>
    <mergeCell ref="AG299:AH299"/>
    <mergeCell ref="AI299:AI300"/>
    <mergeCell ref="W300:W301"/>
    <mergeCell ref="AG300:AH300"/>
    <mergeCell ref="AJ300:AJ301"/>
    <mergeCell ref="AK300:AK301"/>
    <mergeCell ref="X301:Y301"/>
    <mergeCell ref="Z301:AA301"/>
    <mergeCell ref="AB301:AC301"/>
    <mergeCell ref="W298:W299"/>
    <mergeCell ref="X298:Z299"/>
    <mergeCell ref="AA298:AA299"/>
    <mergeCell ref="AB298:AD299"/>
    <mergeCell ref="AE298:AE299"/>
    <mergeCell ref="AG298:AH298"/>
    <mergeCell ref="N298:N301"/>
    <mergeCell ref="V298:V299"/>
    <mergeCell ref="N114:N117"/>
    <mergeCell ref="V114:V115"/>
    <mergeCell ref="F116:K116"/>
    <mergeCell ref="L116:M116"/>
    <mergeCell ref="F117:K117"/>
    <mergeCell ref="L117:M117"/>
    <mergeCell ref="G114:G115"/>
    <mergeCell ref="H114:H115"/>
    <mergeCell ref="AD301:AE301"/>
    <mergeCell ref="AG301:AH301"/>
    <mergeCell ref="I114:I115"/>
    <mergeCell ref="J114:J115"/>
    <mergeCell ref="AA118:AA119"/>
    <mergeCell ref="AB118:AD119"/>
    <mergeCell ref="AE118:AE119"/>
    <mergeCell ref="AG118:AH118"/>
    <mergeCell ref="N118:N121"/>
    <mergeCell ref="V118:V119"/>
    <mergeCell ref="N122:N125"/>
    <mergeCell ref="V122:V123"/>
    <mergeCell ref="C114:C117"/>
    <mergeCell ref="D114:D117"/>
    <mergeCell ref="E114:E117"/>
    <mergeCell ref="F114:F115"/>
    <mergeCell ref="K114:K115"/>
    <mergeCell ref="L114:L115"/>
    <mergeCell ref="F300:K300"/>
    <mergeCell ref="L300:M300"/>
    <mergeCell ref="F301:K301"/>
    <mergeCell ref="L301:M301"/>
    <mergeCell ref="G298:G299"/>
    <mergeCell ref="H298:H299"/>
    <mergeCell ref="AD297:AE297"/>
    <mergeCell ref="AG297:AH297"/>
    <mergeCell ref="I298:I299"/>
    <mergeCell ref="J298:J299"/>
    <mergeCell ref="C298:C301"/>
    <mergeCell ref="D298:D301"/>
    <mergeCell ref="E298:E301"/>
    <mergeCell ref="F298:F299"/>
    <mergeCell ref="F120:K120"/>
    <mergeCell ref="L120:M120"/>
    <mergeCell ref="F121:K121"/>
    <mergeCell ref="L121:M121"/>
    <mergeCell ref="G118:G119"/>
    <mergeCell ref="H118:H119"/>
    <mergeCell ref="AD117:AE117"/>
    <mergeCell ref="AG117:AH117"/>
    <mergeCell ref="I118:I119"/>
    <mergeCell ref="J118:J119"/>
    <mergeCell ref="C118:C121"/>
    <mergeCell ref="D118:D121"/>
    <mergeCell ref="AJ114:AK115"/>
    <mergeCell ref="AG115:AH115"/>
    <mergeCell ref="AI115:AI116"/>
    <mergeCell ref="W116:W117"/>
    <mergeCell ref="AG116:AH116"/>
    <mergeCell ref="AJ116:AJ117"/>
    <mergeCell ref="AK116:AK117"/>
    <mergeCell ref="X117:Y117"/>
    <mergeCell ref="Z117:AA117"/>
    <mergeCell ref="AB117:AC117"/>
    <mergeCell ref="W114:W115"/>
    <mergeCell ref="X114:Z115"/>
    <mergeCell ref="AA114:AA115"/>
    <mergeCell ref="AB114:AD115"/>
    <mergeCell ref="AE114:AE115"/>
    <mergeCell ref="AG114:AH114"/>
    <mergeCell ref="AJ118:AK119"/>
    <mergeCell ref="AG119:AH119"/>
    <mergeCell ref="AI119:AI120"/>
    <mergeCell ref="W120:W121"/>
    <mergeCell ref="AG120:AH120"/>
    <mergeCell ref="AJ120:AJ121"/>
    <mergeCell ref="AK120:AK121"/>
    <mergeCell ref="X121:Y121"/>
    <mergeCell ref="Z121:AA121"/>
    <mergeCell ref="AB121:AC121"/>
    <mergeCell ref="W118:W119"/>
    <mergeCell ref="X118:Z119"/>
    <mergeCell ref="G122:G123"/>
    <mergeCell ref="H122:H123"/>
    <mergeCell ref="AD121:AE121"/>
    <mergeCell ref="AG121:AH121"/>
    <mergeCell ref="I122:I123"/>
    <mergeCell ref="J122:J123"/>
    <mergeCell ref="C122:C125"/>
    <mergeCell ref="D122:D125"/>
    <mergeCell ref="E122:E125"/>
    <mergeCell ref="F122:F123"/>
    <mergeCell ref="K122:K123"/>
    <mergeCell ref="L122:L123"/>
    <mergeCell ref="F128:K128"/>
    <mergeCell ref="L128:M128"/>
    <mergeCell ref="E118:E121"/>
    <mergeCell ref="F118:F119"/>
    <mergeCell ref="K118:K119"/>
    <mergeCell ref="L118:L119"/>
    <mergeCell ref="AD125:AE125"/>
    <mergeCell ref="AG125:AH125"/>
    <mergeCell ref="I126:I127"/>
    <mergeCell ref="J126:J127"/>
    <mergeCell ref="C126:C129"/>
    <mergeCell ref="D126:D129"/>
    <mergeCell ref="E126:E129"/>
    <mergeCell ref="F126:F127"/>
    <mergeCell ref="K126:K127"/>
    <mergeCell ref="L126:L127"/>
    <mergeCell ref="F124:K124"/>
    <mergeCell ref="L124:M124"/>
    <mergeCell ref="F125:K125"/>
    <mergeCell ref="L125:M125"/>
    <mergeCell ref="AJ122:AK123"/>
    <mergeCell ref="AG123:AH123"/>
    <mergeCell ref="AI123:AI124"/>
    <mergeCell ref="W124:W125"/>
    <mergeCell ref="AG124:AH124"/>
    <mergeCell ref="AJ124:AJ125"/>
    <mergeCell ref="AK124:AK125"/>
    <mergeCell ref="X125:Y125"/>
    <mergeCell ref="Z125:AA125"/>
    <mergeCell ref="AB125:AC125"/>
    <mergeCell ref="W122:W123"/>
    <mergeCell ref="X122:Z123"/>
    <mergeCell ref="AA122:AA123"/>
    <mergeCell ref="AB122:AD123"/>
    <mergeCell ref="AE122:AE123"/>
    <mergeCell ref="AG122:AH122"/>
    <mergeCell ref="AJ126:AK127"/>
    <mergeCell ref="AG127:AH127"/>
    <mergeCell ref="AJ128:AJ129"/>
    <mergeCell ref="AK128:AK129"/>
    <mergeCell ref="X129:Y129"/>
    <mergeCell ref="Z129:AA129"/>
    <mergeCell ref="AB129:AC129"/>
    <mergeCell ref="W126:W127"/>
    <mergeCell ref="X126:Z127"/>
    <mergeCell ref="AA126:AA127"/>
    <mergeCell ref="AB126:AD127"/>
    <mergeCell ref="AE126:AE127"/>
    <mergeCell ref="AG126:AH126"/>
    <mergeCell ref="N126:N129"/>
    <mergeCell ref="V126:V127"/>
    <mergeCell ref="N130:N133"/>
    <mergeCell ref="V130:V131"/>
    <mergeCell ref="F129:K129"/>
    <mergeCell ref="L129:M129"/>
    <mergeCell ref="G126:G127"/>
    <mergeCell ref="H126:H127"/>
    <mergeCell ref="G130:G131"/>
    <mergeCell ref="H130:H131"/>
    <mergeCell ref="AD129:AE129"/>
    <mergeCell ref="AG129:AH129"/>
    <mergeCell ref="I130:I131"/>
    <mergeCell ref="J130:J131"/>
    <mergeCell ref="AJ130:AK131"/>
    <mergeCell ref="AJ132:AJ133"/>
    <mergeCell ref="AK132:AK133"/>
    <mergeCell ref="AE130:AE131"/>
    <mergeCell ref="AG130:AH130"/>
    <mergeCell ref="F132:K132"/>
    <mergeCell ref="L132:M132"/>
    <mergeCell ref="C130:C133"/>
    <mergeCell ref="D130:D133"/>
    <mergeCell ref="E130:E133"/>
    <mergeCell ref="F130:F131"/>
    <mergeCell ref="K130:K131"/>
    <mergeCell ref="L130:L131"/>
    <mergeCell ref="F136:K136"/>
    <mergeCell ref="L136:M136"/>
    <mergeCell ref="AI127:AI128"/>
    <mergeCell ref="W128:W129"/>
    <mergeCell ref="AG128:AH128"/>
    <mergeCell ref="AD133:AE133"/>
    <mergeCell ref="AG133:AH133"/>
    <mergeCell ref="I134:I135"/>
    <mergeCell ref="J134:J135"/>
    <mergeCell ref="C134:C137"/>
    <mergeCell ref="D134:D137"/>
    <mergeCell ref="E134:E137"/>
    <mergeCell ref="F134:F135"/>
    <mergeCell ref="K134:K135"/>
    <mergeCell ref="L134:L135"/>
    <mergeCell ref="AG131:AH131"/>
    <mergeCell ref="AI131:AI132"/>
    <mergeCell ref="W132:W133"/>
    <mergeCell ref="AG132:AH132"/>
    <mergeCell ref="X133:Y133"/>
    <mergeCell ref="Z133:AA133"/>
    <mergeCell ref="AB133:AC133"/>
    <mergeCell ref="W130:W131"/>
    <mergeCell ref="X130:Z131"/>
    <mergeCell ref="AA130:AA131"/>
    <mergeCell ref="AB130:AD131"/>
    <mergeCell ref="AJ134:AK135"/>
    <mergeCell ref="AG135:AH135"/>
    <mergeCell ref="AI135:AI136"/>
    <mergeCell ref="W136:W137"/>
    <mergeCell ref="AG136:AH136"/>
    <mergeCell ref="AD141:AE141"/>
    <mergeCell ref="AG141:AH141"/>
    <mergeCell ref="F133:K133"/>
    <mergeCell ref="L133:M133"/>
    <mergeCell ref="AJ136:AJ137"/>
    <mergeCell ref="AK136:AK137"/>
    <mergeCell ref="X137:Y137"/>
    <mergeCell ref="Z137:AA137"/>
    <mergeCell ref="AB137:AC137"/>
    <mergeCell ref="W134:W135"/>
    <mergeCell ref="X134:Z135"/>
    <mergeCell ref="AA134:AA135"/>
    <mergeCell ref="AB134:AD135"/>
    <mergeCell ref="AE134:AE135"/>
    <mergeCell ref="AG134:AH134"/>
    <mergeCell ref="N134:N137"/>
    <mergeCell ref="V134:V135"/>
    <mergeCell ref="F137:K137"/>
    <mergeCell ref="L137:M137"/>
    <mergeCell ref="G134:G135"/>
    <mergeCell ref="H134:H135"/>
    <mergeCell ref="V138:V139"/>
    <mergeCell ref="F140:K140"/>
    <mergeCell ref="L140:M140"/>
    <mergeCell ref="F141:K141"/>
    <mergeCell ref="L141:M141"/>
    <mergeCell ref="AJ144:AJ145"/>
    <mergeCell ref="G138:G139"/>
    <mergeCell ref="H138:H139"/>
    <mergeCell ref="AD137:AE137"/>
    <mergeCell ref="AG137:AH137"/>
    <mergeCell ref="I138:I139"/>
    <mergeCell ref="J138:J139"/>
    <mergeCell ref="C138:C141"/>
    <mergeCell ref="D138:D141"/>
    <mergeCell ref="E138:E141"/>
    <mergeCell ref="F138:F139"/>
    <mergeCell ref="K138:K139"/>
    <mergeCell ref="L138:L139"/>
    <mergeCell ref="F144:K144"/>
    <mergeCell ref="L144:M144"/>
    <mergeCell ref="F145:K145"/>
    <mergeCell ref="L145:M145"/>
    <mergeCell ref="G142:G143"/>
    <mergeCell ref="H142:H143"/>
    <mergeCell ref="I142:I143"/>
    <mergeCell ref="J142:J143"/>
    <mergeCell ref="C142:C145"/>
    <mergeCell ref="D142:D145"/>
    <mergeCell ref="E142:E145"/>
    <mergeCell ref="F142:F143"/>
    <mergeCell ref="K142:K143"/>
    <mergeCell ref="L142:L143"/>
    <mergeCell ref="AJ138:AK139"/>
    <mergeCell ref="AG139:AH139"/>
    <mergeCell ref="AI139:AI140"/>
    <mergeCell ref="W140:W141"/>
    <mergeCell ref="AG140:AH140"/>
    <mergeCell ref="AJ140:AJ141"/>
    <mergeCell ref="AK140:AK141"/>
    <mergeCell ref="X141:Y141"/>
    <mergeCell ref="Z141:AA141"/>
    <mergeCell ref="AB141:AC141"/>
    <mergeCell ref="W138:W139"/>
    <mergeCell ref="X138:Z139"/>
    <mergeCell ref="AA138:AA139"/>
    <mergeCell ref="AB138:AD139"/>
    <mergeCell ref="AE138:AE139"/>
    <mergeCell ref="AG138:AH138"/>
    <mergeCell ref="AJ142:AK143"/>
    <mergeCell ref="N138:N141"/>
    <mergeCell ref="AG143:AH143"/>
    <mergeCell ref="AI143:AI144"/>
    <mergeCell ref="W144:W145"/>
    <mergeCell ref="AG144:AH144"/>
    <mergeCell ref="AD149:AE149"/>
    <mergeCell ref="AG149:AH149"/>
    <mergeCell ref="AK144:AK145"/>
    <mergeCell ref="X145:Y145"/>
    <mergeCell ref="Z145:AA145"/>
    <mergeCell ref="AB145:AC145"/>
    <mergeCell ref="W142:W143"/>
    <mergeCell ref="X142:Z143"/>
    <mergeCell ref="AA142:AA143"/>
    <mergeCell ref="AB142:AD143"/>
    <mergeCell ref="AE142:AE143"/>
    <mergeCell ref="AG142:AH142"/>
    <mergeCell ref="N142:N145"/>
    <mergeCell ref="V142:V143"/>
    <mergeCell ref="V146:V147"/>
    <mergeCell ref="F148:K148"/>
    <mergeCell ref="L148:M148"/>
    <mergeCell ref="F149:K149"/>
    <mergeCell ref="L149:M149"/>
    <mergeCell ref="AJ152:AJ153"/>
    <mergeCell ref="G146:G147"/>
    <mergeCell ref="H146:H147"/>
    <mergeCell ref="AD145:AE145"/>
    <mergeCell ref="AG145:AH145"/>
    <mergeCell ref="I146:I147"/>
    <mergeCell ref="J146:J147"/>
    <mergeCell ref="C146:C149"/>
    <mergeCell ref="D146:D149"/>
    <mergeCell ref="E146:E149"/>
    <mergeCell ref="F146:F147"/>
    <mergeCell ref="K146:K147"/>
    <mergeCell ref="L146:L147"/>
    <mergeCell ref="F152:K152"/>
    <mergeCell ref="L152:M152"/>
    <mergeCell ref="F153:K153"/>
    <mergeCell ref="L153:M153"/>
    <mergeCell ref="G150:G151"/>
    <mergeCell ref="H150:H151"/>
    <mergeCell ref="I150:I151"/>
    <mergeCell ref="J150:J151"/>
    <mergeCell ref="C150:C153"/>
    <mergeCell ref="D150:D153"/>
    <mergeCell ref="E150:E153"/>
    <mergeCell ref="F150:F151"/>
    <mergeCell ref="K150:K151"/>
    <mergeCell ref="L150:L151"/>
    <mergeCell ref="AJ146:AK147"/>
    <mergeCell ref="AG147:AH147"/>
    <mergeCell ref="AI147:AI148"/>
    <mergeCell ref="W148:W149"/>
    <mergeCell ref="AG148:AH148"/>
    <mergeCell ref="AJ148:AJ149"/>
    <mergeCell ref="AK148:AK149"/>
    <mergeCell ref="X149:Y149"/>
    <mergeCell ref="Z149:AA149"/>
    <mergeCell ref="AB149:AC149"/>
    <mergeCell ref="W146:W147"/>
    <mergeCell ref="X146:Z147"/>
    <mergeCell ref="AA146:AA147"/>
    <mergeCell ref="AB146:AD147"/>
    <mergeCell ref="AE146:AE147"/>
    <mergeCell ref="AG146:AH146"/>
    <mergeCell ref="AJ150:AK151"/>
    <mergeCell ref="N146:N149"/>
    <mergeCell ref="AG151:AH151"/>
    <mergeCell ref="AI151:AI152"/>
    <mergeCell ref="W152:W153"/>
    <mergeCell ref="AG152:AH152"/>
    <mergeCell ref="AD157:AE157"/>
    <mergeCell ref="AG157:AH157"/>
    <mergeCell ref="AK152:AK153"/>
    <mergeCell ref="X153:Y153"/>
    <mergeCell ref="Z153:AA153"/>
    <mergeCell ref="AB153:AC153"/>
    <mergeCell ref="W150:W151"/>
    <mergeCell ref="X150:Z151"/>
    <mergeCell ref="AA150:AA151"/>
    <mergeCell ref="AB150:AD151"/>
    <mergeCell ref="AE150:AE151"/>
    <mergeCell ref="AG150:AH150"/>
    <mergeCell ref="N150:N153"/>
    <mergeCell ref="V150:V151"/>
    <mergeCell ref="V154:V155"/>
    <mergeCell ref="F156:K156"/>
    <mergeCell ref="L156:M156"/>
    <mergeCell ref="F157:K157"/>
    <mergeCell ref="L157:M157"/>
    <mergeCell ref="AJ160:AJ161"/>
    <mergeCell ref="G154:G155"/>
    <mergeCell ref="H154:H155"/>
    <mergeCell ref="AD153:AE153"/>
    <mergeCell ref="AG153:AH153"/>
    <mergeCell ref="I154:I155"/>
    <mergeCell ref="J154:J155"/>
    <mergeCell ref="C154:C157"/>
    <mergeCell ref="D154:D157"/>
    <mergeCell ref="E154:E157"/>
    <mergeCell ref="F154:F155"/>
    <mergeCell ref="K154:K155"/>
    <mergeCell ref="L154:L155"/>
    <mergeCell ref="F160:K160"/>
    <mergeCell ref="L160:M160"/>
    <mergeCell ref="F161:K161"/>
    <mergeCell ref="L161:M161"/>
    <mergeCell ref="G158:G159"/>
    <mergeCell ref="H158:H159"/>
    <mergeCell ref="I158:I159"/>
    <mergeCell ref="J158:J159"/>
    <mergeCell ref="C158:C161"/>
    <mergeCell ref="D158:D161"/>
    <mergeCell ref="E158:E161"/>
    <mergeCell ref="F158:F159"/>
    <mergeCell ref="K158:K159"/>
    <mergeCell ref="L158:L159"/>
    <mergeCell ref="AJ154:AK155"/>
    <mergeCell ref="AG155:AH155"/>
    <mergeCell ref="AI155:AI156"/>
    <mergeCell ref="W156:W157"/>
    <mergeCell ref="AG156:AH156"/>
    <mergeCell ref="AJ156:AJ157"/>
    <mergeCell ref="AK156:AK157"/>
    <mergeCell ref="X157:Y157"/>
    <mergeCell ref="Z157:AA157"/>
    <mergeCell ref="AB157:AC157"/>
    <mergeCell ref="W154:W155"/>
    <mergeCell ref="X154:Z155"/>
    <mergeCell ref="AA154:AA155"/>
    <mergeCell ref="AB154:AD155"/>
    <mergeCell ref="AE154:AE155"/>
    <mergeCell ref="AG154:AH154"/>
    <mergeCell ref="AJ158:AK159"/>
    <mergeCell ref="N154:N157"/>
    <mergeCell ref="AG159:AH159"/>
    <mergeCell ref="AI159:AI160"/>
    <mergeCell ref="W160:W161"/>
    <mergeCell ref="AG160:AH160"/>
    <mergeCell ref="AD165:AE165"/>
    <mergeCell ref="AG165:AH165"/>
    <mergeCell ref="AK160:AK161"/>
    <mergeCell ref="X161:Y161"/>
    <mergeCell ref="Z161:AA161"/>
    <mergeCell ref="AB161:AC161"/>
    <mergeCell ref="W158:W159"/>
    <mergeCell ref="X158:Z159"/>
    <mergeCell ref="AA158:AA159"/>
    <mergeCell ref="AB158:AD159"/>
    <mergeCell ref="AE158:AE159"/>
    <mergeCell ref="AG158:AH158"/>
    <mergeCell ref="N158:N161"/>
    <mergeCell ref="V158:V159"/>
    <mergeCell ref="V162:V163"/>
    <mergeCell ref="F164:K164"/>
    <mergeCell ref="L164:M164"/>
    <mergeCell ref="F165:K165"/>
    <mergeCell ref="L165:M165"/>
    <mergeCell ref="AJ168:AJ169"/>
    <mergeCell ref="G162:G163"/>
    <mergeCell ref="H162:H163"/>
    <mergeCell ref="AD161:AE161"/>
    <mergeCell ref="AG161:AH161"/>
    <mergeCell ref="I162:I163"/>
    <mergeCell ref="J162:J163"/>
    <mergeCell ref="C162:C165"/>
    <mergeCell ref="D162:D165"/>
    <mergeCell ref="E162:E165"/>
    <mergeCell ref="F162:F163"/>
    <mergeCell ref="K162:K163"/>
    <mergeCell ref="L162:L163"/>
    <mergeCell ref="F168:K168"/>
    <mergeCell ref="L168:M168"/>
    <mergeCell ref="F169:K169"/>
    <mergeCell ref="L169:M169"/>
    <mergeCell ref="G166:G167"/>
    <mergeCell ref="H166:H167"/>
    <mergeCell ref="I166:I167"/>
    <mergeCell ref="J166:J167"/>
    <mergeCell ref="C166:C169"/>
    <mergeCell ref="D166:D169"/>
    <mergeCell ref="E166:E169"/>
    <mergeCell ref="F166:F167"/>
    <mergeCell ref="K166:K167"/>
    <mergeCell ref="L166:L167"/>
    <mergeCell ref="AJ162:AK163"/>
    <mergeCell ref="AG163:AH163"/>
    <mergeCell ref="AI163:AI164"/>
    <mergeCell ref="W164:W165"/>
    <mergeCell ref="AG164:AH164"/>
    <mergeCell ref="AJ164:AJ165"/>
    <mergeCell ref="AK164:AK165"/>
    <mergeCell ref="X165:Y165"/>
    <mergeCell ref="Z165:AA165"/>
    <mergeCell ref="AB165:AC165"/>
    <mergeCell ref="W162:W163"/>
    <mergeCell ref="X162:Z163"/>
    <mergeCell ref="AA162:AA163"/>
    <mergeCell ref="AB162:AD163"/>
    <mergeCell ref="AE162:AE163"/>
    <mergeCell ref="AG162:AH162"/>
    <mergeCell ref="AJ166:AK167"/>
    <mergeCell ref="N162:N165"/>
    <mergeCell ref="AG167:AH167"/>
    <mergeCell ref="AI167:AI168"/>
    <mergeCell ref="W168:W169"/>
    <mergeCell ref="AG168:AH168"/>
    <mergeCell ref="AD173:AE173"/>
    <mergeCell ref="AG173:AH173"/>
    <mergeCell ref="AK168:AK169"/>
    <mergeCell ref="X169:Y169"/>
    <mergeCell ref="Z169:AA169"/>
    <mergeCell ref="AB169:AC169"/>
    <mergeCell ref="W166:W167"/>
    <mergeCell ref="X166:Z167"/>
    <mergeCell ref="AA166:AA167"/>
    <mergeCell ref="AB166:AD167"/>
    <mergeCell ref="AE166:AE167"/>
    <mergeCell ref="AG166:AH166"/>
    <mergeCell ref="N166:N169"/>
    <mergeCell ref="V166:V167"/>
    <mergeCell ref="V170:V171"/>
    <mergeCell ref="F172:K172"/>
    <mergeCell ref="L172:M172"/>
    <mergeCell ref="F173:K173"/>
    <mergeCell ref="L173:M173"/>
    <mergeCell ref="AJ176:AJ177"/>
    <mergeCell ref="G170:G171"/>
    <mergeCell ref="H170:H171"/>
    <mergeCell ref="AD169:AE169"/>
    <mergeCell ref="AG169:AH169"/>
    <mergeCell ref="I170:I171"/>
    <mergeCell ref="J170:J171"/>
    <mergeCell ref="C170:C173"/>
    <mergeCell ref="D170:D173"/>
    <mergeCell ref="E170:E173"/>
    <mergeCell ref="F170:F171"/>
    <mergeCell ref="K170:K171"/>
    <mergeCell ref="L170:L171"/>
    <mergeCell ref="F176:K176"/>
    <mergeCell ref="L176:M176"/>
    <mergeCell ref="F177:K177"/>
    <mergeCell ref="L177:M177"/>
    <mergeCell ref="G174:G175"/>
    <mergeCell ref="H174:H175"/>
    <mergeCell ref="I174:I175"/>
    <mergeCell ref="J174:J175"/>
    <mergeCell ref="C174:C177"/>
    <mergeCell ref="D174:D177"/>
    <mergeCell ref="E174:E177"/>
    <mergeCell ref="F174:F175"/>
    <mergeCell ref="K174:K175"/>
    <mergeCell ref="L174:L175"/>
    <mergeCell ref="AJ170:AK171"/>
    <mergeCell ref="AG171:AH171"/>
    <mergeCell ref="AI171:AI172"/>
    <mergeCell ref="W172:W173"/>
    <mergeCell ref="AG172:AH172"/>
    <mergeCell ref="AJ172:AJ173"/>
    <mergeCell ref="AK172:AK173"/>
    <mergeCell ref="X173:Y173"/>
    <mergeCell ref="Z173:AA173"/>
    <mergeCell ref="AB173:AC173"/>
    <mergeCell ref="W170:W171"/>
    <mergeCell ref="X170:Z171"/>
    <mergeCell ref="AA170:AA171"/>
    <mergeCell ref="AB170:AD171"/>
    <mergeCell ref="AE170:AE171"/>
    <mergeCell ref="AG170:AH170"/>
    <mergeCell ref="AJ174:AK175"/>
    <mergeCell ref="N170:N173"/>
    <mergeCell ref="AG175:AH175"/>
    <mergeCell ref="AI175:AI176"/>
    <mergeCell ref="W176:W177"/>
    <mergeCell ref="AG176:AH176"/>
    <mergeCell ref="AD181:AE181"/>
    <mergeCell ref="AG181:AH181"/>
    <mergeCell ref="AK176:AK177"/>
    <mergeCell ref="X177:Y177"/>
    <mergeCell ref="Z177:AA177"/>
    <mergeCell ref="AB177:AC177"/>
    <mergeCell ref="W174:W175"/>
    <mergeCell ref="X174:Z175"/>
    <mergeCell ref="AA174:AA175"/>
    <mergeCell ref="AB174:AD175"/>
    <mergeCell ref="AE174:AE175"/>
    <mergeCell ref="AG174:AH174"/>
    <mergeCell ref="N174:N177"/>
    <mergeCell ref="V174:V175"/>
    <mergeCell ref="V178:V179"/>
    <mergeCell ref="F180:K180"/>
    <mergeCell ref="L180:M180"/>
    <mergeCell ref="F181:K181"/>
    <mergeCell ref="L181:M181"/>
    <mergeCell ref="AJ184:AJ185"/>
    <mergeCell ref="G178:G179"/>
    <mergeCell ref="H178:H179"/>
    <mergeCell ref="AD177:AE177"/>
    <mergeCell ref="AG177:AH177"/>
    <mergeCell ref="I178:I179"/>
    <mergeCell ref="J178:J179"/>
    <mergeCell ref="C178:C181"/>
    <mergeCell ref="D178:D181"/>
    <mergeCell ref="E178:E181"/>
    <mergeCell ref="F178:F179"/>
    <mergeCell ref="K178:K179"/>
    <mergeCell ref="L178:L179"/>
    <mergeCell ref="F184:K184"/>
    <mergeCell ref="L184:M184"/>
    <mergeCell ref="F185:K185"/>
    <mergeCell ref="L185:M185"/>
    <mergeCell ref="G182:G183"/>
    <mergeCell ref="H182:H183"/>
    <mergeCell ref="I182:I183"/>
    <mergeCell ref="J182:J183"/>
    <mergeCell ref="C182:C185"/>
    <mergeCell ref="D182:D185"/>
    <mergeCell ref="E182:E185"/>
    <mergeCell ref="F182:F183"/>
    <mergeCell ref="K182:K183"/>
    <mergeCell ref="L182:L183"/>
    <mergeCell ref="AJ178:AK179"/>
    <mergeCell ref="AG179:AH179"/>
    <mergeCell ref="AI179:AI180"/>
    <mergeCell ref="W180:W181"/>
    <mergeCell ref="AG180:AH180"/>
    <mergeCell ref="AJ180:AJ181"/>
    <mergeCell ref="AK180:AK181"/>
    <mergeCell ref="X181:Y181"/>
    <mergeCell ref="Z181:AA181"/>
    <mergeCell ref="AB181:AC181"/>
    <mergeCell ref="W178:W179"/>
    <mergeCell ref="X178:Z179"/>
    <mergeCell ref="AA178:AA179"/>
    <mergeCell ref="AB178:AD179"/>
    <mergeCell ref="AE178:AE179"/>
    <mergeCell ref="AG178:AH178"/>
    <mergeCell ref="AJ182:AK183"/>
    <mergeCell ref="N178:N181"/>
    <mergeCell ref="AG183:AH183"/>
    <mergeCell ref="AI183:AI184"/>
    <mergeCell ref="W184:W185"/>
    <mergeCell ref="AG184:AH184"/>
    <mergeCell ref="AD189:AE189"/>
    <mergeCell ref="AG189:AH189"/>
    <mergeCell ref="AK184:AK185"/>
    <mergeCell ref="X185:Y185"/>
    <mergeCell ref="Z185:AA185"/>
    <mergeCell ref="AB185:AC185"/>
    <mergeCell ref="W182:W183"/>
    <mergeCell ref="X182:Z183"/>
    <mergeCell ref="AA182:AA183"/>
    <mergeCell ref="AB182:AD183"/>
    <mergeCell ref="AE182:AE183"/>
    <mergeCell ref="AG182:AH182"/>
    <mergeCell ref="N182:N185"/>
    <mergeCell ref="V182:V183"/>
    <mergeCell ref="V186:V187"/>
    <mergeCell ref="F188:K188"/>
    <mergeCell ref="L188:M188"/>
    <mergeCell ref="F189:K189"/>
    <mergeCell ref="L189:M189"/>
    <mergeCell ref="AJ192:AJ193"/>
    <mergeCell ref="G186:G187"/>
    <mergeCell ref="H186:H187"/>
    <mergeCell ref="AD185:AE185"/>
    <mergeCell ref="AG185:AH185"/>
    <mergeCell ref="I186:I187"/>
    <mergeCell ref="J186:J187"/>
    <mergeCell ref="C186:C189"/>
    <mergeCell ref="D186:D189"/>
    <mergeCell ref="E186:E189"/>
    <mergeCell ref="F186:F187"/>
    <mergeCell ref="K186:K187"/>
    <mergeCell ref="L186:L187"/>
    <mergeCell ref="F192:K192"/>
    <mergeCell ref="L192:M192"/>
    <mergeCell ref="F193:K193"/>
    <mergeCell ref="L193:M193"/>
    <mergeCell ref="G190:G191"/>
    <mergeCell ref="H190:H191"/>
    <mergeCell ref="I190:I191"/>
    <mergeCell ref="J190:J191"/>
    <mergeCell ref="C190:C193"/>
    <mergeCell ref="D190:D193"/>
    <mergeCell ref="E190:E193"/>
    <mergeCell ref="F190:F191"/>
    <mergeCell ref="K190:K191"/>
    <mergeCell ref="L190:L191"/>
    <mergeCell ref="AJ186:AK187"/>
    <mergeCell ref="AG187:AH187"/>
    <mergeCell ref="AI187:AI188"/>
    <mergeCell ref="W188:W189"/>
    <mergeCell ref="AG188:AH188"/>
    <mergeCell ref="AJ188:AJ189"/>
    <mergeCell ref="AK188:AK189"/>
    <mergeCell ref="X189:Y189"/>
    <mergeCell ref="Z189:AA189"/>
    <mergeCell ref="AB189:AC189"/>
    <mergeCell ref="W186:W187"/>
    <mergeCell ref="X186:Z187"/>
    <mergeCell ref="AA186:AA187"/>
    <mergeCell ref="AB186:AD187"/>
    <mergeCell ref="AE186:AE187"/>
    <mergeCell ref="AG186:AH186"/>
    <mergeCell ref="AJ190:AK191"/>
    <mergeCell ref="N186:N189"/>
    <mergeCell ref="AG191:AH191"/>
    <mergeCell ref="AI191:AI192"/>
    <mergeCell ref="W192:W193"/>
    <mergeCell ref="AG192:AH192"/>
    <mergeCell ref="AD197:AE197"/>
    <mergeCell ref="AG197:AH197"/>
    <mergeCell ref="AK192:AK193"/>
    <mergeCell ref="X193:Y193"/>
    <mergeCell ref="Z193:AA193"/>
    <mergeCell ref="AB193:AC193"/>
    <mergeCell ref="W190:W191"/>
    <mergeCell ref="X190:Z191"/>
    <mergeCell ref="AA190:AA191"/>
    <mergeCell ref="AB190:AD191"/>
    <mergeCell ref="AE190:AE191"/>
    <mergeCell ref="AG190:AH190"/>
    <mergeCell ref="N190:N193"/>
    <mergeCell ref="V190:V191"/>
    <mergeCell ref="V194:V195"/>
    <mergeCell ref="F196:K196"/>
    <mergeCell ref="L196:M196"/>
    <mergeCell ref="F197:K197"/>
    <mergeCell ref="L197:M197"/>
    <mergeCell ref="AJ200:AJ201"/>
    <mergeCell ref="G194:G195"/>
    <mergeCell ref="H194:H195"/>
    <mergeCell ref="AD193:AE193"/>
    <mergeCell ref="AG193:AH193"/>
    <mergeCell ref="I194:I195"/>
    <mergeCell ref="J194:J195"/>
    <mergeCell ref="C194:C197"/>
    <mergeCell ref="D194:D197"/>
    <mergeCell ref="E194:E197"/>
    <mergeCell ref="F194:F195"/>
    <mergeCell ref="K194:K195"/>
    <mergeCell ref="L194:L195"/>
    <mergeCell ref="F200:K200"/>
    <mergeCell ref="L200:M200"/>
    <mergeCell ref="F201:K201"/>
    <mergeCell ref="L201:M201"/>
    <mergeCell ref="G198:G199"/>
    <mergeCell ref="H198:H199"/>
    <mergeCell ref="I198:I199"/>
    <mergeCell ref="J198:J199"/>
    <mergeCell ref="C198:C201"/>
    <mergeCell ref="D198:D201"/>
    <mergeCell ref="E198:E201"/>
    <mergeCell ref="F198:F199"/>
    <mergeCell ref="K198:K199"/>
    <mergeCell ref="L198:L199"/>
    <mergeCell ref="AJ194:AK195"/>
    <mergeCell ref="AG195:AH195"/>
    <mergeCell ref="AI195:AI196"/>
    <mergeCell ref="W196:W197"/>
    <mergeCell ref="AG196:AH196"/>
    <mergeCell ref="AJ196:AJ197"/>
    <mergeCell ref="AK196:AK197"/>
    <mergeCell ref="X197:Y197"/>
    <mergeCell ref="Z197:AA197"/>
    <mergeCell ref="AB197:AC197"/>
    <mergeCell ref="W194:W195"/>
    <mergeCell ref="X194:Z195"/>
    <mergeCell ref="AA194:AA195"/>
    <mergeCell ref="AB194:AD195"/>
    <mergeCell ref="AE194:AE195"/>
    <mergeCell ref="AG194:AH194"/>
    <mergeCell ref="AJ198:AK199"/>
    <mergeCell ref="N194:N197"/>
    <mergeCell ref="AG199:AH199"/>
    <mergeCell ref="AI199:AI200"/>
    <mergeCell ref="W200:W201"/>
    <mergeCell ref="AG200:AH200"/>
    <mergeCell ref="AD205:AE205"/>
    <mergeCell ref="AG205:AH205"/>
    <mergeCell ref="AK200:AK201"/>
    <mergeCell ref="X201:Y201"/>
    <mergeCell ref="Z201:AA201"/>
    <mergeCell ref="AB201:AC201"/>
    <mergeCell ref="W198:W199"/>
    <mergeCell ref="X198:Z199"/>
    <mergeCell ref="AA198:AA199"/>
    <mergeCell ref="AB198:AD199"/>
    <mergeCell ref="AE198:AE199"/>
    <mergeCell ref="AG198:AH198"/>
    <mergeCell ref="N198:N201"/>
    <mergeCell ref="V198:V199"/>
    <mergeCell ref="V202:V203"/>
    <mergeCell ref="F204:K204"/>
    <mergeCell ref="L204:M204"/>
    <mergeCell ref="F205:K205"/>
    <mergeCell ref="L205:M205"/>
    <mergeCell ref="AJ208:AJ209"/>
    <mergeCell ref="G202:G203"/>
    <mergeCell ref="H202:H203"/>
    <mergeCell ref="AD201:AE201"/>
    <mergeCell ref="AG201:AH201"/>
    <mergeCell ref="I202:I203"/>
    <mergeCell ref="J202:J203"/>
    <mergeCell ref="C202:C205"/>
    <mergeCell ref="D202:D205"/>
    <mergeCell ref="E202:E205"/>
    <mergeCell ref="F202:F203"/>
    <mergeCell ref="K202:K203"/>
    <mergeCell ref="L202:L203"/>
    <mergeCell ref="F208:K208"/>
    <mergeCell ref="L208:M208"/>
    <mergeCell ref="F209:K209"/>
    <mergeCell ref="L209:M209"/>
    <mergeCell ref="G206:G207"/>
    <mergeCell ref="H206:H207"/>
    <mergeCell ref="I206:I207"/>
    <mergeCell ref="J206:J207"/>
    <mergeCell ref="C206:C209"/>
    <mergeCell ref="D206:D209"/>
    <mergeCell ref="E206:E209"/>
    <mergeCell ref="F206:F207"/>
    <mergeCell ref="K206:K207"/>
    <mergeCell ref="L206:L207"/>
    <mergeCell ref="AJ202:AK203"/>
    <mergeCell ref="AG203:AH203"/>
    <mergeCell ref="AI203:AI204"/>
    <mergeCell ref="W204:W205"/>
    <mergeCell ref="AG204:AH204"/>
    <mergeCell ref="AJ204:AJ205"/>
    <mergeCell ref="AK204:AK205"/>
    <mergeCell ref="X205:Y205"/>
    <mergeCell ref="Z205:AA205"/>
    <mergeCell ref="AB205:AC205"/>
    <mergeCell ref="W202:W203"/>
    <mergeCell ref="X202:Z203"/>
    <mergeCell ref="AA202:AA203"/>
    <mergeCell ref="AB202:AD203"/>
    <mergeCell ref="AE202:AE203"/>
    <mergeCell ref="AG202:AH202"/>
    <mergeCell ref="AJ206:AK207"/>
    <mergeCell ref="N202:N205"/>
    <mergeCell ref="AG207:AH207"/>
    <mergeCell ref="AI207:AI208"/>
    <mergeCell ref="W208:W209"/>
    <mergeCell ref="AG208:AH208"/>
    <mergeCell ref="AD213:AE213"/>
    <mergeCell ref="AG213:AH213"/>
    <mergeCell ref="AK208:AK209"/>
    <mergeCell ref="X209:Y209"/>
    <mergeCell ref="Z209:AA209"/>
    <mergeCell ref="AB209:AC209"/>
    <mergeCell ref="W206:W207"/>
    <mergeCell ref="X206:Z207"/>
    <mergeCell ref="AA206:AA207"/>
    <mergeCell ref="AB206:AD207"/>
    <mergeCell ref="AE206:AE207"/>
    <mergeCell ref="AG206:AH206"/>
    <mergeCell ref="N206:N209"/>
    <mergeCell ref="V206:V207"/>
    <mergeCell ref="V210:V211"/>
    <mergeCell ref="F212:K212"/>
    <mergeCell ref="L212:M212"/>
    <mergeCell ref="F213:K213"/>
    <mergeCell ref="L213:M213"/>
    <mergeCell ref="AJ216:AJ217"/>
    <mergeCell ref="G210:G211"/>
    <mergeCell ref="H210:H211"/>
    <mergeCell ref="AD209:AE209"/>
    <mergeCell ref="AG209:AH209"/>
    <mergeCell ref="I210:I211"/>
    <mergeCell ref="J210:J211"/>
    <mergeCell ref="C210:C213"/>
    <mergeCell ref="D210:D213"/>
    <mergeCell ref="E210:E213"/>
    <mergeCell ref="F210:F211"/>
    <mergeCell ref="K210:K211"/>
    <mergeCell ref="L210:L211"/>
    <mergeCell ref="F216:K216"/>
    <mergeCell ref="L216:M216"/>
    <mergeCell ref="F217:K217"/>
    <mergeCell ref="L217:M217"/>
    <mergeCell ref="G214:G215"/>
    <mergeCell ref="H214:H215"/>
    <mergeCell ref="I214:I215"/>
    <mergeCell ref="J214:J215"/>
    <mergeCell ref="C214:C217"/>
    <mergeCell ref="D214:D217"/>
    <mergeCell ref="E214:E217"/>
    <mergeCell ref="F214:F215"/>
    <mergeCell ref="K214:K215"/>
    <mergeCell ref="L214:L215"/>
    <mergeCell ref="AJ210:AK211"/>
    <mergeCell ref="AG211:AH211"/>
    <mergeCell ref="AI211:AI212"/>
    <mergeCell ref="W212:W213"/>
    <mergeCell ref="AG212:AH212"/>
    <mergeCell ref="AJ212:AJ213"/>
    <mergeCell ref="AK212:AK213"/>
    <mergeCell ref="X213:Y213"/>
    <mergeCell ref="Z213:AA213"/>
    <mergeCell ref="AB213:AC213"/>
    <mergeCell ref="W210:W211"/>
    <mergeCell ref="X210:Z211"/>
    <mergeCell ref="AA210:AA211"/>
    <mergeCell ref="AB210:AD211"/>
    <mergeCell ref="AE210:AE211"/>
    <mergeCell ref="AG210:AH210"/>
    <mergeCell ref="AJ214:AK215"/>
    <mergeCell ref="N210:N213"/>
    <mergeCell ref="AG215:AH215"/>
    <mergeCell ref="AI215:AI216"/>
    <mergeCell ref="W216:W217"/>
    <mergeCell ref="AG216:AH216"/>
    <mergeCell ref="AD221:AE221"/>
    <mergeCell ref="AG221:AH221"/>
    <mergeCell ref="AK216:AK217"/>
    <mergeCell ref="X217:Y217"/>
    <mergeCell ref="Z217:AA217"/>
    <mergeCell ref="AB217:AC217"/>
    <mergeCell ref="W214:W215"/>
    <mergeCell ref="X214:Z215"/>
    <mergeCell ref="AA214:AA215"/>
    <mergeCell ref="AB214:AD215"/>
    <mergeCell ref="AE214:AE215"/>
    <mergeCell ref="AG214:AH214"/>
    <mergeCell ref="N214:N217"/>
    <mergeCell ref="V214:V215"/>
    <mergeCell ref="V218:V219"/>
    <mergeCell ref="F220:K220"/>
    <mergeCell ref="L220:M220"/>
    <mergeCell ref="F221:K221"/>
    <mergeCell ref="L221:M221"/>
    <mergeCell ref="AJ224:AJ225"/>
    <mergeCell ref="G218:G219"/>
    <mergeCell ref="H218:H219"/>
    <mergeCell ref="AD217:AE217"/>
    <mergeCell ref="AG217:AH217"/>
    <mergeCell ref="I218:I219"/>
    <mergeCell ref="J218:J219"/>
    <mergeCell ref="C218:C221"/>
    <mergeCell ref="D218:D221"/>
    <mergeCell ref="E218:E221"/>
    <mergeCell ref="F218:F219"/>
    <mergeCell ref="K218:K219"/>
    <mergeCell ref="L218:L219"/>
    <mergeCell ref="F224:K224"/>
    <mergeCell ref="L224:M224"/>
    <mergeCell ref="F225:K225"/>
    <mergeCell ref="L225:M225"/>
    <mergeCell ref="G222:G223"/>
    <mergeCell ref="H222:H223"/>
    <mergeCell ref="I222:I223"/>
    <mergeCell ref="J222:J223"/>
    <mergeCell ref="C222:C225"/>
    <mergeCell ref="D222:D225"/>
    <mergeCell ref="E222:E225"/>
    <mergeCell ref="F222:F223"/>
    <mergeCell ref="K222:K223"/>
    <mergeCell ref="L222:L223"/>
    <mergeCell ref="AJ218:AK219"/>
    <mergeCell ref="AG219:AH219"/>
    <mergeCell ref="AI219:AI220"/>
    <mergeCell ref="W220:W221"/>
    <mergeCell ref="AG220:AH220"/>
    <mergeCell ref="AJ220:AJ221"/>
    <mergeCell ref="AK220:AK221"/>
    <mergeCell ref="X221:Y221"/>
    <mergeCell ref="Z221:AA221"/>
    <mergeCell ref="AB221:AC221"/>
    <mergeCell ref="W218:W219"/>
    <mergeCell ref="X218:Z219"/>
    <mergeCell ref="AA218:AA219"/>
    <mergeCell ref="AB218:AD219"/>
    <mergeCell ref="AE218:AE219"/>
    <mergeCell ref="AG218:AH218"/>
    <mergeCell ref="AJ222:AK223"/>
    <mergeCell ref="N218:N221"/>
    <mergeCell ref="AG223:AH223"/>
    <mergeCell ref="AI223:AI224"/>
    <mergeCell ref="W224:W225"/>
    <mergeCell ref="AG224:AH224"/>
    <mergeCell ref="AD229:AE229"/>
    <mergeCell ref="AG229:AH229"/>
    <mergeCell ref="AK224:AK225"/>
    <mergeCell ref="X225:Y225"/>
    <mergeCell ref="Z225:AA225"/>
    <mergeCell ref="AB225:AC225"/>
    <mergeCell ref="W222:W223"/>
    <mergeCell ref="X222:Z223"/>
    <mergeCell ref="AA222:AA223"/>
    <mergeCell ref="AB222:AD223"/>
    <mergeCell ref="AE222:AE223"/>
    <mergeCell ref="AG222:AH222"/>
    <mergeCell ref="N222:N225"/>
    <mergeCell ref="V222:V223"/>
    <mergeCell ref="V226:V227"/>
    <mergeCell ref="F228:K228"/>
    <mergeCell ref="L228:M228"/>
    <mergeCell ref="F229:K229"/>
    <mergeCell ref="L229:M229"/>
    <mergeCell ref="AJ232:AJ233"/>
    <mergeCell ref="G226:G227"/>
    <mergeCell ref="H226:H227"/>
    <mergeCell ref="AD225:AE225"/>
    <mergeCell ref="AG225:AH225"/>
    <mergeCell ref="I226:I227"/>
    <mergeCell ref="J226:J227"/>
    <mergeCell ref="C226:C229"/>
    <mergeCell ref="D226:D229"/>
    <mergeCell ref="E226:E229"/>
    <mergeCell ref="F226:F227"/>
    <mergeCell ref="K226:K227"/>
    <mergeCell ref="L226:L227"/>
    <mergeCell ref="F232:K232"/>
    <mergeCell ref="L232:M232"/>
    <mergeCell ref="F233:K233"/>
    <mergeCell ref="L233:M233"/>
    <mergeCell ref="G230:G231"/>
    <mergeCell ref="H230:H231"/>
    <mergeCell ref="I230:I231"/>
    <mergeCell ref="J230:J231"/>
    <mergeCell ref="C230:C233"/>
    <mergeCell ref="D230:D233"/>
    <mergeCell ref="E230:E233"/>
    <mergeCell ref="F230:F231"/>
    <mergeCell ref="K230:K231"/>
    <mergeCell ref="L230:L231"/>
    <mergeCell ref="AJ226:AK227"/>
    <mergeCell ref="AG227:AH227"/>
    <mergeCell ref="AI227:AI228"/>
    <mergeCell ref="W228:W229"/>
    <mergeCell ref="AG228:AH228"/>
    <mergeCell ref="AJ228:AJ229"/>
    <mergeCell ref="AK228:AK229"/>
    <mergeCell ref="X229:Y229"/>
    <mergeCell ref="Z229:AA229"/>
    <mergeCell ref="AB229:AC229"/>
    <mergeCell ref="W226:W227"/>
    <mergeCell ref="X226:Z227"/>
    <mergeCell ref="AA226:AA227"/>
    <mergeCell ref="AB226:AD227"/>
    <mergeCell ref="AE226:AE227"/>
    <mergeCell ref="AG226:AH226"/>
    <mergeCell ref="AJ230:AK231"/>
    <mergeCell ref="N226:N229"/>
    <mergeCell ref="AG231:AH231"/>
    <mergeCell ref="AI231:AI232"/>
    <mergeCell ref="W232:W233"/>
    <mergeCell ref="AG232:AH232"/>
    <mergeCell ref="AD237:AE237"/>
    <mergeCell ref="AG237:AH237"/>
    <mergeCell ref="AK232:AK233"/>
    <mergeCell ref="X233:Y233"/>
    <mergeCell ref="Z233:AA233"/>
    <mergeCell ref="AB233:AC233"/>
    <mergeCell ref="W230:W231"/>
    <mergeCell ref="X230:Z231"/>
    <mergeCell ref="AA230:AA231"/>
    <mergeCell ref="AB230:AD231"/>
    <mergeCell ref="AE230:AE231"/>
    <mergeCell ref="AG230:AH230"/>
    <mergeCell ref="N230:N233"/>
    <mergeCell ref="V230:V231"/>
    <mergeCell ref="V234:V235"/>
    <mergeCell ref="F236:K236"/>
    <mergeCell ref="L236:M236"/>
    <mergeCell ref="F237:K237"/>
    <mergeCell ref="L237:M237"/>
    <mergeCell ref="AJ240:AJ241"/>
    <mergeCell ref="G234:G235"/>
    <mergeCell ref="H234:H235"/>
    <mergeCell ref="AD233:AE233"/>
    <mergeCell ref="AG233:AH233"/>
    <mergeCell ref="I234:I235"/>
    <mergeCell ref="J234:J235"/>
    <mergeCell ref="C234:C237"/>
    <mergeCell ref="D234:D237"/>
    <mergeCell ref="E234:E237"/>
    <mergeCell ref="F234:F235"/>
    <mergeCell ref="K234:K235"/>
    <mergeCell ref="L234:L235"/>
    <mergeCell ref="F240:K240"/>
    <mergeCell ref="L240:M240"/>
    <mergeCell ref="F241:K241"/>
    <mergeCell ref="L241:M241"/>
    <mergeCell ref="G238:G239"/>
    <mergeCell ref="H238:H239"/>
    <mergeCell ref="I238:I239"/>
    <mergeCell ref="J238:J239"/>
    <mergeCell ref="C238:C241"/>
    <mergeCell ref="D238:D241"/>
    <mergeCell ref="E238:E241"/>
    <mergeCell ref="F238:F239"/>
    <mergeCell ref="K238:K239"/>
    <mergeCell ref="L238:L239"/>
    <mergeCell ref="AJ234:AK235"/>
    <mergeCell ref="AG235:AH235"/>
    <mergeCell ref="AI235:AI236"/>
    <mergeCell ref="W236:W237"/>
    <mergeCell ref="AG236:AH236"/>
    <mergeCell ref="AJ236:AJ237"/>
    <mergeCell ref="AK236:AK237"/>
    <mergeCell ref="X237:Y237"/>
    <mergeCell ref="Z237:AA237"/>
    <mergeCell ref="AB237:AC237"/>
    <mergeCell ref="W234:W235"/>
    <mergeCell ref="X234:Z235"/>
    <mergeCell ref="AA234:AA235"/>
    <mergeCell ref="AB234:AD235"/>
    <mergeCell ref="AE234:AE235"/>
    <mergeCell ref="AG234:AH234"/>
    <mergeCell ref="AJ238:AK239"/>
    <mergeCell ref="N234:N237"/>
    <mergeCell ref="AG239:AH239"/>
    <mergeCell ref="AI239:AI240"/>
    <mergeCell ref="W240:W241"/>
    <mergeCell ref="AG240:AH240"/>
    <mergeCell ref="AD245:AE245"/>
    <mergeCell ref="AG245:AH245"/>
    <mergeCell ref="AK240:AK241"/>
    <mergeCell ref="X241:Y241"/>
    <mergeCell ref="Z241:AA241"/>
    <mergeCell ref="AB241:AC241"/>
    <mergeCell ref="W238:W239"/>
    <mergeCell ref="X238:Z239"/>
    <mergeCell ref="AA238:AA239"/>
    <mergeCell ref="AB238:AD239"/>
    <mergeCell ref="AE238:AE239"/>
    <mergeCell ref="AG238:AH238"/>
    <mergeCell ref="N238:N241"/>
    <mergeCell ref="V238:V239"/>
    <mergeCell ref="V242:V243"/>
    <mergeCell ref="F244:K244"/>
    <mergeCell ref="L244:M244"/>
    <mergeCell ref="F245:K245"/>
    <mergeCell ref="L245:M245"/>
    <mergeCell ref="AJ248:AJ249"/>
    <mergeCell ref="G242:G243"/>
    <mergeCell ref="H242:H243"/>
    <mergeCell ref="AD241:AE241"/>
    <mergeCell ref="AG241:AH241"/>
    <mergeCell ref="I242:I243"/>
    <mergeCell ref="J242:J243"/>
    <mergeCell ref="C242:C245"/>
    <mergeCell ref="D242:D245"/>
    <mergeCell ref="E242:E245"/>
    <mergeCell ref="F242:F243"/>
    <mergeCell ref="K242:K243"/>
    <mergeCell ref="L242:L243"/>
    <mergeCell ref="F248:K248"/>
    <mergeCell ref="L248:M248"/>
    <mergeCell ref="F249:K249"/>
    <mergeCell ref="L249:M249"/>
    <mergeCell ref="G246:G247"/>
    <mergeCell ref="H246:H247"/>
    <mergeCell ref="I246:I247"/>
    <mergeCell ref="J246:J247"/>
    <mergeCell ref="C246:C249"/>
    <mergeCell ref="D246:D249"/>
    <mergeCell ref="E246:E249"/>
    <mergeCell ref="F246:F247"/>
    <mergeCell ref="K246:K247"/>
    <mergeCell ref="L246:L247"/>
    <mergeCell ref="AJ242:AK243"/>
    <mergeCell ref="AG243:AH243"/>
    <mergeCell ref="AI243:AI244"/>
    <mergeCell ref="W244:W245"/>
    <mergeCell ref="AG244:AH244"/>
    <mergeCell ref="AJ244:AJ245"/>
    <mergeCell ref="AK244:AK245"/>
    <mergeCell ref="X245:Y245"/>
    <mergeCell ref="Z245:AA245"/>
    <mergeCell ref="AB245:AC245"/>
    <mergeCell ref="W242:W243"/>
    <mergeCell ref="X242:Z243"/>
    <mergeCell ref="AA242:AA243"/>
    <mergeCell ref="AB242:AD243"/>
    <mergeCell ref="AE242:AE243"/>
    <mergeCell ref="AG242:AH242"/>
    <mergeCell ref="AJ246:AK247"/>
    <mergeCell ref="N242:N245"/>
    <mergeCell ref="AG247:AH247"/>
    <mergeCell ref="AI247:AI248"/>
    <mergeCell ref="W248:W249"/>
    <mergeCell ref="AG248:AH248"/>
    <mergeCell ref="AD253:AE253"/>
    <mergeCell ref="AG253:AH253"/>
    <mergeCell ref="AK248:AK249"/>
    <mergeCell ref="X249:Y249"/>
    <mergeCell ref="Z249:AA249"/>
    <mergeCell ref="AB249:AC249"/>
    <mergeCell ref="W246:W247"/>
    <mergeCell ref="X246:Z247"/>
    <mergeCell ref="AA246:AA247"/>
    <mergeCell ref="AB246:AD247"/>
    <mergeCell ref="AE246:AE247"/>
    <mergeCell ref="AG246:AH246"/>
    <mergeCell ref="N246:N249"/>
    <mergeCell ref="V246:V247"/>
    <mergeCell ref="V250:V251"/>
    <mergeCell ref="F252:K252"/>
    <mergeCell ref="L252:M252"/>
    <mergeCell ref="F253:K253"/>
    <mergeCell ref="L253:M253"/>
    <mergeCell ref="AJ256:AJ257"/>
    <mergeCell ref="G250:G251"/>
    <mergeCell ref="H250:H251"/>
    <mergeCell ref="AD249:AE249"/>
    <mergeCell ref="AG249:AH249"/>
    <mergeCell ref="I250:I251"/>
    <mergeCell ref="J250:J251"/>
    <mergeCell ref="C250:C253"/>
    <mergeCell ref="D250:D253"/>
    <mergeCell ref="E250:E253"/>
    <mergeCell ref="F250:F251"/>
    <mergeCell ref="K250:K251"/>
    <mergeCell ref="L250:L251"/>
    <mergeCell ref="F256:K256"/>
    <mergeCell ref="L256:M256"/>
    <mergeCell ref="F257:K257"/>
    <mergeCell ref="L257:M257"/>
    <mergeCell ref="G254:G255"/>
    <mergeCell ref="H254:H255"/>
    <mergeCell ref="I254:I255"/>
    <mergeCell ref="J254:J255"/>
    <mergeCell ref="C254:C257"/>
    <mergeCell ref="D254:D257"/>
    <mergeCell ref="E254:E257"/>
    <mergeCell ref="F254:F255"/>
    <mergeCell ref="K254:K255"/>
    <mergeCell ref="L254:L255"/>
    <mergeCell ref="AJ250:AK251"/>
    <mergeCell ref="AG251:AH251"/>
    <mergeCell ref="AI251:AI252"/>
    <mergeCell ref="W252:W253"/>
    <mergeCell ref="AG252:AH252"/>
    <mergeCell ref="AJ252:AJ253"/>
    <mergeCell ref="AK252:AK253"/>
    <mergeCell ref="X253:Y253"/>
    <mergeCell ref="Z253:AA253"/>
    <mergeCell ref="AB253:AC253"/>
    <mergeCell ref="W250:W251"/>
    <mergeCell ref="X250:Z251"/>
    <mergeCell ref="AA250:AA251"/>
    <mergeCell ref="AB250:AD251"/>
    <mergeCell ref="AE250:AE251"/>
    <mergeCell ref="AG250:AH250"/>
    <mergeCell ref="AJ254:AK255"/>
    <mergeCell ref="N250:N253"/>
    <mergeCell ref="AG255:AH255"/>
    <mergeCell ref="AI255:AI256"/>
    <mergeCell ref="W256:W257"/>
    <mergeCell ref="AG256:AH256"/>
    <mergeCell ref="AD261:AE261"/>
    <mergeCell ref="AG261:AH261"/>
    <mergeCell ref="AK256:AK257"/>
    <mergeCell ref="X257:Y257"/>
    <mergeCell ref="Z257:AA257"/>
    <mergeCell ref="AB257:AC257"/>
    <mergeCell ref="W254:W255"/>
    <mergeCell ref="X254:Z255"/>
    <mergeCell ref="AA254:AA255"/>
    <mergeCell ref="AB254:AD255"/>
    <mergeCell ref="AE254:AE255"/>
    <mergeCell ref="AG254:AH254"/>
    <mergeCell ref="N254:N257"/>
    <mergeCell ref="V254:V255"/>
    <mergeCell ref="N258:N261"/>
    <mergeCell ref="V258:V259"/>
    <mergeCell ref="F260:K260"/>
    <mergeCell ref="L260:M260"/>
    <mergeCell ref="F261:K261"/>
    <mergeCell ref="L261:M261"/>
    <mergeCell ref="AJ264:AJ265"/>
    <mergeCell ref="G258:G259"/>
    <mergeCell ref="H258:H259"/>
    <mergeCell ref="AD257:AE257"/>
    <mergeCell ref="AG257:AH257"/>
    <mergeCell ref="I258:I259"/>
    <mergeCell ref="J258:J259"/>
    <mergeCell ref="C258:C261"/>
    <mergeCell ref="D258:D261"/>
    <mergeCell ref="E258:E261"/>
    <mergeCell ref="F258:F259"/>
    <mergeCell ref="K258:K259"/>
    <mergeCell ref="L258:L259"/>
    <mergeCell ref="AJ258:AK259"/>
    <mergeCell ref="AG259:AH259"/>
    <mergeCell ref="AI259:AI260"/>
    <mergeCell ref="W260:W261"/>
    <mergeCell ref="AG260:AH260"/>
    <mergeCell ref="AJ260:AJ261"/>
    <mergeCell ref="AK260:AK261"/>
    <mergeCell ref="X261:Y261"/>
    <mergeCell ref="Z261:AA261"/>
    <mergeCell ref="AB261:AC261"/>
    <mergeCell ref="W258:W259"/>
    <mergeCell ref="X258:Z259"/>
    <mergeCell ref="AA258:AA259"/>
    <mergeCell ref="AB258:AD259"/>
    <mergeCell ref="AE258:AE259"/>
    <mergeCell ref="AG258:AH258"/>
    <mergeCell ref="AJ262:AK263"/>
    <mergeCell ref="AK264:AK265"/>
    <mergeCell ref="X265:Y265"/>
    <mergeCell ref="Z265:AA265"/>
    <mergeCell ref="AB265:AC265"/>
    <mergeCell ref="W262:W263"/>
    <mergeCell ref="X262:Z263"/>
    <mergeCell ref="AA262:AA263"/>
    <mergeCell ref="AB262:AD263"/>
    <mergeCell ref="AE262:AE263"/>
    <mergeCell ref="AG262:AH262"/>
    <mergeCell ref="N262:N265"/>
    <mergeCell ref="V262:V263"/>
    <mergeCell ref="F264:K264"/>
    <mergeCell ref="L264:M264"/>
    <mergeCell ref="F265:K265"/>
    <mergeCell ref="L265:M265"/>
    <mergeCell ref="G262:G263"/>
    <mergeCell ref="H262:H263"/>
    <mergeCell ref="I262:I263"/>
    <mergeCell ref="J262:J263"/>
    <mergeCell ref="F262:F263"/>
    <mergeCell ref="K262:K263"/>
    <mergeCell ref="L262:L263"/>
    <mergeCell ref="L269:M269"/>
    <mergeCell ref="AJ272:AJ273"/>
    <mergeCell ref="G266:G267"/>
    <mergeCell ref="H266:H267"/>
    <mergeCell ref="AD265:AE265"/>
    <mergeCell ref="AG265:AH265"/>
    <mergeCell ref="I266:I267"/>
    <mergeCell ref="J266:J267"/>
    <mergeCell ref="C266:C269"/>
    <mergeCell ref="D266:D269"/>
    <mergeCell ref="E266:E269"/>
    <mergeCell ref="F266:F267"/>
    <mergeCell ref="K266:K267"/>
    <mergeCell ref="L266:L267"/>
    <mergeCell ref="AG263:AH263"/>
    <mergeCell ref="AI263:AI264"/>
    <mergeCell ref="W264:W265"/>
    <mergeCell ref="AG264:AH264"/>
    <mergeCell ref="AD269:AE269"/>
    <mergeCell ref="AG269:AH269"/>
    <mergeCell ref="C262:C265"/>
    <mergeCell ref="D262:D265"/>
    <mergeCell ref="E262:E265"/>
    <mergeCell ref="G270:G271"/>
    <mergeCell ref="H270:H271"/>
    <mergeCell ref="I270:I271"/>
    <mergeCell ref="J270:J271"/>
    <mergeCell ref="C270:C273"/>
    <mergeCell ref="D270:D273"/>
    <mergeCell ref="E270:E273"/>
    <mergeCell ref="F270:F271"/>
    <mergeCell ref="K270:K271"/>
    <mergeCell ref="L270:L271"/>
    <mergeCell ref="AJ266:AK267"/>
    <mergeCell ref="AG267:AH267"/>
    <mergeCell ref="AI267:AI268"/>
    <mergeCell ref="W268:W269"/>
    <mergeCell ref="AG268:AH268"/>
    <mergeCell ref="AJ268:AJ269"/>
    <mergeCell ref="AK268:AK269"/>
    <mergeCell ref="X269:Y269"/>
    <mergeCell ref="Z269:AA269"/>
    <mergeCell ref="AB269:AC269"/>
    <mergeCell ref="W266:W267"/>
    <mergeCell ref="X266:Z267"/>
    <mergeCell ref="AA266:AA267"/>
    <mergeCell ref="AB266:AD267"/>
    <mergeCell ref="AE266:AE267"/>
    <mergeCell ref="AG266:AH266"/>
    <mergeCell ref="AJ270:AK271"/>
    <mergeCell ref="N266:N269"/>
    <mergeCell ref="V266:V267"/>
    <mergeCell ref="F268:K268"/>
    <mergeCell ref="L268:M268"/>
    <mergeCell ref="F269:K269"/>
    <mergeCell ref="AD273:AE273"/>
    <mergeCell ref="AG273:AH273"/>
    <mergeCell ref="I274:I275"/>
    <mergeCell ref="J274:J275"/>
    <mergeCell ref="C274:C277"/>
    <mergeCell ref="D274:D277"/>
    <mergeCell ref="E274:E277"/>
    <mergeCell ref="F274:F275"/>
    <mergeCell ref="K274:K275"/>
    <mergeCell ref="L274:L275"/>
    <mergeCell ref="AG271:AH271"/>
    <mergeCell ref="AI271:AI272"/>
    <mergeCell ref="W272:W273"/>
    <mergeCell ref="AG272:AH272"/>
    <mergeCell ref="AD277:AE277"/>
    <mergeCell ref="AG277:AH277"/>
    <mergeCell ref="AK272:AK273"/>
    <mergeCell ref="X273:Y273"/>
    <mergeCell ref="Z273:AA273"/>
    <mergeCell ref="AB273:AC273"/>
    <mergeCell ref="W270:W271"/>
    <mergeCell ref="X270:Z271"/>
    <mergeCell ref="AA270:AA271"/>
    <mergeCell ref="AB270:AD271"/>
    <mergeCell ref="AE270:AE271"/>
    <mergeCell ref="AG270:AH270"/>
    <mergeCell ref="N270:N273"/>
    <mergeCell ref="V270:V271"/>
    <mergeCell ref="F272:K272"/>
    <mergeCell ref="L272:M272"/>
    <mergeCell ref="F273:K273"/>
    <mergeCell ref="L273:M273"/>
    <mergeCell ref="C278:C281"/>
    <mergeCell ref="D278:D281"/>
    <mergeCell ref="E278:E281"/>
    <mergeCell ref="F278:F279"/>
    <mergeCell ref="K278:K279"/>
    <mergeCell ref="L278:L279"/>
    <mergeCell ref="AJ274:AK275"/>
    <mergeCell ref="AG275:AH275"/>
    <mergeCell ref="AI275:AI276"/>
    <mergeCell ref="W276:W277"/>
    <mergeCell ref="AG276:AH276"/>
    <mergeCell ref="AJ276:AJ277"/>
    <mergeCell ref="AK276:AK277"/>
    <mergeCell ref="X277:Y277"/>
    <mergeCell ref="Z277:AA277"/>
    <mergeCell ref="AB277:AC277"/>
    <mergeCell ref="W274:W275"/>
    <mergeCell ref="X274:Z275"/>
    <mergeCell ref="AA274:AA275"/>
    <mergeCell ref="AB274:AD275"/>
    <mergeCell ref="AE274:AE275"/>
    <mergeCell ref="AG274:AH274"/>
    <mergeCell ref="AJ278:AK279"/>
    <mergeCell ref="N274:N277"/>
    <mergeCell ref="V274:V275"/>
    <mergeCell ref="G278:G279"/>
    <mergeCell ref="H278:H279"/>
    <mergeCell ref="AD281:AE281"/>
    <mergeCell ref="AG281:AH281"/>
    <mergeCell ref="G274:G275"/>
    <mergeCell ref="H274:H275"/>
    <mergeCell ref="AG279:AH279"/>
    <mergeCell ref="F276:K276"/>
    <mergeCell ref="L276:M276"/>
    <mergeCell ref="F277:K277"/>
    <mergeCell ref="L277:M277"/>
    <mergeCell ref="AJ280:AJ281"/>
    <mergeCell ref="AK280:AK281"/>
    <mergeCell ref="X281:Y281"/>
    <mergeCell ref="Z281:AA281"/>
    <mergeCell ref="AB281:AC281"/>
    <mergeCell ref="W278:W279"/>
    <mergeCell ref="X278:Z279"/>
    <mergeCell ref="AA278:AA279"/>
    <mergeCell ref="AB278:AD279"/>
    <mergeCell ref="AE278:AE279"/>
    <mergeCell ref="AG278:AH278"/>
    <mergeCell ref="N278:N281"/>
    <mergeCell ref="V278:V279"/>
    <mergeCell ref="F280:K280"/>
    <mergeCell ref="L280:M280"/>
    <mergeCell ref="AI279:AI280"/>
    <mergeCell ref="W280:W281"/>
    <mergeCell ref="AG280:AH280"/>
    <mergeCell ref="F281:K281"/>
    <mergeCell ref="L281:M281"/>
    <mergeCell ref="I278:I279"/>
    <mergeCell ref="J278:J279"/>
    <mergeCell ref="AD285:AE285"/>
    <mergeCell ref="AG285:AH285"/>
    <mergeCell ref="I286:I287"/>
    <mergeCell ref="J286:J287"/>
    <mergeCell ref="C286:C289"/>
    <mergeCell ref="D286:D289"/>
    <mergeCell ref="E286:E289"/>
    <mergeCell ref="F286:F287"/>
    <mergeCell ref="K286:K287"/>
    <mergeCell ref="L286:L287"/>
    <mergeCell ref="F284:K284"/>
    <mergeCell ref="L284:M284"/>
    <mergeCell ref="N286:N289"/>
    <mergeCell ref="V286:V287"/>
    <mergeCell ref="N282:N285"/>
    <mergeCell ref="V282:V283"/>
    <mergeCell ref="F285:K285"/>
    <mergeCell ref="L285:M285"/>
    <mergeCell ref="G282:G283"/>
    <mergeCell ref="H282:H283"/>
    <mergeCell ref="I282:I283"/>
    <mergeCell ref="J282:J283"/>
    <mergeCell ref="C282:C285"/>
    <mergeCell ref="D282:D285"/>
    <mergeCell ref="E282:E285"/>
    <mergeCell ref="F282:F283"/>
    <mergeCell ref="K282:K283"/>
    <mergeCell ref="L282:L283"/>
    <mergeCell ref="AJ286:AK287"/>
    <mergeCell ref="AG287:AH287"/>
    <mergeCell ref="AI287:AI288"/>
    <mergeCell ref="W288:W289"/>
    <mergeCell ref="AG288:AH288"/>
    <mergeCell ref="AJ288:AJ289"/>
    <mergeCell ref="AK288:AK289"/>
    <mergeCell ref="X289:Y289"/>
    <mergeCell ref="Z289:AA289"/>
    <mergeCell ref="AB289:AC289"/>
    <mergeCell ref="W286:W287"/>
    <mergeCell ref="X286:Z287"/>
    <mergeCell ref="AA286:AA287"/>
    <mergeCell ref="AB286:AD287"/>
    <mergeCell ref="AE286:AE287"/>
    <mergeCell ref="AG286:AH286"/>
    <mergeCell ref="F288:K288"/>
    <mergeCell ref="L288:M288"/>
    <mergeCell ref="G286:G287"/>
    <mergeCell ref="H286:H287"/>
    <mergeCell ref="C290:C293"/>
    <mergeCell ref="D290:D293"/>
    <mergeCell ref="E290:E293"/>
    <mergeCell ref="F290:F291"/>
    <mergeCell ref="K290:K291"/>
    <mergeCell ref="L290:L291"/>
    <mergeCell ref="AD293:AE293"/>
    <mergeCell ref="AG293:AH293"/>
    <mergeCell ref="AG291:AH291"/>
    <mergeCell ref="W292:W293"/>
    <mergeCell ref="AG292:AH292"/>
    <mergeCell ref="X293:Y293"/>
    <mergeCell ref="Z293:AA293"/>
    <mergeCell ref="AB293:AC293"/>
    <mergeCell ref="W290:W291"/>
    <mergeCell ref="X290:Z291"/>
    <mergeCell ref="AJ282:AK283"/>
    <mergeCell ref="AG283:AH283"/>
    <mergeCell ref="AI283:AI284"/>
    <mergeCell ref="W284:W285"/>
    <mergeCell ref="AG284:AH284"/>
    <mergeCell ref="AJ284:AJ285"/>
    <mergeCell ref="AK284:AK285"/>
    <mergeCell ref="X285:Y285"/>
    <mergeCell ref="Z285:AA285"/>
    <mergeCell ref="AB285:AC285"/>
    <mergeCell ref="W282:W283"/>
    <mergeCell ref="X282:Z283"/>
    <mergeCell ref="AA282:AA283"/>
    <mergeCell ref="AB282:AD283"/>
    <mergeCell ref="AE282:AE283"/>
    <mergeCell ref="AG282:AH282"/>
    <mergeCell ref="AA290:AA291"/>
    <mergeCell ref="AB290:AD291"/>
    <mergeCell ref="AE290:AE291"/>
    <mergeCell ref="AG290:AH290"/>
    <mergeCell ref="F289:K289"/>
    <mergeCell ref="L289:M289"/>
    <mergeCell ref="N290:N293"/>
    <mergeCell ref="V290:V291"/>
    <mergeCell ref="AJ290:AK291"/>
    <mergeCell ref="AI291:AI292"/>
    <mergeCell ref="AJ292:AJ293"/>
    <mergeCell ref="AK292:AK293"/>
    <mergeCell ref="F292:K292"/>
    <mergeCell ref="L292:M292"/>
    <mergeCell ref="F293:K293"/>
    <mergeCell ref="L293:M293"/>
    <mergeCell ref="G290:G291"/>
    <mergeCell ref="H290:H291"/>
    <mergeCell ref="AD289:AE289"/>
    <mergeCell ref="AG289:AH289"/>
    <mergeCell ref="I290:I291"/>
    <mergeCell ref="J290:J291"/>
  </mergeCells>
  <phoneticPr fontId="3"/>
  <dataValidations xWindow="639" yWindow="221" count="23">
    <dataValidation type="decimal" errorStyle="warning" allowBlank="1" showInputMessage="1" showErrorMessage="1" errorTitle="構内ケ－ブルの導体温度" error="－１００［℃］ ～ ＋３００［℃］ の範囲の値を入力してください。" sqref="AG259:AG260 AG275:AG276 AG263:AG264 AG318:AG320 AG171:AG172 AG211:AG212 AG207:AG208 AG199:AG200 AG191:AG192 AG187:AG188 AG179:AG180 AG195:AG196 AG183:AG184 AG203:AG204 AG251:AG252 AG283:AG284 AG247:AG248 AG239:AG240 AG231:AG232 AG227:AG228 AG219:AG220 AG235:AG236 AG223:AG224 AG243:AG244 AG295:AG296 AG51:AG52 AG47:AG48 AG39:AG40 AG31:AG32 AG215:AG216 AG255:AG256 AG27:AG28 AG19:AG20 AG35:AG36 AG23:AG24 AG43:AG44 AG55:AG56 AG91:AG92 AG87:AG88 AG79:AG80 AG71:AG72 AG67:AG68 AG59:AG60 AG75:AG76 AG63:AG64 AG83:AG84 AG95:AG96 AG131:AG132 AG127:AG128 AG119:AG120 AG111:AG112 AG107:AG108 AG99:AG100 AG115:AG116 AG103:AG104 AG123:AG124 AG135:AG136 AG167:AG168 AG159:AG160 AG151:AG152 AG147:AG148 AG139:AG140 AG155:AG156 AG143:AG144 AG163:AG164 AG175:AG176 AG291:AG292 AG287:AG288 AG279:AG280 AG271:AG272 AG267:AG268 AG303:AG304 AG315:AG316 AG311:AG312 AG307:AG308 AG299:AG300">
      <formula1>-100</formula1>
      <formula2>300</formula2>
    </dataValidation>
    <dataValidation type="decimal" errorStyle="warning" allowBlank="1" showInputMessage="1" showErrorMessage="1" errorTitle="負荷の平均力率" error="－１ ～ ＋１ の範囲の値を入力して下さい。" sqref="R318:R321">
      <formula1>-1</formula1>
      <formula2>1</formula2>
    </dataValidation>
    <dataValidation type="decimal" errorStyle="information" allowBlank="1" showInputMessage="1" showErrorMessage="1" errorTitle="電動機の始動階級" error="０ ～ ＋１００ の範囲の値を入力して下さい。" sqref="AD261 AI269 Z261 Z273 AD321 AI297 AI273 Z265 AI277 Z285 Z321 AD249 AD253 AD245 Z253 AD169 AD209 AD213 AD257 AI265 AD205 AD237 Z257 AI285 Z213 AD217 AD173 AD197 AD225 Z237 AD241 Z217 AD229 Z241 AD185 Z197 AD201 AI241 AD189 Z229 AD233 AD221 Z201 AD49 AD89 Z289 AD53 AI229 AD45 Z53 AD57 Z221 Z233 AD37 Z57 AD25 AI257 Z37 AD41 AD29 AI233 Z225 Z41 AI41 AI237 Z29 AD33 Z245 AI225 AD21 AI29 Z21 AI289 Z33 AI57 AI33 AD93 AD85 Z93 Z25 AI37 AD97 AD77 AD129 Z97 AI261 AI245 Z249 AI201 AI249 AI293 AD65 Z45 Z77 AI25 AI45 AD81 Z49 AD69 AI49 Z81 AI81 Z69 AD73 AD61 AI69 Z61 Z73 AI21 AI97 AI73 AD133 Z65 AI77 AI53 Z85 AD125 Z133 AD137 AD117 Z137 AD105 AI65 Z117 AI85 AD121 Z89 AD109 Z121 AI121 Z109 AD113 AD101 AI89 AI109 AD165 Z101 Z113 AI61 AI137 AI113 Z173 Z105 AI117 AI93 Z125 AD177 AD157 Z177 AD145 Z157 AI105 AD161 AD149 AI125 Z129 Z161 AI129 AI161 AI101 Z149 AD153 AD141 AI149 Z141 Z153 AI177 AI153 Z189 Z145 AI157 AI133 Z165 AD193 AD181 AI189 Z181 Z193 AI145 AI221 AI253 AI165 AI217 AI193 Z169 AI169 Z185 AI141 AI197 AI173 Z205 AI185 AI205 Z209 AI209 AI181 AI213 AD289 AD293 AD285 Z293 AD297 AD277 Z297 AD265 Z277 AD281 AD269 Z281 AI281 Z269 AD273 AI317 Z305 AI305 Z309 AI309 AI313 AD309 AD313 AD305 Z313 AD317 Z317 AD301 Z301 AI301">
      <formula1>0</formula1>
      <formula2>100</formula2>
    </dataValidation>
    <dataValidation type="whole" errorStyle="information" showInputMessage="1" showErrorMessage="1" errorTitle="変圧器容量" error="最大 ９９９９９ ［ＫＶＡ］ まで、入力できます。" sqref="L276 L260 L288 L318:L320 L192 L232 L224 L244 L240 L228 L236 L220 L248 L252 L32 L292 L24 L44 L40 L28 L36 L20 L48 L52 L56 L72 L64 L84 L80 L256 L296 L68 L76 L60 L88 L92 L96 L112 L104 L124 L120 L108 L116 L100 L128 L132 L136 L152 L144 L164 L160 L148 L156 L140 L168 L172 L176 L184 L204 L200 L188 L196 L180 L208 L212 L216 L272 L264 L284 L280 L268 L308 L312 L316 L304 L300">
      <formula1>0</formula1>
      <formula2>99999</formula2>
    </dataValidation>
    <dataValidation type="textLength" operator="equal" showErrorMessage="1" errorTitle="電圧降下計算-3" error="このセルは自動計算用のセルです。_x000a_このセルを変更しないで下さい。_x000a__x000a_キャンセルを押して下さい。" sqref="AM317 AM309 AM313 AM321 AM41 AM29 AM25 AM33 AM21 AM45 AM37 AM49 AM53 AM57 AM305 AM61 AM65 AM69 AM73 AM77 AM81 AM97 AM85 AM89 AM93 AM101 AM105 AM109 AM301 AM297 AM113 AM129 AM121 AM117 AM125 AM133 AM149 AM141 AM137 AM145 AM153 AM161 AM157 AM165 AM169 AM173 AM189 AM181 AM177 AM185 AM193 AM209 AM201 AM197 AM205 AM213 AM221 AM217 AM225 AM229 AM233 AM249 AM241 AM237 AM245 AM253 AM269 AM261 AM257 AM265 AM273 AM281 AM277 AM285 AM289 AM293">
      <formula1>0</formula1>
    </dataValidation>
    <dataValidation type="list" errorStyle="information" allowBlank="1" showErrorMessage="1" errorTitle="Ｉｎｐｕｔ　ｏｆ　Ｆｒｅｑｕｅｎｃｙ" error="Ｖａｉｕｅｓ　ｏｔｈｅｒ　ｔｈａｎ　５０［Ｈｚ］ ｏｒ ６０［Ｈｚ］ ｗｅｒｅ ｉｎｐｕｔｔｅｄ．_x000a_Ｄｏｅｓ　ｉｔ　ｃｏｎｔｉｎｕｅ？" sqref="F280 F284 F288 F318:F320 F180 F220 F224 F228 F232 F236 F240 F244 F248 F252 F20 F292 F24 F28 F32 F36 F40 F44 F48 F52 F56 F60 F64 F68 F72 F256 F296 F76 F80 F84 F88 F92 F96 F100 F104 F108 F112 F116 F120 F124 F128 F132 F136 F140 F144 F148 F152 F156 F160 F164 F168 F172 F176 F184 F188 F192 F196 F200 F204 F208 F212 F216 F260 F264 F268 F272 F276 F300 F304 F308 F312 F316">
      <formula1>"50,60"</formula1>
    </dataValidation>
    <dataValidation type="decimal" errorStyle="warning" allowBlank="1" showInputMessage="1" showErrorMessage="1" errorTitle="電動機の平均効率" error="０ ～ １．０００ の範囲の値を入力して下さい。" sqref="Q318:Q321">
      <formula1>0</formula1>
      <formula2>1</formula2>
    </dataValidation>
    <dataValidation type="list" errorStyle="information" allowBlank="1" showErrorMessage="1" errorTitle="Ｆｒａｍｅ　ｖａｌｕｅ" error="Ｔｈｅ　ｆｒａｍｅ　ｖａｌｕｅ　ｗａｓ　ｉｎｐｕｔｔｅｄ　ｂｙ　ｕｓｅｒ" sqref="AJ280 AJ284 AJ288 AJ318:AJ320 AJ180 AJ220 AJ224 AJ228 AJ232 AJ236 AJ240 AJ244 AJ248 AJ252 AJ20 AJ292 AJ24 AJ28 AJ32 AJ36 AJ40 AJ44 AJ48 AJ52 AJ56 AJ60 AJ64 AJ68 AJ72 AJ256 AJ296 AJ76 AJ80 AJ84 AJ88 AJ92 AJ96 AJ100 AJ104 AJ108 AJ112 AJ116 AJ120 AJ124 AJ128 AJ132 AJ136 AJ140 AJ144 AJ148 AJ152 AJ156 AJ160 AJ164 AJ168 AJ172 AJ176 AJ184 AJ188 AJ192 AJ196 AJ200 AJ204 AJ208 AJ212 AJ216 AJ260 AJ264 AJ268 AJ272 AJ276 AJ300 AJ304 AJ308 AJ312 AJ316">
      <formula1>"30,50,60,100,225,250,400,600,800,1000,1200,1600,2000,2500,3000,3200,4000,,630,1250,5000,6300"</formula1>
    </dataValidation>
    <dataValidation type="list" errorStyle="information" sqref="AB282 AB278 X258 AB258 X286 AB286 X194 X186 X234 X226 X242 X230 AB230 X222 AB226 X238 AB234 AB222 AB242 AB238 X218 AB218 X246 AB246 X250 AB250 X34 X26 X290 AB290 X42 X30 AB30 X22 AB26 X38 AB34 AB22 AB42 AB38 X18 AB18 X46 AB46 X50 AB50 X54 AB54 X74 X66 X82 X70 AB70 X62 AB66 X78 X254 AB254 X294 AB294 AB74 AB62 AB82 AB78 X58 AB58 X86 AB86 X90 AB90 X94 AB94 X114 X106 X122 X110 AB110 X102 AB106 X118 AB114 AB102 AB122 AB118 X98 AB98 X126 AB126 X130 AB130 X134 AB134 X154 X146 X162 X150 AB150 X142 AB146 X158 AB154 AB142 AB162 AB158 X138 AB138 X166 AB166 X170 AB170 X174 AB174 X202 X190 AB190 X182 AB186 X198 AB194 AB182 AB202 AB198 X178 AB178 X206 AB206 X210 AB210 X214 AB214 X274 X266 X282 X270 AB270 X262 AB266 X278 AB274 AB262 AB302 AB298 X306 AB306 X310 AB310 X314 AB314 X302 X298">
      <formula1>"600V IV,600V CV-1C,600V CV-2C,600V CV-3C,600V CV-4C,600V CV-T"</formula1>
    </dataValidation>
    <dataValidation type="list" errorStyle="information" sqref="O18:O321">
      <formula1>$B$18:$B$43</formula1>
    </dataValidation>
    <dataValidation type="list" errorStyle="warning" allowBlank="1" showInputMessage="1" showErrorMessage="1" errorTitle="公称断面値" error="公称断面値が、入力されました。_x000a_DATA　Ｔａｂｌｅ に、このケ－ブルの Ｒ，Ｘを_x000a_入力してください。（５０ Ｈｚ ＤＡＴＡ）" sqref="X260 AB272 AB260 AB276 X288 AB288 X318:X320 AB318:AB320 X188 X184 X228 X224 AB224 X240 X244 X236 AB244 AB240 AB228 X232 X220 AB232 AB220 AB236 X248 AB248 X252 AB252 X28 X24 X292 AB292 AB24 X40 X44 X36 AB44 AB40 AB28 X32 X20 AB32 AB20 AB36 X48 AB48 X52 AB52 X56 AB56 X68 X64 AB64 X80 X84 X76 AB84 AB80 X256 AB256 X296 AB296 AB68 X72 X60 AB72 AB60 AB76 X88 AB88 X92 AB92 X96 AB96 X108 X104 AB104 X120 X124 X116 AB124 AB120 AB108 X112 X100 AB112 AB100 AB116 X128 AB128 X132 AB132 X136 AB136 X148 X144 AB144 X160 X164 X156 AB164 AB160 AB148 X152 X140 AB152 AB140 AB156 X168 AB168 X172 AB172 X176 AB176 AB184 X200 X204 X196 AB204 AB200 AB188 X192 X180 AB192 AB180 AB196 X208 AB208 X212 AB212 X216 AB216 X268 X264 AB264 X280 X284 X276 AB284 AB280 AB268 X272 X308 AB308 X312 AB312 X316 AB316 X300 X304 AB304 AB300">
      <formula1>"2.0,3.5,5.5,8,14,22,38,50,60,100,150,200,250,325,400,500,600"</formula1>
    </dataValidation>
    <dataValidation type="list" allowBlank="1" showErrorMessage="1" errorTitle="Ｉｎｐｕｔ　ｏｆ　ｅｌｅｃｔｒｉｃ　ｓｙｓｔｅｍ" error="Ｔｈｅ　ｉｎｐｕｔｔｅｄ　ｖａｌｕｅ　ｉｓ　ｎｏｔ　ｒｉｇｈｔ．_x000a_Ｔｈｅ　ｖａｌｕｅ　ｗｈｉｃｈ　ｃａｎ　ｂｅ　ｉｎｐｕｔｔｅｄ　ｉｎｔｏ　ａ　ｃｅｌｌ　ｉｓ　ｒｅｓｔｒｉｃｔｅｄ　ｂｙ　ｓｅｔｕｐ　ｏｆ　ａ user.　" sqref="F266 F286 F274 F190 F230 F218 F242 F222 F238 F226 F246 F234 F250 F30 F290 F18 F42 F22 F38 F26 F46 F34 F50 F54 F70 F58 F82 F62 F254 F294 F78 F66 F86 F74 F90 F94 F110 F98 F122 F102 F118 F106 F126 F114 F130 F134 F150 F138 F162 F142 F158 F146 F166 F154 F170 F174 F178 F202 F182 F198 F186 F206 F194 F210 F214 F270 F258 F282 F262 F278 F306 F310 F314 F302 F298">
      <formula1>"1,3"</formula1>
    </dataValidation>
    <dataValidation type="list" allowBlank="1" showErrorMessage="1" errorTitle="Ｉｎｐｕｔ　ｏｆ　ｅｌｅｃｔｒｉｃ　ｓｙｓｔｅｍ" error="Ｔｈｅ　ｉｎｐｕｔｔｅｄ　ｖａｌｕｅ　ｉｓ　ｎｏｔ　ｒｉｇｈｔ．_x000a_Ｔｈｅ　ｖａｌｕｅ　ｗｈｉｃｈ　ｃａｎ　ｂｅ　ｉｎｐｕｔｔｅｄ　ｉｎｔｏ　ａ　ｃｅｌｌ　ｉｓ　ｒｅｓｔｒｉｃｔｅｄ　ｂｙ　ｓｅｔｕｐ　ｏｆ　ａ user.　" sqref="H278 H286 H266 H190 H230 H234 H242 H222 H218 H238 H246 H226 H250 H30 H290 H34 H42 H22 H18 H38 H46 H26 H50 H54 H70 H74 H82 H62 H254 H294 H58 H78 H86 H66 H90 H94 H110 H114 H122 H102 H98 H118 H126 H106 H130 H134 H150 H154 H162 H142 H138 H158 H166 H146 H170 H174 H194 H202 H182 H178 H198 H206 H186 H210 H214 H270 H274 H282 H262 H258 H298 H306 H310 H314 H302">
      <formula1>"3,4"</formula1>
    </dataValidation>
    <dataValidation type="decimal" errorStyle="information" allowBlank="1" showErrorMessage="1" errorTitle="Ｅｆｆｉｃｉｅｎｃｙ　ｏｆ　ｌｏａｄ" error="Ｐｌｅａｓｅ　ｉｎｐｕｔ　ｔｈｅ　ｖａｌｕｅ　ｂｅｔｗｅｅｎ　０　ａｎｄ　１" sqref="Q18:Q317">
      <formula1>0</formula1>
      <formula2>1</formula2>
    </dataValidation>
    <dataValidation type="decimal" errorStyle="information" allowBlank="1" showErrorMessage="1" errorTitle="Ｐｏｗｅｒ　ｆａｃｔｏｒ　ｏｆ　ｌｏａｄ" error="Ｐｌｅａｓｅ　ｉｎｐｕｔ　ｔｈｅ　ｖａｌｕｅ　ｂｅｔｗｅｅｎ　０．０１　ａｎｄ　１．００" sqref="R18:R317">
      <formula1>0.01</formula1>
      <formula2>1</formula2>
    </dataValidation>
    <dataValidation type="decimal" errorStyle="information" allowBlank="1" showErrorMessage="1" errorTitle="Ｄｅｍａｎｄ　ｆａｃｔｏｒ　ｏｆ　ｌｏａｄ" error="Ｐｌｅａｓｅ　ｉｎｐｕｔ　ｔｈｅ　ｖａｌｕｅ　ｂｅｔｗｅｅｎ　０．０００００１　ａｎｄ　１．００" sqref="T18:T317">
      <formula1>0.01</formula1>
      <formula2>1</formula2>
    </dataValidation>
    <dataValidation type="list" errorStyle="information" showErrorMessage="1" errorTitle="Ｎａｍｅ　ｏｆ　ａ　ＢＲＥＡＫＥＲ" error="Ｔｈｅ　ｎａｍｅ　ｏｆ　ａ　ｂｒｅａｋｅｒ　ｗａｓ　ｉｎｐｕｔｔｅｄ．" sqref="AJ282 AJ258 AJ286 AJ182 AJ222 AJ226 AJ230 AJ234 AJ238 AJ242 AJ218 AJ246 AJ250 AJ22 AJ290 AJ26 AJ30 AJ34 AJ38 AJ42 AJ18 AJ46 AJ50 AJ54 AJ62 AJ66 AJ70 AJ74 AJ254 AJ294 AJ78 AJ82 AJ58 AJ86 AJ90 AJ94 AJ102 AJ106 AJ110 AJ114 AJ118 AJ122 AJ98 AJ126 AJ130 AJ134 AJ142 AJ146 AJ150 AJ154 AJ158 AJ162 AJ138 AJ166 AJ170 AJ174 AJ186 AJ190 AJ194 AJ198 AJ202 AJ178 AJ206 AJ210 AJ214 AJ262 AJ266 AJ270 AJ274 AJ278 AJ302 AJ306 AJ310 AJ314 AJ298">
      <formula1>"MCCB-2P,MCCB-3P,MCCB-4P,ELB-2P,ELB-3P,ELB-4P,ACB-3P"</formula1>
    </dataValidation>
    <dataValidation type="decimal" errorStyle="information" allowBlank="1" showErrorMessage="1" errorTitle="Ｔｅｍｐｅｒａｔｕｒｅ　ｔｏ　ｃａｌｃｕｌａｔｅ" error="Ｐｌｅａｓｅ　ｉｎｐｕｔ　ｔｈｅ　ｖａｌｕｅ　ｂｅｔｗｅｅｎ　-100[℃]　ａｎｄ　+300[℃]" sqref="F261 F281 F289 F233 F245 F193 F237 F225 F229 F221 F241 F249 F253 F293 F33 F45 F37 F25 F29 F21 F41 F49 F53 F57 F73 F85 F77 F297 F257 F65 F69 F61 F81 F89 F93 F113 F125 F97 F117 F105 F109 F101 F121 F129 F133 F153 F165 F137 F157 F145 F149 F141 F161 F169 F173 F205 F177 F197 F185 F189 F181 F201 F209 F213 F217 F273 F285 F277 F265 F269 F301 F309 F313 F317 F305">
      <formula1>-100</formula1>
      <formula2>300</formula2>
    </dataValidation>
    <dataValidation type="list" errorStyle="information" allowBlank="1" showInputMessage="1" showErrorMessage="1" errorTitle="Ｆｏｒｍ　ｏｆ　ａ　ｔｒａｎｓｆｏｒｍｅｒ" error="Ｔｈｅ　ｆｏｒｍ　ｏｆ　ａ　ｔｒａｎｓｆｏｒｍｅｒ　ｗａｓ　ｉｎｐｕｔｔｅｄ．" sqref="L266 L258 L286 L190 L230 L222 L234 L242 L238 L226 L218 L246 L250 L30 L290 L22 L34 L42 L38 L26 L18 L46 L50 L54 L70 L62 L74 L82 L254 L294 L78 L66 L58 L86 L90 L94 L110 L102 L114 L122 L118 L106 L98 L126 L130 L134 L150 L142 L154 L162 L158 L146 L138 L166 L170 L174 L182 L194 L202 L198 L186 L178 L206 L210 L214 L270 L262 L274 L282 L278 L306 L310 L314 L302 L298">
      <formula1>"oil cooled type,(F)molded type,ACG"</formula1>
    </dataValidation>
    <dataValidation type="custom" errorStyle="information" showErrorMessage="1" errorTitle="Trip value" error="A trip value is too large." sqref="AK318:AK320">
      <formula1>IF(AK318&lt;=AJ318,TRUE,FALSE)</formula1>
    </dataValidation>
    <dataValidation type="custom" errorStyle="information" allowBlank="1" showInputMessage="1" showErrorMessage="1" errorTitle="Trip value" error="A Trip value is too large" sqref="AK232 AK224 AK192 AK240 AK236 AK248 AK220 AK260 AK284 AK268 AK244 AK228 AK252 AK292 AK32 AK24 AK40 AK36 AK48 AK20 AK44 AK28 AK52 AK56 AK72 AK64 AK80 AK296 AK256 AK76 AK88 AK60 AK84 AK68 AK92 AK112 AK104 AK96 AK120 AK116 AK128 AK100 AK124 AK108 AK132 AK152 AK144 AK136 AK160 AK156 AK168 AK140 AK164 AK148 AK172 AK184 AK176 AK200 AK196 AK208 AK180 AK204 AK188 AK212 AK216 AK272 AK264 AK280 AK276 AK288 AK304 AK312 AK316 AK300 AK308">
      <formula1>IF(AK20&lt;=AJ20,TRUE,FALSE)</formula1>
    </dataValidation>
    <dataValidation type="list" sqref="BC327:BC329">
      <formula1>$BD$324:$BD$327</formula1>
    </dataValidation>
    <dataValidation type="list" errorStyle="information" sqref="AE22 AE38 AE30 AE34 AA22 AA38 AE26 AE42 AA34 AA26 AA30 AA42 AE18 AA18 AE46 AA46 AE50 AA50 AE54 AA54 AE62 AE78 AE70 AE74 AA62 AA78 AE66 AE82 AA74 AA66 AA70 AA82 AE58 AA58 AE86 AA86 AE90 AA90 AE94 AA94 AE102 AE118 AE110 AE114 AA102 AA118 AE106 AE122 AA114 AA106 AA110 AA122 AE98 AA98 AE126 AA126 AE130 AA130 AE134 AA134 AE142 AE158 AE150 AE154 AA142 AA158 AE146 AE162 AA154 AA146 AA150 AA162 AE138 AA138 AE166 AA166 AE170 AA170 AE174 AA174 AE182 AE198 AE190 AE194 AA182 AA198 AE186 AE202 AA194 AA186 AA190 AA202 AE178 AA178 AE206 AA206 AE210 AA210 AE214 AA214 AE222 AE238 AE230 AE234 AA222 AA238 AE226 AE242 AA234 AA226 AA230 AA242 AE218 AA218 AE246 AA246 AE250 AA250 AE254 AA254 AE262 AE278 AE270 AE274 AA262 AA278 AE266 AE282 AA274 AA266 AA270 AA282 AE258 AA258 AE286 AA286 AE290 AA290 AE294 AA294 AE298 AA298 AE302 AA302 AE306 AA306 AE310 AA310 AE314 AA314">
      <formula1>$B$60:$B$75</formula1>
    </dataValidation>
  </dataValidations>
  <pageMargins left="0.59055118110236227" right="0.55118110236220474" top="0.78740157480314965" bottom="0.27559055118110237" header="0" footer="0"/>
  <pageSetup paperSize="9" scale="55" fitToHeight="0" orientation="landscape" horizontalDpi="4294967292" r:id="rId1"/>
  <headerFooter alignWithMargins="0"/>
  <rowBreaks count="4" manualBreakCount="4">
    <brk id="77" min="3" max="37" man="1"/>
    <brk id="137" min="3" max="37" man="1"/>
    <brk id="197" min="3" max="37" man="1"/>
    <brk id="257" min="3" max="37"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C148"/>
  <sheetViews>
    <sheetView view="pageBreakPreview" zoomScale="60" zoomScaleNormal="90" workbookViewId="0"/>
  </sheetViews>
  <sheetFormatPr defaultRowHeight="13.5"/>
  <cols>
    <col min="1" max="1" width="1.125" style="1" customWidth="1"/>
    <col min="2" max="2" width="6.125" style="1" customWidth="1"/>
    <col min="3" max="5" width="8.625" style="1" customWidth="1"/>
    <col min="6" max="6" width="1.125" style="1" customWidth="1"/>
    <col min="7" max="7" width="6.125" style="1" customWidth="1"/>
    <col min="8" max="10" width="8.625" style="1" customWidth="1"/>
    <col min="11" max="11" width="1.125" style="1" customWidth="1"/>
    <col min="12" max="12" width="6.125" style="1" customWidth="1"/>
    <col min="13" max="15" width="8.625" style="1" customWidth="1"/>
    <col min="16" max="16" width="1.125" style="1" customWidth="1"/>
    <col min="17" max="17" width="6.125" style="1" customWidth="1"/>
    <col min="18" max="20" width="8.625" style="1" customWidth="1"/>
    <col min="21" max="21" width="1.125" style="1" customWidth="1"/>
    <col min="22" max="22" width="6.125" style="1" customWidth="1"/>
    <col min="23" max="24" width="8.625" style="1" customWidth="1"/>
    <col min="25" max="25" width="1.125" style="1" customWidth="1"/>
    <col min="26" max="26" width="6.125" style="1" customWidth="1"/>
    <col min="27" max="28" width="8.625" style="1" customWidth="1"/>
    <col min="29" max="29" width="1.125" style="1" customWidth="1"/>
    <col min="30" max="16384" width="9" style="1"/>
  </cols>
  <sheetData>
    <row r="1" spans="1:29" s="3" customFormat="1" ht="17.25">
      <c r="A1" s="164"/>
      <c r="B1" s="401" t="s">
        <v>85</v>
      </c>
      <c r="C1" s="401"/>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row>
    <row r="2" spans="1:29" s="3" customFormat="1" ht="12" customHeight="1">
      <c r="A2" s="165"/>
      <c r="B2" s="166" t="s">
        <v>86</v>
      </c>
      <c r="C2" s="400" t="s">
        <v>87</v>
      </c>
      <c r="D2" s="400"/>
      <c r="E2" s="167"/>
      <c r="F2" s="168"/>
      <c r="G2" s="166" t="s">
        <v>86</v>
      </c>
      <c r="H2" s="400" t="s">
        <v>88</v>
      </c>
      <c r="I2" s="400"/>
      <c r="J2" s="167"/>
      <c r="K2" s="168"/>
      <c r="L2" s="166" t="s">
        <v>86</v>
      </c>
      <c r="M2" s="400" t="s">
        <v>89</v>
      </c>
      <c r="N2" s="400"/>
      <c r="O2" s="167"/>
      <c r="P2" s="168"/>
      <c r="Q2" s="166" t="s">
        <v>86</v>
      </c>
      <c r="R2" s="400" t="s">
        <v>90</v>
      </c>
      <c r="S2" s="400"/>
      <c r="T2" s="167"/>
      <c r="U2" s="164"/>
      <c r="V2" s="398" t="s">
        <v>91</v>
      </c>
      <c r="W2" s="399"/>
      <c r="X2" s="167"/>
      <c r="Y2" s="165"/>
      <c r="Z2" s="398" t="s">
        <v>116</v>
      </c>
      <c r="AA2" s="399"/>
      <c r="AB2" s="167"/>
      <c r="AC2" s="165"/>
    </row>
    <row r="3" spans="1:29" s="3" customFormat="1" ht="12" customHeight="1">
      <c r="A3" s="165"/>
      <c r="B3" s="169" t="s">
        <v>92</v>
      </c>
      <c r="C3" s="170" t="s">
        <v>93</v>
      </c>
      <c r="D3" s="170" t="s">
        <v>94</v>
      </c>
      <c r="E3" s="170" t="s">
        <v>95</v>
      </c>
      <c r="F3" s="168"/>
      <c r="G3" s="169" t="s">
        <v>92</v>
      </c>
      <c r="H3" s="170" t="s">
        <v>93</v>
      </c>
      <c r="I3" s="170" t="s">
        <v>94</v>
      </c>
      <c r="J3" s="170" t="s">
        <v>95</v>
      </c>
      <c r="K3" s="168"/>
      <c r="L3" s="169" t="s">
        <v>92</v>
      </c>
      <c r="M3" s="170" t="s">
        <v>93</v>
      </c>
      <c r="N3" s="170" t="s">
        <v>94</v>
      </c>
      <c r="O3" s="170" t="s">
        <v>95</v>
      </c>
      <c r="P3" s="168"/>
      <c r="Q3" s="169" t="s">
        <v>92</v>
      </c>
      <c r="R3" s="170" t="s">
        <v>93</v>
      </c>
      <c r="S3" s="170" t="s">
        <v>94</v>
      </c>
      <c r="T3" s="170" t="s">
        <v>95</v>
      </c>
      <c r="U3" s="164"/>
      <c r="V3" s="171" t="s">
        <v>96</v>
      </c>
      <c r="W3" s="171" t="s">
        <v>97</v>
      </c>
      <c r="X3" s="171" t="s">
        <v>98</v>
      </c>
      <c r="Y3" s="165"/>
      <c r="Z3" s="172" t="s">
        <v>96</v>
      </c>
      <c r="AA3" s="172" t="s">
        <v>97</v>
      </c>
      <c r="AB3" s="172" t="s">
        <v>98</v>
      </c>
      <c r="AC3" s="165"/>
    </row>
    <row r="4" spans="1:29" s="3" customFormat="1" ht="12" customHeight="1">
      <c r="A4" s="165"/>
      <c r="B4" s="173">
        <v>10</v>
      </c>
      <c r="C4" s="174">
        <v>2.0099999999999998</v>
      </c>
      <c r="D4" s="174">
        <v>1.74</v>
      </c>
      <c r="E4" s="175">
        <f t="shared" ref="E4:E16" si="0">IF(D4="","",SQRT((C4^2)+(D4^2)))</f>
        <v>2.6585146228674383</v>
      </c>
      <c r="F4" s="176"/>
      <c r="G4" s="173">
        <v>10</v>
      </c>
      <c r="H4" s="174">
        <v>2.72</v>
      </c>
      <c r="I4" s="174">
        <v>3.5</v>
      </c>
      <c r="J4" s="175">
        <f t="shared" ref="J4:J16" si="1">IF(I4="","",SQRT((H4^2)+(I4^2)))</f>
        <v>4.4326515766525123</v>
      </c>
      <c r="K4" s="176"/>
      <c r="L4" s="173">
        <v>10</v>
      </c>
      <c r="M4" s="174">
        <v>1.92</v>
      </c>
      <c r="N4" s="174">
        <v>1.93</v>
      </c>
      <c r="O4" s="175">
        <f t="shared" ref="O4:O16" si="2">IF(N4="","",SQRT((M4^2)+(N4^2)))</f>
        <v>2.7223702907576697</v>
      </c>
      <c r="P4" s="176"/>
      <c r="Q4" s="173">
        <v>10</v>
      </c>
      <c r="R4" s="174">
        <v>2.72</v>
      </c>
      <c r="S4" s="174">
        <v>3.5</v>
      </c>
      <c r="T4" s="175">
        <f t="shared" ref="T4:T16" si="3">IF(S4="","",SQRT((R4^2)+(S4^2)))</f>
        <v>4.4326515766525123</v>
      </c>
      <c r="U4" s="164"/>
      <c r="V4" s="171" t="s">
        <v>99</v>
      </c>
      <c r="W4" s="177" t="s">
        <v>100</v>
      </c>
      <c r="X4" s="177" t="s">
        <v>101</v>
      </c>
      <c r="Y4" s="165"/>
      <c r="Z4" s="171" t="s">
        <v>99</v>
      </c>
      <c r="AA4" s="177" t="s">
        <v>102</v>
      </c>
      <c r="AB4" s="177" t="s">
        <v>101</v>
      </c>
      <c r="AC4" s="165"/>
    </row>
    <row r="5" spans="1:29" s="3" customFormat="1" ht="12" customHeight="1">
      <c r="A5" s="165"/>
      <c r="B5" s="173">
        <v>20</v>
      </c>
      <c r="C5" s="174">
        <v>1.77</v>
      </c>
      <c r="D5" s="174">
        <v>1.82</v>
      </c>
      <c r="E5" s="175">
        <f t="shared" si="0"/>
        <v>2.5387595396177245</v>
      </c>
      <c r="F5" s="176"/>
      <c r="G5" s="173">
        <v>20</v>
      </c>
      <c r="H5" s="174">
        <v>1.99</v>
      </c>
      <c r="I5" s="174">
        <v>4.6399999999999997</v>
      </c>
      <c r="J5" s="175">
        <f t="shared" si="1"/>
        <v>5.0487325142059172</v>
      </c>
      <c r="K5" s="176"/>
      <c r="L5" s="173">
        <v>20</v>
      </c>
      <c r="M5" s="174">
        <v>1.68</v>
      </c>
      <c r="N5" s="174">
        <v>2.04</v>
      </c>
      <c r="O5" s="175">
        <f t="shared" si="2"/>
        <v>2.6427258654654286</v>
      </c>
      <c r="P5" s="176"/>
      <c r="Q5" s="173">
        <v>20</v>
      </c>
      <c r="R5" s="174">
        <v>1.99</v>
      </c>
      <c r="S5" s="174">
        <v>4.6399999999999997</v>
      </c>
      <c r="T5" s="175">
        <f t="shared" si="3"/>
        <v>5.0487325142059172</v>
      </c>
      <c r="U5" s="164"/>
      <c r="V5" s="178"/>
      <c r="W5" s="179" t="s">
        <v>103</v>
      </c>
      <c r="X5" s="179" t="s">
        <v>103</v>
      </c>
      <c r="Y5" s="165"/>
      <c r="Z5" s="178"/>
      <c r="AA5" s="179" t="s">
        <v>103</v>
      </c>
      <c r="AB5" s="179" t="s">
        <v>103</v>
      </c>
      <c r="AC5" s="165"/>
    </row>
    <row r="6" spans="1:29" s="3" customFormat="1" ht="12" customHeight="1">
      <c r="A6" s="164"/>
      <c r="B6" s="173">
        <v>30</v>
      </c>
      <c r="C6" s="174">
        <v>1.56</v>
      </c>
      <c r="D6" s="174">
        <v>2.37</v>
      </c>
      <c r="E6" s="175">
        <f t="shared" si="0"/>
        <v>2.8373403038761493</v>
      </c>
      <c r="F6" s="180"/>
      <c r="G6" s="173">
        <v>30</v>
      </c>
      <c r="H6" s="174">
        <v>1.56</v>
      </c>
      <c r="I6" s="174">
        <v>4.28</v>
      </c>
      <c r="J6" s="175">
        <f t="shared" si="1"/>
        <v>4.5554363128025406</v>
      </c>
      <c r="K6" s="180"/>
      <c r="L6" s="173">
        <v>30</v>
      </c>
      <c r="M6" s="174">
        <v>1.51</v>
      </c>
      <c r="N6" s="174">
        <v>2.6</v>
      </c>
      <c r="O6" s="175">
        <f t="shared" si="2"/>
        <v>3.0066759053812238</v>
      </c>
      <c r="P6" s="180"/>
      <c r="Q6" s="173">
        <v>30</v>
      </c>
      <c r="R6" s="174">
        <v>1.56</v>
      </c>
      <c r="S6" s="174">
        <v>4.28</v>
      </c>
      <c r="T6" s="175">
        <f t="shared" si="3"/>
        <v>4.5554363128025406</v>
      </c>
      <c r="U6" s="164"/>
      <c r="V6" s="181">
        <v>2</v>
      </c>
      <c r="W6" s="182">
        <v>10.7</v>
      </c>
      <c r="X6" s="182">
        <v>9.9199999999999997E-2</v>
      </c>
      <c r="Y6" s="164"/>
      <c r="Z6" s="181">
        <v>8</v>
      </c>
      <c r="AA6" s="182">
        <v>3.01</v>
      </c>
      <c r="AB6" s="182">
        <v>0.114</v>
      </c>
      <c r="AC6" s="165"/>
    </row>
    <row r="7" spans="1:29" s="3" customFormat="1" ht="12" customHeight="1">
      <c r="A7" s="164"/>
      <c r="B7" s="173">
        <v>50</v>
      </c>
      <c r="C7" s="174">
        <v>1.43</v>
      </c>
      <c r="D7" s="174">
        <v>2.27</v>
      </c>
      <c r="E7" s="175">
        <f t="shared" si="0"/>
        <v>2.6828715958837837</v>
      </c>
      <c r="F7" s="180"/>
      <c r="G7" s="173">
        <v>50</v>
      </c>
      <c r="H7" s="174">
        <v>1.81</v>
      </c>
      <c r="I7" s="174">
        <v>3.54</v>
      </c>
      <c r="J7" s="175">
        <f t="shared" si="1"/>
        <v>3.9758898375080767</v>
      </c>
      <c r="K7" s="180"/>
      <c r="L7" s="173">
        <v>50</v>
      </c>
      <c r="M7" s="174">
        <v>1.39</v>
      </c>
      <c r="N7" s="174">
        <v>2.5499999999999998</v>
      </c>
      <c r="O7" s="175">
        <f t="shared" si="2"/>
        <v>2.90423828223512</v>
      </c>
      <c r="P7" s="180"/>
      <c r="Q7" s="173">
        <v>50</v>
      </c>
      <c r="R7" s="174">
        <v>1.81</v>
      </c>
      <c r="S7" s="174">
        <v>3.54</v>
      </c>
      <c r="T7" s="175">
        <f t="shared" si="3"/>
        <v>3.9758898375080767</v>
      </c>
      <c r="U7" s="164"/>
      <c r="V7" s="181">
        <v>3.5</v>
      </c>
      <c r="W7" s="182">
        <v>6.02</v>
      </c>
      <c r="X7" s="182">
        <v>9.1399999999999995E-2</v>
      </c>
      <c r="Y7" s="164"/>
      <c r="Z7" s="181">
        <v>14</v>
      </c>
      <c r="AA7" s="182">
        <v>1.71</v>
      </c>
      <c r="AB7" s="182">
        <v>0.107</v>
      </c>
      <c r="AC7" s="165"/>
    </row>
    <row r="8" spans="1:29" s="3" customFormat="1" ht="12" customHeight="1">
      <c r="A8" s="164"/>
      <c r="B8" s="173">
        <v>75</v>
      </c>
      <c r="C8" s="174">
        <v>1.53</v>
      </c>
      <c r="D8" s="174">
        <v>1.95</v>
      </c>
      <c r="E8" s="175">
        <f t="shared" si="0"/>
        <v>2.4785883078881819</v>
      </c>
      <c r="F8" s="180"/>
      <c r="G8" s="173">
        <v>75</v>
      </c>
      <c r="H8" s="174">
        <v>1.54</v>
      </c>
      <c r="I8" s="174">
        <v>3.6</v>
      </c>
      <c r="J8" s="175">
        <f t="shared" si="1"/>
        <v>3.915558708537008</v>
      </c>
      <c r="K8" s="180"/>
      <c r="L8" s="173">
        <v>75</v>
      </c>
      <c r="M8" s="174">
        <v>1.43</v>
      </c>
      <c r="N8" s="174">
        <v>2.15</v>
      </c>
      <c r="O8" s="175">
        <f t="shared" si="2"/>
        <v>2.5821309029559285</v>
      </c>
      <c r="P8" s="180"/>
      <c r="Q8" s="173">
        <v>75</v>
      </c>
      <c r="R8" s="174">
        <v>1.54</v>
      </c>
      <c r="S8" s="174">
        <v>3.6</v>
      </c>
      <c r="T8" s="175">
        <f t="shared" si="3"/>
        <v>3.915558708537008</v>
      </c>
      <c r="U8" s="164"/>
      <c r="V8" s="181">
        <v>5.5</v>
      </c>
      <c r="W8" s="182">
        <v>3.85</v>
      </c>
      <c r="X8" s="182">
        <v>9.1399999999999995E-2</v>
      </c>
      <c r="Y8" s="164"/>
      <c r="Z8" s="181">
        <v>22</v>
      </c>
      <c r="AA8" s="182">
        <v>1.08</v>
      </c>
      <c r="AB8" s="182">
        <v>0.10199999999999999</v>
      </c>
      <c r="AC8" s="165"/>
    </row>
    <row r="9" spans="1:29" s="3" customFormat="1" ht="12" customHeight="1">
      <c r="A9" s="164"/>
      <c r="B9" s="173">
        <v>100</v>
      </c>
      <c r="C9" s="174">
        <v>1.54</v>
      </c>
      <c r="D9" s="174">
        <v>2.29</v>
      </c>
      <c r="E9" s="175">
        <f t="shared" si="0"/>
        <v>2.7596557756357947</v>
      </c>
      <c r="F9" s="180"/>
      <c r="G9" s="173">
        <v>100</v>
      </c>
      <c r="H9" s="174">
        <v>1.57</v>
      </c>
      <c r="I9" s="174">
        <v>3.88</v>
      </c>
      <c r="J9" s="175">
        <f t="shared" si="1"/>
        <v>4.1856062882215763</v>
      </c>
      <c r="K9" s="180"/>
      <c r="L9" s="173">
        <v>100</v>
      </c>
      <c r="M9" s="174">
        <v>1.42</v>
      </c>
      <c r="N9" s="174">
        <v>2.54</v>
      </c>
      <c r="O9" s="175">
        <f t="shared" si="2"/>
        <v>2.9099828178186895</v>
      </c>
      <c r="P9" s="180"/>
      <c r="Q9" s="173">
        <v>100</v>
      </c>
      <c r="R9" s="174">
        <v>1.57</v>
      </c>
      <c r="S9" s="174">
        <v>3.88</v>
      </c>
      <c r="T9" s="175">
        <f t="shared" si="3"/>
        <v>4.1856062882215763</v>
      </c>
      <c r="U9" s="164"/>
      <c r="V9" s="181">
        <v>8</v>
      </c>
      <c r="W9" s="182">
        <v>2.67</v>
      </c>
      <c r="X9" s="182">
        <v>9.1399999999999995E-2</v>
      </c>
      <c r="Y9" s="164"/>
      <c r="Z9" s="181">
        <v>38</v>
      </c>
      <c r="AA9" s="182">
        <v>0.626</v>
      </c>
      <c r="AB9" s="182">
        <v>9.3899999999999997E-2</v>
      </c>
      <c r="AC9" s="165"/>
    </row>
    <row r="10" spans="1:29" s="3" customFormat="1" ht="12" customHeight="1">
      <c r="A10" s="164"/>
      <c r="B10" s="173">
        <v>150</v>
      </c>
      <c r="C10" s="174">
        <v>1.41</v>
      </c>
      <c r="D10" s="174">
        <v>2.36</v>
      </c>
      <c r="E10" s="175">
        <f t="shared" si="0"/>
        <v>2.7491271342009629</v>
      </c>
      <c r="F10" s="180"/>
      <c r="G10" s="173">
        <v>150</v>
      </c>
      <c r="H10" s="174">
        <v>1.41</v>
      </c>
      <c r="I10" s="174">
        <v>4.33</v>
      </c>
      <c r="J10" s="175">
        <f t="shared" si="1"/>
        <v>4.5537896306263423</v>
      </c>
      <c r="K10" s="180"/>
      <c r="L10" s="173">
        <v>150</v>
      </c>
      <c r="M10" s="174">
        <v>1.37</v>
      </c>
      <c r="N10" s="174">
        <v>2.73</v>
      </c>
      <c r="O10" s="175">
        <f t="shared" si="2"/>
        <v>3.0544721311545797</v>
      </c>
      <c r="P10" s="180"/>
      <c r="Q10" s="173">
        <v>150</v>
      </c>
      <c r="R10" s="174">
        <v>1.41</v>
      </c>
      <c r="S10" s="174">
        <v>4.33</v>
      </c>
      <c r="T10" s="175">
        <f t="shared" si="3"/>
        <v>4.5537896306263423</v>
      </c>
      <c r="U10" s="164"/>
      <c r="V10" s="181">
        <v>14</v>
      </c>
      <c r="W10" s="182">
        <v>1.5</v>
      </c>
      <c r="X10" s="182">
        <v>8.3000000000000004E-2</v>
      </c>
      <c r="Y10" s="164"/>
      <c r="Z10" s="181">
        <v>60</v>
      </c>
      <c r="AA10" s="182">
        <v>0.39700000000000002</v>
      </c>
      <c r="AB10" s="182">
        <v>9.0499999999999997E-2</v>
      </c>
      <c r="AC10" s="165"/>
    </row>
    <row r="11" spans="1:29" s="3" customFormat="1" ht="12" customHeight="1">
      <c r="A11" s="164"/>
      <c r="B11" s="173">
        <v>200</v>
      </c>
      <c r="C11" s="174">
        <v>1.35</v>
      </c>
      <c r="D11" s="174">
        <v>2.7</v>
      </c>
      <c r="E11" s="175">
        <f t="shared" si="0"/>
        <v>3.0186917696247164</v>
      </c>
      <c r="F11" s="180"/>
      <c r="G11" s="173">
        <v>200</v>
      </c>
      <c r="H11" s="174">
        <v>1.35</v>
      </c>
      <c r="I11" s="174">
        <v>4.88</v>
      </c>
      <c r="J11" s="175">
        <f t="shared" si="1"/>
        <v>5.0632894446199694</v>
      </c>
      <c r="K11" s="180"/>
      <c r="L11" s="173">
        <v>200</v>
      </c>
      <c r="M11" s="174">
        <v>1.31</v>
      </c>
      <c r="N11" s="174">
        <v>3.14</v>
      </c>
      <c r="O11" s="175">
        <f t="shared" si="2"/>
        <v>3.4023080401398107</v>
      </c>
      <c r="P11" s="180"/>
      <c r="Q11" s="173">
        <v>200</v>
      </c>
      <c r="R11" s="174">
        <v>1.35</v>
      </c>
      <c r="S11" s="174">
        <v>4.88</v>
      </c>
      <c r="T11" s="175">
        <f t="shared" si="3"/>
        <v>5.0632894446199694</v>
      </c>
      <c r="U11" s="164"/>
      <c r="V11" s="181">
        <v>22</v>
      </c>
      <c r="W11" s="182">
        <v>0.95299999999999996</v>
      </c>
      <c r="X11" s="182">
        <v>8.5800000000000001E-2</v>
      </c>
      <c r="Y11" s="164"/>
      <c r="Z11" s="181">
        <v>100</v>
      </c>
      <c r="AA11" s="182">
        <v>0.24</v>
      </c>
      <c r="AB11" s="182">
        <v>8.8300000000000003E-2</v>
      </c>
      <c r="AC11" s="165"/>
    </row>
    <row r="12" spans="1:29" s="3" customFormat="1" ht="12" customHeight="1">
      <c r="A12" s="164"/>
      <c r="B12" s="173">
        <v>300</v>
      </c>
      <c r="C12" s="174">
        <v>1.31</v>
      </c>
      <c r="D12" s="174">
        <v>3.7</v>
      </c>
      <c r="E12" s="175">
        <f t="shared" si="0"/>
        <v>3.9250605090877264</v>
      </c>
      <c r="F12" s="180"/>
      <c r="G12" s="173">
        <v>300</v>
      </c>
      <c r="H12" s="174">
        <v>1.1100000000000001</v>
      </c>
      <c r="I12" s="174">
        <v>4.99</v>
      </c>
      <c r="J12" s="175">
        <f t="shared" si="1"/>
        <v>5.1119663535668938</v>
      </c>
      <c r="K12" s="180"/>
      <c r="L12" s="173">
        <v>300</v>
      </c>
      <c r="M12" s="174">
        <v>1.29</v>
      </c>
      <c r="N12" s="174">
        <v>4.28</v>
      </c>
      <c r="O12" s="175">
        <f t="shared" si="2"/>
        <v>4.4701789673345296</v>
      </c>
      <c r="P12" s="180"/>
      <c r="Q12" s="173">
        <v>300</v>
      </c>
      <c r="R12" s="174">
        <v>1.1100000000000001</v>
      </c>
      <c r="S12" s="174">
        <v>4.99</v>
      </c>
      <c r="T12" s="175">
        <f t="shared" si="3"/>
        <v>5.1119663535668938</v>
      </c>
      <c r="U12" s="164"/>
      <c r="V12" s="181">
        <v>38</v>
      </c>
      <c r="W12" s="182">
        <v>0.56299999999999994</v>
      </c>
      <c r="X12" s="182">
        <v>7.6100000000000001E-2</v>
      </c>
      <c r="Y12" s="164"/>
      <c r="Z12" s="181">
        <v>150</v>
      </c>
      <c r="AA12" s="182">
        <v>0.159</v>
      </c>
      <c r="AB12" s="182">
        <v>8.3900000000000002E-2</v>
      </c>
      <c r="AC12" s="165"/>
    </row>
    <row r="13" spans="1:29" s="3" customFormat="1" ht="12" customHeight="1">
      <c r="A13" s="164"/>
      <c r="B13" s="173">
        <v>500</v>
      </c>
      <c r="C13" s="174">
        <v>1.1100000000000001</v>
      </c>
      <c r="D13" s="174">
        <v>4.1100000000000003</v>
      </c>
      <c r="E13" s="175">
        <f t="shared" si="0"/>
        <v>4.2572526352097082</v>
      </c>
      <c r="F13" s="180"/>
      <c r="G13" s="173"/>
      <c r="H13" s="174"/>
      <c r="I13" s="174"/>
      <c r="J13" s="175" t="str">
        <f t="shared" si="1"/>
        <v/>
      </c>
      <c r="K13" s="180"/>
      <c r="L13" s="173">
        <v>500</v>
      </c>
      <c r="M13" s="174">
        <v>1.1000000000000001</v>
      </c>
      <c r="N13" s="174">
        <v>4.75</v>
      </c>
      <c r="O13" s="175">
        <f t="shared" si="2"/>
        <v>4.8757050772170381</v>
      </c>
      <c r="P13" s="180"/>
      <c r="Q13" s="173"/>
      <c r="R13" s="174"/>
      <c r="S13" s="174"/>
      <c r="T13" s="175" t="str">
        <f t="shared" si="3"/>
        <v/>
      </c>
      <c r="U13" s="164"/>
      <c r="V13" s="181">
        <v>60</v>
      </c>
      <c r="W13" s="182">
        <v>0.35099999999999998</v>
      </c>
      <c r="X13" s="182">
        <v>7.8600000000000003E-2</v>
      </c>
      <c r="Y13" s="164"/>
      <c r="Z13" s="181">
        <v>200</v>
      </c>
      <c r="AA13" s="182">
        <v>0.121</v>
      </c>
      <c r="AB13" s="182">
        <v>8.4500000000000006E-2</v>
      </c>
      <c r="AC13" s="165"/>
    </row>
    <row r="14" spans="1:29" s="3" customFormat="1" ht="12" customHeight="1">
      <c r="A14" s="164"/>
      <c r="B14" s="173"/>
      <c r="C14" s="174"/>
      <c r="D14" s="174"/>
      <c r="E14" s="175" t="str">
        <f t="shared" si="0"/>
        <v/>
      </c>
      <c r="F14" s="180"/>
      <c r="G14" s="173"/>
      <c r="H14" s="174"/>
      <c r="I14" s="174"/>
      <c r="J14" s="175" t="str">
        <f t="shared" si="1"/>
        <v/>
      </c>
      <c r="K14" s="180"/>
      <c r="L14" s="173"/>
      <c r="M14" s="174"/>
      <c r="N14" s="174"/>
      <c r="O14" s="175" t="str">
        <f t="shared" si="2"/>
        <v/>
      </c>
      <c r="P14" s="180"/>
      <c r="Q14" s="173"/>
      <c r="R14" s="174"/>
      <c r="S14" s="174"/>
      <c r="T14" s="175" t="str">
        <f t="shared" si="3"/>
        <v/>
      </c>
      <c r="U14" s="164"/>
      <c r="V14" s="181">
        <v>100</v>
      </c>
      <c r="W14" s="182">
        <v>0.20899999999999999</v>
      </c>
      <c r="X14" s="182">
        <v>7.6100000000000001E-2</v>
      </c>
      <c r="Y14" s="164"/>
      <c r="Z14" s="181">
        <v>250</v>
      </c>
      <c r="AA14" s="182">
        <v>9.8100000000000007E-2</v>
      </c>
      <c r="AB14" s="182">
        <v>8.2600000000000007E-2</v>
      </c>
      <c r="AC14" s="165"/>
    </row>
    <row r="15" spans="1:29" s="3" customFormat="1" ht="12" customHeight="1">
      <c r="A15" s="164"/>
      <c r="B15" s="173"/>
      <c r="C15" s="174"/>
      <c r="D15" s="174"/>
      <c r="E15" s="175" t="str">
        <f t="shared" si="0"/>
        <v/>
      </c>
      <c r="F15" s="180"/>
      <c r="G15" s="173"/>
      <c r="H15" s="174"/>
      <c r="I15" s="174"/>
      <c r="J15" s="175" t="str">
        <f t="shared" si="1"/>
        <v/>
      </c>
      <c r="K15" s="180"/>
      <c r="L15" s="173"/>
      <c r="M15" s="174"/>
      <c r="N15" s="174"/>
      <c r="O15" s="175" t="str">
        <f t="shared" si="2"/>
        <v/>
      </c>
      <c r="P15" s="180"/>
      <c r="Q15" s="173"/>
      <c r="R15" s="174"/>
      <c r="S15" s="174"/>
      <c r="T15" s="175" t="str">
        <f t="shared" si="3"/>
        <v/>
      </c>
      <c r="U15" s="164"/>
      <c r="V15" s="181">
        <v>150</v>
      </c>
      <c r="W15" s="182">
        <v>0.13700000000000001</v>
      </c>
      <c r="X15" s="182">
        <v>7.4399999999999994E-2</v>
      </c>
      <c r="Y15" s="164"/>
      <c r="Z15" s="181">
        <v>325</v>
      </c>
      <c r="AA15" s="182">
        <v>7.6499999999999999E-2</v>
      </c>
      <c r="AB15" s="182">
        <v>8.0699999999999994E-2</v>
      </c>
      <c r="AC15" s="165"/>
    </row>
    <row r="16" spans="1:29" s="3" customFormat="1" ht="12" customHeight="1">
      <c r="A16" s="164"/>
      <c r="B16" s="173"/>
      <c r="C16" s="174"/>
      <c r="D16" s="174"/>
      <c r="E16" s="175" t="str">
        <f t="shared" si="0"/>
        <v/>
      </c>
      <c r="F16" s="180"/>
      <c r="G16" s="173"/>
      <c r="H16" s="174"/>
      <c r="I16" s="174"/>
      <c r="J16" s="175" t="str">
        <f t="shared" si="1"/>
        <v/>
      </c>
      <c r="K16" s="180"/>
      <c r="L16" s="173"/>
      <c r="M16" s="174"/>
      <c r="N16" s="174"/>
      <c r="O16" s="175" t="str">
        <f t="shared" si="2"/>
        <v/>
      </c>
      <c r="P16" s="180"/>
      <c r="Q16" s="173"/>
      <c r="R16" s="174"/>
      <c r="S16" s="174"/>
      <c r="T16" s="175" t="str">
        <f t="shared" si="3"/>
        <v/>
      </c>
      <c r="U16" s="164"/>
      <c r="V16" s="181">
        <v>200</v>
      </c>
      <c r="W16" s="182">
        <v>0.107</v>
      </c>
      <c r="X16" s="182">
        <v>7.3999999999999996E-2</v>
      </c>
      <c r="Y16" s="164"/>
      <c r="Z16" s="181">
        <v>400</v>
      </c>
      <c r="AA16" s="182">
        <v>6.3399999999999998E-2</v>
      </c>
      <c r="AB16" s="182">
        <v>7.9200000000000007E-2</v>
      </c>
      <c r="AC16" s="165"/>
    </row>
    <row r="17" spans="1:29" s="3" customFormat="1" ht="12" customHeight="1">
      <c r="A17" s="164"/>
      <c r="B17" s="180"/>
      <c r="C17" s="180"/>
      <c r="D17" s="180"/>
      <c r="E17" s="180"/>
      <c r="F17" s="180"/>
      <c r="G17" s="180"/>
      <c r="H17" s="180"/>
      <c r="I17" s="180"/>
      <c r="J17" s="180"/>
      <c r="K17" s="180"/>
      <c r="L17" s="180"/>
      <c r="M17" s="180"/>
      <c r="N17" s="180"/>
      <c r="O17" s="180"/>
      <c r="P17" s="180"/>
      <c r="Q17" s="180"/>
      <c r="R17" s="180"/>
      <c r="S17" s="180"/>
      <c r="T17" s="180"/>
      <c r="U17" s="164"/>
      <c r="V17" s="181">
        <v>250</v>
      </c>
      <c r="W17" s="182">
        <v>8.4000000000000005E-2</v>
      </c>
      <c r="X17" s="182">
        <v>7.2400000000000006E-2</v>
      </c>
      <c r="Y17" s="164"/>
      <c r="Z17" s="181">
        <v>500</v>
      </c>
      <c r="AA17" s="182">
        <v>5.1999999999999998E-2</v>
      </c>
      <c r="AB17" s="182">
        <v>7.9500000000000001E-2</v>
      </c>
      <c r="AC17" s="165"/>
    </row>
    <row r="18" spans="1:29" s="3" customFormat="1" ht="12" customHeight="1">
      <c r="A18" s="164"/>
      <c r="B18" s="166" t="s">
        <v>86</v>
      </c>
      <c r="C18" s="400" t="s">
        <v>104</v>
      </c>
      <c r="D18" s="400"/>
      <c r="E18" s="167"/>
      <c r="F18" s="180"/>
      <c r="G18" s="166" t="s">
        <v>86</v>
      </c>
      <c r="H18" s="400" t="s">
        <v>105</v>
      </c>
      <c r="I18" s="400"/>
      <c r="J18" s="167"/>
      <c r="K18" s="180"/>
      <c r="L18" s="166" t="s">
        <v>86</v>
      </c>
      <c r="M18" s="400" t="s">
        <v>106</v>
      </c>
      <c r="N18" s="400"/>
      <c r="O18" s="167"/>
      <c r="P18" s="180"/>
      <c r="Q18" s="166" t="s">
        <v>86</v>
      </c>
      <c r="R18" s="400" t="s">
        <v>107</v>
      </c>
      <c r="S18" s="400"/>
      <c r="T18" s="167"/>
      <c r="U18" s="164"/>
      <c r="V18" s="181">
        <v>325</v>
      </c>
      <c r="W18" s="182">
        <v>6.6600000000000006E-2</v>
      </c>
      <c r="X18" s="182">
        <v>7.1900000000000006E-2</v>
      </c>
      <c r="Y18" s="164"/>
      <c r="Z18" s="181">
        <v>600</v>
      </c>
      <c r="AA18" s="182">
        <v>4.48E-2</v>
      </c>
      <c r="AB18" s="182">
        <v>7.85E-2</v>
      </c>
      <c r="AC18" s="165"/>
    </row>
    <row r="19" spans="1:29" s="3" customFormat="1" ht="12" customHeight="1">
      <c r="A19" s="164"/>
      <c r="B19" s="169" t="s">
        <v>92</v>
      </c>
      <c r="C19" s="170" t="s">
        <v>93</v>
      </c>
      <c r="D19" s="170" t="s">
        <v>94</v>
      </c>
      <c r="E19" s="170" t="s">
        <v>95</v>
      </c>
      <c r="F19" s="180"/>
      <c r="G19" s="169" t="s">
        <v>92</v>
      </c>
      <c r="H19" s="170" t="s">
        <v>93</v>
      </c>
      <c r="I19" s="170" t="s">
        <v>94</v>
      </c>
      <c r="J19" s="170" t="s">
        <v>95</v>
      </c>
      <c r="K19" s="180"/>
      <c r="L19" s="169" t="s">
        <v>92</v>
      </c>
      <c r="M19" s="170" t="s">
        <v>93</v>
      </c>
      <c r="N19" s="170" t="s">
        <v>94</v>
      </c>
      <c r="O19" s="170" t="s">
        <v>95</v>
      </c>
      <c r="P19" s="180"/>
      <c r="Q19" s="169" t="s">
        <v>92</v>
      </c>
      <c r="R19" s="170" t="s">
        <v>93</v>
      </c>
      <c r="S19" s="170" t="s">
        <v>94</v>
      </c>
      <c r="T19" s="170" t="s">
        <v>95</v>
      </c>
      <c r="U19" s="164"/>
      <c r="V19" s="181"/>
      <c r="W19" s="182"/>
      <c r="X19" s="182"/>
      <c r="Y19" s="164"/>
      <c r="Z19" s="181"/>
      <c r="AA19" s="182"/>
      <c r="AB19" s="182"/>
      <c r="AC19" s="165"/>
    </row>
    <row r="20" spans="1:29" s="3" customFormat="1" ht="12" customHeight="1">
      <c r="A20" s="164"/>
      <c r="B20" s="173"/>
      <c r="C20" s="174"/>
      <c r="D20" s="174"/>
      <c r="E20" s="175" t="str">
        <f t="shared" ref="E20:E34" si="4">IF(D20="","",SQRT((C20^2)+(D20^2)))</f>
        <v/>
      </c>
      <c r="F20" s="180"/>
      <c r="G20" s="173"/>
      <c r="H20" s="174"/>
      <c r="I20" s="174"/>
      <c r="J20" s="175" t="str">
        <f t="shared" ref="J20:J34" si="5">IF(I20="","",SQRT((H20^2)+(I20^2)))</f>
        <v/>
      </c>
      <c r="K20" s="180"/>
      <c r="L20" s="173"/>
      <c r="M20" s="174"/>
      <c r="N20" s="174"/>
      <c r="O20" s="175" t="str">
        <f t="shared" ref="O20:O34" si="6">IF(N20="","",SQRT((M20^2)+(N20^2)))</f>
        <v/>
      </c>
      <c r="P20" s="180"/>
      <c r="Q20" s="173"/>
      <c r="R20" s="174"/>
      <c r="S20" s="174"/>
      <c r="T20" s="175" t="str">
        <f t="shared" ref="T20:T34" si="7">IF(S20="","",SQRT((R20^2)+(S20^2)))</f>
        <v/>
      </c>
      <c r="U20" s="164"/>
      <c r="V20" s="181"/>
      <c r="W20" s="182"/>
      <c r="X20" s="182"/>
      <c r="Y20" s="164"/>
      <c r="Z20" s="181"/>
      <c r="AA20" s="182"/>
      <c r="AB20" s="182"/>
      <c r="AC20" s="165"/>
    </row>
    <row r="21" spans="1:29" s="3" customFormat="1" ht="12" customHeight="1">
      <c r="A21" s="164"/>
      <c r="B21" s="173">
        <v>20</v>
      </c>
      <c r="C21" s="174">
        <v>2.14</v>
      </c>
      <c r="D21" s="174">
        <v>0.98</v>
      </c>
      <c r="E21" s="175">
        <f t="shared" si="4"/>
        <v>2.3537204591879641</v>
      </c>
      <c r="F21" s="180"/>
      <c r="G21" s="173">
        <v>20</v>
      </c>
      <c r="H21" s="174">
        <v>3.39</v>
      </c>
      <c r="I21" s="174">
        <v>2.82</v>
      </c>
      <c r="J21" s="175">
        <f t="shared" si="5"/>
        <v>4.409591817844368</v>
      </c>
      <c r="K21" s="180"/>
      <c r="L21" s="173">
        <v>20</v>
      </c>
      <c r="M21" s="174">
        <v>1.97</v>
      </c>
      <c r="N21" s="174">
        <v>1.01</v>
      </c>
      <c r="O21" s="175">
        <f t="shared" si="6"/>
        <v>2.213820227570432</v>
      </c>
      <c r="P21" s="180"/>
      <c r="Q21" s="173">
        <v>20</v>
      </c>
      <c r="R21" s="174">
        <v>3.16</v>
      </c>
      <c r="S21" s="174">
        <v>3.03</v>
      </c>
      <c r="T21" s="175">
        <f t="shared" si="7"/>
        <v>4.3779561441384951</v>
      </c>
      <c r="U21" s="164"/>
      <c r="V21" s="181"/>
      <c r="W21" s="182"/>
      <c r="X21" s="182"/>
      <c r="Y21" s="164"/>
      <c r="Z21" s="181"/>
      <c r="AA21" s="182"/>
      <c r="AB21" s="182"/>
      <c r="AC21" s="165"/>
    </row>
    <row r="22" spans="1:29" s="3" customFormat="1" ht="12" customHeight="1">
      <c r="A22" s="164"/>
      <c r="B22" s="173">
        <v>30</v>
      </c>
      <c r="C22" s="174">
        <v>1.91</v>
      </c>
      <c r="D22" s="174">
        <v>1.0900000000000001</v>
      </c>
      <c r="E22" s="175">
        <f t="shared" si="4"/>
        <v>2.1991361940543839</v>
      </c>
      <c r="F22" s="180"/>
      <c r="G22" s="173">
        <v>30</v>
      </c>
      <c r="H22" s="174">
        <v>2.83</v>
      </c>
      <c r="I22" s="174">
        <v>2.4900000000000002</v>
      </c>
      <c r="J22" s="175">
        <f t="shared" si="5"/>
        <v>3.7694827231332422</v>
      </c>
      <c r="K22" s="180"/>
      <c r="L22" s="173">
        <v>30</v>
      </c>
      <c r="M22" s="174">
        <v>1.78</v>
      </c>
      <c r="N22" s="174">
        <v>1.24</v>
      </c>
      <c r="O22" s="175">
        <f t="shared" si="6"/>
        <v>2.1693316943243142</v>
      </c>
      <c r="P22" s="180"/>
      <c r="Q22" s="173">
        <v>30</v>
      </c>
      <c r="R22" s="174">
        <v>2.84</v>
      </c>
      <c r="S22" s="174">
        <v>3.11</v>
      </c>
      <c r="T22" s="175">
        <f t="shared" si="7"/>
        <v>4.2116148921761587</v>
      </c>
      <c r="U22" s="164"/>
      <c r="V22" s="183"/>
      <c r="W22" s="184"/>
      <c r="X22" s="184"/>
      <c r="Y22" s="164"/>
      <c r="Z22" s="183"/>
      <c r="AA22" s="184"/>
      <c r="AB22" s="184"/>
      <c r="AC22" s="165"/>
    </row>
    <row r="23" spans="1:29" s="3" customFormat="1" ht="12" customHeight="1">
      <c r="A23" s="164"/>
      <c r="B23" s="173">
        <v>50</v>
      </c>
      <c r="C23" s="174">
        <v>1.81</v>
      </c>
      <c r="D23" s="174">
        <v>1.31</v>
      </c>
      <c r="E23" s="175">
        <f t="shared" si="4"/>
        <v>2.2343231637343779</v>
      </c>
      <c r="F23" s="180"/>
      <c r="G23" s="173">
        <v>50</v>
      </c>
      <c r="H23" s="174">
        <v>1.98</v>
      </c>
      <c r="I23" s="174">
        <v>3.1</v>
      </c>
      <c r="J23" s="175">
        <f t="shared" si="5"/>
        <v>3.6783692038728248</v>
      </c>
      <c r="K23" s="180"/>
      <c r="L23" s="173">
        <v>50</v>
      </c>
      <c r="M23" s="174">
        <v>1.7</v>
      </c>
      <c r="N23" s="174">
        <v>1.46</v>
      </c>
      <c r="O23" s="175">
        <f t="shared" si="6"/>
        <v>2.2408926792686881</v>
      </c>
      <c r="P23" s="180"/>
      <c r="Q23" s="173">
        <v>50</v>
      </c>
      <c r="R23" s="174">
        <v>1.93</v>
      </c>
      <c r="S23" s="174">
        <v>3.12</v>
      </c>
      <c r="T23" s="175">
        <f t="shared" si="7"/>
        <v>3.6686918649567724</v>
      </c>
      <c r="U23" s="164"/>
      <c r="V23" s="398" t="s">
        <v>108</v>
      </c>
      <c r="W23" s="399"/>
      <c r="X23" s="167"/>
      <c r="Y23" s="164"/>
      <c r="Z23" s="398" t="s">
        <v>109</v>
      </c>
      <c r="AA23" s="399"/>
      <c r="AB23" s="167" t="s">
        <v>110</v>
      </c>
      <c r="AC23" s="165"/>
    </row>
    <row r="24" spans="1:29" s="3" customFormat="1" ht="12" customHeight="1">
      <c r="A24" s="164"/>
      <c r="B24" s="173">
        <v>75</v>
      </c>
      <c r="C24" s="174">
        <v>1.78</v>
      </c>
      <c r="D24" s="174">
        <v>1.73</v>
      </c>
      <c r="E24" s="175">
        <f t="shared" si="4"/>
        <v>2.4821966078455593</v>
      </c>
      <c r="F24" s="180"/>
      <c r="G24" s="173">
        <v>75</v>
      </c>
      <c r="H24" s="174">
        <v>1.7</v>
      </c>
      <c r="I24" s="174">
        <v>3.6</v>
      </c>
      <c r="J24" s="175">
        <f t="shared" si="5"/>
        <v>3.981205847478877</v>
      </c>
      <c r="K24" s="180"/>
      <c r="L24" s="173">
        <v>75</v>
      </c>
      <c r="M24" s="174">
        <v>1.64</v>
      </c>
      <c r="N24" s="174">
        <v>1.93</v>
      </c>
      <c r="O24" s="175">
        <f t="shared" si="6"/>
        <v>2.5326863208853951</v>
      </c>
      <c r="P24" s="180"/>
      <c r="Q24" s="173">
        <v>75</v>
      </c>
      <c r="R24" s="174">
        <v>1.66</v>
      </c>
      <c r="S24" s="174">
        <v>4.17</v>
      </c>
      <c r="T24" s="175">
        <f t="shared" si="7"/>
        <v>4.4882624700433906</v>
      </c>
      <c r="U24" s="164"/>
      <c r="V24" s="172" t="s">
        <v>96</v>
      </c>
      <c r="W24" s="172" t="s">
        <v>97</v>
      </c>
      <c r="X24" s="172" t="s">
        <v>98</v>
      </c>
      <c r="Y24" s="164"/>
      <c r="Z24" s="172" t="s">
        <v>96</v>
      </c>
      <c r="AA24" s="172" t="s">
        <v>97</v>
      </c>
      <c r="AB24" s="172" t="s">
        <v>98</v>
      </c>
      <c r="AC24" s="165"/>
    </row>
    <row r="25" spans="1:29" s="3" customFormat="1" ht="12" customHeight="1">
      <c r="A25" s="164"/>
      <c r="B25" s="173">
        <v>100</v>
      </c>
      <c r="C25" s="174">
        <v>1.73</v>
      </c>
      <c r="D25" s="174">
        <v>1.74</v>
      </c>
      <c r="E25" s="175">
        <f t="shared" si="4"/>
        <v>2.4536707195546841</v>
      </c>
      <c r="F25" s="180"/>
      <c r="G25" s="173">
        <v>100</v>
      </c>
      <c r="H25" s="174">
        <v>1.87</v>
      </c>
      <c r="I25" s="174">
        <v>3.83</v>
      </c>
      <c r="J25" s="175">
        <f t="shared" si="5"/>
        <v>4.2621356149235794</v>
      </c>
      <c r="K25" s="180"/>
      <c r="L25" s="173">
        <v>100</v>
      </c>
      <c r="M25" s="174">
        <v>1.6</v>
      </c>
      <c r="N25" s="174">
        <v>1.93</v>
      </c>
      <c r="O25" s="175">
        <f t="shared" si="6"/>
        <v>2.5069702830308938</v>
      </c>
      <c r="P25" s="180"/>
      <c r="Q25" s="173">
        <v>100</v>
      </c>
      <c r="R25" s="174">
        <v>1.91</v>
      </c>
      <c r="S25" s="174">
        <v>4.4000000000000004</v>
      </c>
      <c r="T25" s="175">
        <f t="shared" si="7"/>
        <v>4.7966759323514863</v>
      </c>
      <c r="U25" s="164"/>
      <c r="V25" s="171" t="s">
        <v>99</v>
      </c>
      <c r="W25" s="177" t="s">
        <v>102</v>
      </c>
      <c r="X25" s="177" t="s">
        <v>101</v>
      </c>
      <c r="Y25" s="164"/>
      <c r="Z25" s="171" t="s">
        <v>99</v>
      </c>
      <c r="AA25" s="177" t="s">
        <v>102</v>
      </c>
      <c r="AB25" s="177" t="s">
        <v>101</v>
      </c>
      <c r="AC25" s="165"/>
    </row>
    <row r="26" spans="1:29" s="3" customFormat="1" ht="12" customHeight="1">
      <c r="A26" s="164"/>
      <c r="B26" s="173">
        <v>150</v>
      </c>
      <c r="C26" s="174">
        <v>1.61</v>
      </c>
      <c r="D26" s="174">
        <v>1.91</v>
      </c>
      <c r="E26" s="175">
        <f t="shared" si="4"/>
        <v>2.4980392310770463</v>
      </c>
      <c r="F26" s="180"/>
      <c r="G26" s="173">
        <v>150</v>
      </c>
      <c r="H26" s="174">
        <v>1.57</v>
      </c>
      <c r="I26" s="174">
        <v>3.93</v>
      </c>
      <c r="J26" s="175">
        <f t="shared" si="5"/>
        <v>4.2319971644602976</v>
      </c>
      <c r="K26" s="180"/>
      <c r="L26" s="173">
        <v>150</v>
      </c>
      <c r="M26" s="174">
        <v>1.5</v>
      </c>
      <c r="N26" s="174">
        <v>2.12</v>
      </c>
      <c r="O26" s="175">
        <f t="shared" si="6"/>
        <v>2.5969982672308429</v>
      </c>
      <c r="P26" s="180"/>
      <c r="Q26" s="173">
        <v>150</v>
      </c>
      <c r="R26" s="174">
        <v>1.56</v>
      </c>
      <c r="S26" s="174">
        <v>4.6900000000000004</v>
      </c>
      <c r="T26" s="175">
        <f t="shared" si="7"/>
        <v>4.9426409944482117</v>
      </c>
      <c r="U26" s="164"/>
      <c r="V26" s="178"/>
      <c r="W26" s="179" t="s">
        <v>103</v>
      </c>
      <c r="X26" s="179" t="s">
        <v>103</v>
      </c>
      <c r="Y26" s="164"/>
      <c r="Z26" s="178"/>
      <c r="AA26" s="179" t="s">
        <v>103</v>
      </c>
      <c r="AB26" s="179" t="s">
        <v>103</v>
      </c>
      <c r="AC26" s="165"/>
    </row>
    <row r="27" spans="1:29" s="3" customFormat="1" ht="12" customHeight="1">
      <c r="A27" s="164"/>
      <c r="B27" s="173">
        <v>200</v>
      </c>
      <c r="C27" s="174">
        <v>1.63</v>
      </c>
      <c r="D27" s="174">
        <v>2.6</v>
      </c>
      <c r="E27" s="175">
        <f t="shared" si="4"/>
        <v>3.0686967917994115</v>
      </c>
      <c r="F27" s="180"/>
      <c r="G27" s="173">
        <v>200</v>
      </c>
      <c r="H27" s="174">
        <v>1.49</v>
      </c>
      <c r="I27" s="174">
        <v>4.3499999999999996</v>
      </c>
      <c r="J27" s="175">
        <f t="shared" si="5"/>
        <v>4.5981083066843906</v>
      </c>
      <c r="K27" s="180"/>
      <c r="L27" s="173">
        <v>200</v>
      </c>
      <c r="M27" s="174">
        <v>1.53</v>
      </c>
      <c r="N27" s="174">
        <v>2.9</v>
      </c>
      <c r="O27" s="175">
        <f t="shared" si="6"/>
        <v>3.2788565079917724</v>
      </c>
      <c r="P27" s="180"/>
      <c r="Q27" s="173">
        <v>200</v>
      </c>
      <c r="R27" s="174">
        <v>1.44</v>
      </c>
      <c r="S27" s="174">
        <v>4.88</v>
      </c>
      <c r="T27" s="175">
        <f t="shared" si="7"/>
        <v>5.0880251571705104</v>
      </c>
      <c r="U27" s="164"/>
      <c r="V27" s="181">
        <v>2</v>
      </c>
      <c r="W27" s="182">
        <v>12</v>
      </c>
      <c r="X27" s="182">
        <v>9.9199999999999997E-2</v>
      </c>
      <c r="Y27" s="164"/>
      <c r="Z27" s="181">
        <v>2</v>
      </c>
      <c r="AA27" s="182"/>
      <c r="AB27" s="182"/>
      <c r="AC27" s="165"/>
    </row>
    <row r="28" spans="1:29" s="3" customFormat="1" ht="12" customHeight="1">
      <c r="A28" s="164"/>
      <c r="B28" s="173">
        <v>300</v>
      </c>
      <c r="C28" s="174">
        <v>1.5</v>
      </c>
      <c r="D28" s="174">
        <v>2.82</v>
      </c>
      <c r="E28" s="175">
        <f t="shared" si="4"/>
        <v>3.1941195970094793</v>
      </c>
      <c r="F28" s="180"/>
      <c r="G28" s="173">
        <v>300</v>
      </c>
      <c r="H28" s="174">
        <v>1.44</v>
      </c>
      <c r="I28" s="174">
        <v>4.43</v>
      </c>
      <c r="J28" s="175">
        <f t="shared" si="5"/>
        <v>4.658164874711928</v>
      </c>
      <c r="K28" s="180"/>
      <c r="L28" s="173">
        <v>300</v>
      </c>
      <c r="M28" s="174">
        <v>1.41</v>
      </c>
      <c r="N28" s="174">
        <v>3.26</v>
      </c>
      <c r="O28" s="175">
        <f t="shared" si="6"/>
        <v>3.5518586683594267</v>
      </c>
      <c r="P28" s="180"/>
      <c r="Q28" s="173">
        <v>300</v>
      </c>
      <c r="R28" s="174">
        <v>1.34</v>
      </c>
      <c r="S28" s="174">
        <v>5.07</v>
      </c>
      <c r="T28" s="175">
        <f t="shared" si="7"/>
        <v>5.2440919137635262</v>
      </c>
      <c r="U28" s="164"/>
      <c r="V28" s="181">
        <v>3.5</v>
      </c>
      <c r="W28" s="182">
        <v>6.76</v>
      </c>
      <c r="X28" s="182">
        <v>9.1399999999999995E-2</v>
      </c>
      <c r="Y28" s="164"/>
      <c r="Z28" s="181">
        <v>3.5</v>
      </c>
      <c r="AA28" s="182"/>
      <c r="AB28" s="182"/>
      <c r="AC28" s="165"/>
    </row>
    <row r="29" spans="1:29" s="3" customFormat="1" ht="12" customHeight="1">
      <c r="A29" s="164"/>
      <c r="B29" s="173">
        <v>500</v>
      </c>
      <c r="C29" s="174">
        <v>1.25</v>
      </c>
      <c r="D29" s="174">
        <v>4.0599999999999996</v>
      </c>
      <c r="E29" s="175">
        <f t="shared" si="4"/>
        <v>4.2480701500799158</v>
      </c>
      <c r="F29" s="180"/>
      <c r="G29" s="173">
        <v>500</v>
      </c>
      <c r="H29" s="174">
        <v>1.07</v>
      </c>
      <c r="I29" s="174">
        <v>4.09</v>
      </c>
      <c r="J29" s="175">
        <f t="shared" si="5"/>
        <v>4.2276470997470916</v>
      </c>
      <c r="K29" s="180"/>
      <c r="L29" s="173">
        <v>500</v>
      </c>
      <c r="M29" s="174">
        <v>1.18</v>
      </c>
      <c r="N29" s="174">
        <v>4.6100000000000003</v>
      </c>
      <c r="O29" s="175">
        <f t="shared" si="6"/>
        <v>4.7586237506237037</v>
      </c>
      <c r="P29" s="180"/>
      <c r="Q29" s="173">
        <v>500</v>
      </c>
      <c r="R29" s="174">
        <v>1.06</v>
      </c>
      <c r="S29" s="174">
        <v>5.47</v>
      </c>
      <c r="T29" s="175">
        <f t="shared" si="7"/>
        <v>5.5717591477019175</v>
      </c>
      <c r="U29" s="164"/>
      <c r="V29" s="181">
        <v>5.5</v>
      </c>
      <c r="W29" s="182">
        <v>4.34</v>
      </c>
      <c r="X29" s="182">
        <v>9.1399999999999995E-2</v>
      </c>
      <c r="Y29" s="164"/>
      <c r="Z29" s="181">
        <v>5.5</v>
      </c>
      <c r="AA29" s="182"/>
      <c r="AB29" s="182"/>
      <c r="AC29" s="165"/>
    </row>
    <row r="30" spans="1:29" s="3" customFormat="1" ht="12" customHeight="1">
      <c r="A30" s="164"/>
      <c r="B30" s="173">
        <v>750</v>
      </c>
      <c r="C30" s="174">
        <v>1.31</v>
      </c>
      <c r="D30" s="174">
        <v>4.92</v>
      </c>
      <c r="E30" s="175">
        <f t="shared" si="4"/>
        <v>5.0914143418111237</v>
      </c>
      <c r="F30" s="180"/>
      <c r="G30" s="173"/>
      <c r="H30" s="174"/>
      <c r="I30" s="174"/>
      <c r="J30" s="175" t="str">
        <f t="shared" si="5"/>
        <v/>
      </c>
      <c r="K30" s="180"/>
      <c r="L30" s="173">
        <v>750</v>
      </c>
      <c r="M30" s="174">
        <v>1.24</v>
      </c>
      <c r="N30" s="174">
        <v>5.35</v>
      </c>
      <c r="O30" s="175">
        <f t="shared" si="6"/>
        <v>5.4918211915538544</v>
      </c>
      <c r="P30" s="180"/>
      <c r="Q30" s="173"/>
      <c r="R30" s="174"/>
      <c r="S30" s="174"/>
      <c r="T30" s="175" t="str">
        <f t="shared" si="7"/>
        <v/>
      </c>
      <c r="U30" s="164"/>
      <c r="V30" s="181">
        <v>8</v>
      </c>
      <c r="W30" s="182">
        <v>3.01</v>
      </c>
      <c r="X30" s="182">
        <v>8.6999999999999994E-2</v>
      </c>
      <c r="Y30" s="164"/>
      <c r="Z30" s="181">
        <v>8</v>
      </c>
      <c r="AA30" s="182"/>
      <c r="AB30" s="182"/>
      <c r="AC30" s="165"/>
    </row>
    <row r="31" spans="1:29" s="3" customFormat="1" ht="12" customHeight="1">
      <c r="A31" s="164"/>
      <c r="B31" s="173">
        <v>1000</v>
      </c>
      <c r="C31" s="174">
        <v>1.19</v>
      </c>
      <c r="D31" s="174">
        <v>5.0199999999999996</v>
      </c>
      <c r="E31" s="175">
        <f t="shared" si="4"/>
        <v>5.159118141698249</v>
      </c>
      <c r="F31" s="180"/>
      <c r="G31" s="173"/>
      <c r="H31" s="174"/>
      <c r="I31" s="174"/>
      <c r="J31" s="175" t="str">
        <f t="shared" si="5"/>
        <v/>
      </c>
      <c r="K31" s="180"/>
      <c r="L31" s="173">
        <v>1000</v>
      </c>
      <c r="M31" s="174">
        <v>1.1200000000000001</v>
      </c>
      <c r="N31" s="174">
        <v>5.68</v>
      </c>
      <c r="O31" s="175">
        <f t="shared" si="6"/>
        <v>5.7893695684418001</v>
      </c>
      <c r="P31" s="180"/>
      <c r="Q31" s="173"/>
      <c r="R31" s="174"/>
      <c r="S31" s="174"/>
      <c r="T31" s="175" t="str">
        <f t="shared" si="7"/>
        <v/>
      </c>
      <c r="U31" s="164"/>
      <c r="V31" s="181">
        <v>14</v>
      </c>
      <c r="W31" s="182">
        <v>1.71</v>
      </c>
      <c r="X31" s="182">
        <v>8.2799999999999999E-2</v>
      </c>
      <c r="Y31" s="164"/>
      <c r="Z31" s="181">
        <v>14</v>
      </c>
      <c r="AA31" s="182"/>
      <c r="AB31" s="182"/>
      <c r="AC31" s="165"/>
    </row>
    <row r="32" spans="1:29" s="3" customFormat="1" ht="12" customHeight="1">
      <c r="A32" s="164"/>
      <c r="B32" s="173">
        <v>1500</v>
      </c>
      <c r="C32" s="174"/>
      <c r="D32" s="174"/>
      <c r="E32" s="175" t="str">
        <f t="shared" si="4"/>
        <v/>
      </c>
      <c r="F32" s="180"/>
      <c r="G32" s="173"/>
      <c r="H32" s="174"/>
      <c r="I32" s="174"/>
      <c r="J32" s="175" t="str">
        <f t="shared" si="5"/>
        <v/>
      </c>
      <c r="K32" s="180"/>
      <c r="L32" s="173">
        <v>1500</v>
      </c>
      <c r="M32" s="174">
        <v>1</v>
      </c>
      <c r="N32" s="174">
        <v>6</v>
      </c>
      <c r="O32" s="175">
        <f t="shared" si="6"/>
        <v>6.0827625302982193</v>
      </c>
      <c r="P32" s="180"/>
      <c r="Q32" s="173"/>
      <c r="R32" s="174"/>
      <c r="S32" s="174"/>
      <c r="T32" s="175" t="str">
        <f t="shared" si="7"/>
        <v/>
      </c>
      <c r="U32" s="164"/>
      <c r="V32" s="181">
        <v>22</v>
      </c>
      <c r="W32" s="182">
        <v>1.08</v>
      </c>
      <c r="X32" s="182">
        <v>8.2000000000000003E-2</v>
      </c>
      <c r="Y32" s="164"/>
      <c r="Z32" s="181">
        <v>22</v>
      </c>
      <c r="AA32" s="182"/>
      <c r="AB32" s="182"/>
      <c r="AC32" s="165"/>
    </row>
    <row r="33" spans="1:29" s="3" customFormat="1" ht="12" customHeight="1">
      <c r="A33" s="164"/>
      <c r="B33" s="173">
        <v>15000</v>
      </c>
      <c r="C33" s="174"/>
      <c r="D33" s="174"/>
      <c r="E33" s="175" t="str">
        <f t="shared" si="4"/>
        <v/>
      </c>
      <c r="F33" s="176"/>
      <c r="G33" s="173"/>
      <c r="H33" s="174"/>
      <c r="I33" s="174"/>
      <c r="J33" s="175" t="str">
        <f t="shared" si="5"/>
        <v/>
      </c>
      <c r="K33" s="176"/>
      <c r="L33" s="173">
        <v>15000</v>
      </c>
      <c r="M33" s="174"/>
      <c r="N33" s="174">
        <v>9</v>
      </c>
      <c r="O33" s="175">
        <f t="shared" si="6"/>
        <v>9</v>
      </c>
      <c r="P33" s="176"/>
      <c r="Q33" s="173"/>
      <c r="R33" s="174"/>
      <c r="S33" s="174"/>
      <c r="T33" s="175" t="str">
        <f t="shared" si="7"/>
        <v/>
      </c>
      <c r="U33" s="164"/>
      <c r="V33" s="181">
        <v>38</v>
      </c>
      <c r="W33" s="182">
        <v>0.626</v>
      </c>
      <c r="X33" s="182">
        <v>7.7100000000000002E-2</v>
      </c>
      <c r="Y33" s="164"/>
      <c r="Z33" s="181">
        <v>38</v>
      </c>
      <c r="AA33" s="182"/>
      <c r="AB33" s="182"/>
      <c r="AC33" s="165"/>
    </row>
    <row r="34" spans="1:29" s="3" customFormat="1" ht="12" customHeight="1">
      <c r="A34" s="164"/>
      <c r="B34" s="173"/>
      <c r="C34" s="174"/>
      <c r="D34" s="174"/>
      <c r="E34" s="175" t="str">
        <f t="shared" si="4"/>
        <v/>
      </c>
      <c r="F34" s="176"/>
      <c r="G34" s="173"/>
      <c r="H34" s="174"/>
      <c r="I34" s="174"/>
      <c r="J34" s="175" t="str">
        <f t="shared" si="5"/>
        <v/>
      </c>
      <c r="K34" s="176"/>
      <c r="L34" s="173"/>
      <c r="M34" s="174"/>
      <c r="N34" s="174"/>
      <c r="O34" s="175" t="str">
        <f t="shared" si="6"/>
        <v/>
      </c>
      <c r="P34" s="176"/>
      <c r="Q34" s="173"/>
      <c r="R34" s="174"/>
      <c r="S34" s="174"/>
      <c r="T34" s="175" t="str">
        <f t="shared" si="7"/>
        <v/>
      </c>
      <c r="U34" s="164"/>
      <c r="V34" s="181">
        <v>60</v>
      </c>
      <c r="W34" s="182">
        <v>0.39700000000000002</v>
      </c>
      <c r="X34" s="182">
        <v>7.7299999999999994E-2</v>
      </c>
      <c r="Y34" s="164"/>
      <c r="Z34" s="181">
        <v>60</v>
      </c>
      <c r="AA34" s="182"/>
      <c r="AB34" s="182"/>
      <c r="AC34" s="165"/>
    </row>
    <row r="35" spans="1:29" s="3" customFormat="1" ht="12" customHeight="1">
      <c r="A35" s="164"/>
      <c r="B35" s="176"/>
      <c r="C35" s="176"/>
      <c r="D35" s="176"/>
      <c r="E35" s="176"/>
      <c r="F35" s="176"/>
      <c r="G35" s="176"/>
      <c r="H35" s="176"/>
      <c r="I35" s="176"/>
      <c r="J35" s="176"/>
      <c r="K35" s="176"/>
      <c r="L35" s="176"/>
      <c r="M35" s="176"/>
      <c r="N35" s="176"/>
      <c r="O35" s="176"/>
      <c r="P35" s="176"/>
      <c r="Q35" s="176"/>
      <c r="R35" s="176"/>
      <c r="S35" s="176"/>
      <c r="T35" s="176"/>
      <c r="U35" s="176"/>
      <c r="V35" s="181">
        <v>100</v>
      </c>
      <c r="W35" s="182">
        <v>0.24</v>
      </c>
      <c r="X35" s="182">
        <v>7.7700000000000005E-2</v>
      </c>
      <c r="Y35" s="164"/>
      <c r="Z35" s="181">
        <v>100</v>
      </c>
      <c r="AA35" s="182"/>
      <c r="AB35" s="182"/>
      <c r="AC35" s="165"/>
    </row>
    <row r="36" spans="1:29" s="3" customFormat="1" ht="12" customHeight="1">
      <c r="A36" s="164"/>
      <c r="B36" s="166" t="s">
        <v>86</v>
      </c>
      <c r="C36" s="400" t="s">
        <v>111</v>
      </c>
      <c r="D36" s="400"/>
      <c r="E36" s="167" t="s">
        <v>110</v>
      </c>
      <c r="F36" s="176"/>
      <c r="G36" s="166" t="s">
        <v>115</v>
      </c>
      <c r="H36" s="400" t="s">
        <v>111</v>
      </c>
      <c r="I36" s="400"/>
      <c r="J36" s="167" t="s">
        <v>110</v>
      </c>
      <c r="K36" s="176"/>
      <c r="L36" s="176"/>
      <c r="M36" s="176"/>
      <c r="N36" s="176"/>
      <c r="O36" s="176"/>
      <c r="P36" s="176"/>
      <c r="Q36" s="176"/>
      <c r="R36" s="176"/>
      <c r="S36" s="176"/>
      <c r="T36" s="176"/>
      <c r="U36" s="176"/>
      <c r="V36" s="181">
        <v>150</v>
      </c>
      <c r="W36" s="182">
        <v>0.159</v>
      </c>
      <c r="X36" s="182">
        <v>7.4700000000000003E-2</v>
      </c>
      <c r="Y36" s="164"/>
      <c r="Z36" s="181">
        <v>150</v>
      </c>
      <c r="AA36" s="182"/>
      <c r="AB36" s="182"/>
      <c r="AC36" s="165"/>
    </row>
    <row r="37" spans="1:29" s="3" customFormat="1" ht="12" customHeight="1">
      <c r="A37" s="164"/>
      <c r="B37" s="169" t="s">
        <v>92</v>
      </c>
      <c r="C37" s="170" t="s">
        <v>93</v>
      </c>
      <c r="D37" s="170" t="s">
        <v>94</v>
      </c>
      <c r="E37" s="170" t="s">
        <v>95</v>
      </c>
      <c r="F37" s="176"/>
      <c r="G37" s="169" t="s">
        <v>92</v>
      </c>
      <c r="H37" s="170" t="s">
        <v>93</v>
      </c>
      <c r="I37" s="170" t="s">
        <v>94</v>
      </c>
      <c r="J37" s="170" t="s">
        <v>95</v>
      </c>
      <c r="K37" s="176"/>
      <c r="L37" s="176"/>
      <c r="M37" s="176"/>
      <c r="N37" s="176"/>
      <c r="O37" s="176"/>
      <c r="P37" s="176"/>
      <c r="Q37" s="176"/>
      <c r="R37" s="176"/>
      <c r="S37" s="176"/>
      <c r="T37" s="176"/>
      <c r="U37" s="176"/>
      <c r="V37" s="181">
        <v>200</v>
      </c>
      <c r="W37" s="182">
        <v>0.121</v>
      </c>
      <c r="X37" s="182">
        <v>7.5700000000000003E-2</v>
      </c>
      <c r="Y37" s="164"/>
      <c r="Z37" s="181">
        <v>200</v>
      </c>
      <c r="AA37" s="182"/>
      <c r="AB37" s="182"/>
      <c r="AC37" s="165"/>
    </row>
    <row r="38" spans="1:29" s="3" customFormat="1" ht="12" customHeight="1">
      <c r="A38" s="164"/>
      <c r="B38" s="185"/>
      <c r="C38" s="174"/>
      <c r="D38" s="174"/>
      <c r="E38" s="175" t="str">
        <f t="shared" ref="E38:E52" si="8">IF(D38="","",SQRT((C38^2)+(D38^2)))</f>
        <v/>
      </c>
      <c r="F38" s="164"/>
      <c r="G38" s="190"/>
      <c r="H38" s="191"/>
      <c r="I38" s="191"/>
      <c r="J38" s="192" t="s">
        <v>114</v>
      </c>
      <c r="K38" s="164"/>
      <c r="L38" s="164"/>
      <c r="M38" s="164"/>
      <c r="N38" s="164"/>
      <c r="O38" s="164"/>
      <c r="P38" s="164"/>
      <c r="Q38" s="164"/>
      <c r="R38" s="164"/>
      <c r="S38" s="164"/>
      <c r="T38" s="164"/>
      <c r="U38" s="164"/>
      <c r="V38" s="181">
        <v>250</v>
      </c>
      <c r="W38" s="182">
        <v>9.8500000000000004E-2</v>
      </c>
      <c r="X38" s="182">
        <v>7.4200000000000002E-2</v>
      </c>
      <c r="Y38" s="164"/>
      <c r="Z38" s="181">
        <v>250</v>
      </c>
      <c r="AA38" s="182"/>
      <c r="AB38" s="182"/>
      <c r="AC38" s="165"/>
    </row>
    <row r="39" spans="1:29" s="3" customFormat="1" ht="12" customHeight="1">
      <c r="A39" s="164"/>
      <c r="B39" s="185"/>
      <c r="C39" s="174"/>
      <c r="D39" s="174"/>
      <c r="E39" s="175" t="str">
        <f t="shared" si="8"/>
        <v/>
      </c>
      <c r="F39" s="164"/>
      <c r="G39" s="190"/>
      <c r="H39" s="191"/>
      <c r="I39" s="191"/>
      <c r="J39" s="192" t="s">
        <v>114</v>
      </c>
      <c r="K39" s="164"/>
      <c r="L39" s="164"/>
      <c r="M39" s="164"/>
      <c r="N39" s="164"/>
      <c r="O39" s="164"/>
      <c r="P39" s="164"/>
      <c r="Q39" s="164"/>
      <c r="R39" s="164"/>
      <c r="S39" s="164"/>
      <c r="T39" s="164"/>
      <c r="U39" s="164"/>
      <c r="V39" s="181">
        <v>325</v>
      </c>
      <c r="W39" s="182">
        <v>7.7100000000000002E-2</v>
      </c>
      <c r="X39" s="182">
        <v>7.2499999999999995E-2</v>
      </c>
      <c r="Y39" s="164"/>
      <c r="Z39" s="181">
        <v>325</v>
      </c>
      <c r="AA39" s="182"/>
      <c r="AB39" s="182"/>
      <c r="AC39" s="165"/>
    </row>
    <row r="40" spans="1:29" s="3" customFormat="1" ht="12" customHeight="1">
      <c r="A40" s="164"/>
      <c r="B40" s="185"/>
      <c r="C40" s="174"/>
      <c r="D40" s="174"/>
      <c r="E40" s="175" t="str">
        <f t="shared" si="8"/>
        <v/>
      </c>
      <c r="F40" s="164"/>
      <c r="G40" s="190"/>
      <c r="H40" s="191"/>
      <c r="I40" s="191"/>
      <c r="J40" s="192" t="s">
        <v>114</v>
      </c>
      <c r="K40" s="164"/>
      <c r="L40" s="164"/>
      <c r="M40" s="164"/>
      <c r="N40" s="164"/>
      <c r="O40" s="164"/>
      <c r="P40" s="164"/>
      <c r="Q40" s="164"/>
      <c r="R40" s="164"/>
      <c r="S40" s="164"/>
      <c r="T40" s="164"/>
      <c r="U40" s="164"/>
      <c r="V40" s="181"/>
      <c r="W40" s="182"/>
      <c r="X40" s="182"/>
      <c r="Y40" s="164"/>
      <c r="Z40" s="181">
        <v>400</v>
      </c>
      <c r="AA40" s="182"/>
      <c r="AB40" s="182"/>
      <c r="AC40" s="165"/>
    </row>
    <row r="41" spans="1:29" s="3" customFormat="1" ht="12" customHeight="1">
      <c r="A41" s="164"/>
      <c r="B41" s="185"/>
      <c r="C41" s="174"/>
      <c r="D41" s="174"/>
      <c r="E41" s="175" t="str">
        <f t="shared" si="8"/>
        <v/>
      </c>
      <c r="F41" s="164"/>
      <c r="G41" s="190"/>
      <c r="H41" s="191"/>
      <c r="I41" s="191"/>
      <c r="J41" s="192" t="s">
        <v>114</v>
      </c>
      <c r="K41" s="164"/>
      <c r="L41" s="164"/>
      <c r="M41" s="164"/>
      <c r="N41" s="164"/>
      <c r="O41" s="164"/>
      <c r="P41" s="164"/>
      <c r="Q41" s="164"/>
      <c r="R41" s="164"/>
      <c r="S41" s="164"/>
      <c r="T41" s="164"/>
      <c r="U41" s="164"/>
      <c r="V41" s="181"/>
      <c r="W41" s="182"/>
      <c r="X41" s="182"/>
      <c r="Y41" s="164"/>
      <c r="Z41" s="181">
        <v>500</v>
      </c>
      <c r="AA41" s="182"/>
      <c r="AB41" s="182"/>
      <c r="AC41" s="165"/>
    </row>
    <row r="42" spans="1:29" s="3" customFormat="1" ht="12" customHeight="1">
      <c r="A42" s="164"/>
      <c r="B42" s="185"/>
      <c r="C42" s="174"/>
      <c r="D42" s="174"/>
      <c r="E42" s="175" t="str">
        <f t="shared" si="8"/>
        <v/>
      </c>
      <c r="F42" s="164"/>
      <c r="G42" s="190"/>
      <c r="H42" s="191"/>
      <c r="I42" s="191"/>
      <c r="J42" s="192" t="s">
        <v>114</v>
      </c>
      <c r="K42" s="164"/>
      <c r="L42" s="164"/>
      <c r="M42" s="164"/>
      <c r="N42" s="164"/>
      <c r="O42" s="164"/>
      <c r="P42" s="164"/>
      <c r="Q42" s="164"/>
      <c r="R42" s="164"/>
      <c r="S42" s="164"/>
      <c r="T42" s="164"/>
      <c r="U42" s="164"/>
      <c r="V42" s="181"/>
      <c r="W42" s="182"/>
      <c r="X42" s="182"/>
      <c r="Y42" s="164"/>
      <c r="Z42" s="181"/>
      <c r="AA42" s="182"/>
      <c r="AB42" s="182"/>
      <c r="AC42" s="165"/>
    </row>
    <row r="43" spans="1:29" s="3" customFormat="1" ht="12" customHeight="1">
      <c r="A43" s="164"/>
      <c r="B43" s="185"/>
      <c r="C43" s="174"/>
      <c r="D43" s="174"/>
      <c r="E43" s="175" t="str">
        <f t="shared" si="8"/>
        <v/>
      </c>
      <c r="F43" s="164"/>
      <c r="G43" s="190"/>
      <c r="H43" s="191"/>
      <c r="I43" s="191"/>
      <c r="J43" s="192" t="s">
        <v>114</v>
      </c>
      <c r="K43" s="164"/>
      <c r="L43" s="164"/>
      <c r="M43" s="164"/>
      <c r="N43" s="164"/>
      <c r="O43" s="164"/>
      <c r="P43" s="164"/>
      <c r="Q43" s="164"/>
      <c r="R43" s="164"/>
      <c r="S43" s="164"/>
      <c r="T43" s="164"/>
      <c r="U43" s="164"/>
      <c r="V43" s="181"/>
      <c r="W43" s="182"/>
      <c r="X43" s="182"/>
      <c r="Y43" s="164"/>
      <c r="Z43" s="181"/>
      <c r="AA43" s="182"/>
      <c r="AB43" s="182"/>
      <c r="AC43" s="165"/>
    </row>
    <row r="44" spans="1:29" s="3" customFormat="1" ht="12" customHeight="1">
      <c r="A44" s="164"/>
      <c r="B44" s="185"/>
      <c r="C44" s="174"/>
      <c r="D44" s="174"/>
      <c r="E44" s="175" t="str">
        <f t="shared" si="8"/>
        <v/>
      </c>
      <c r="F44" s="164"/>
      <c r="G44" s="190"/>
      <c r="H44" s="191"/>
      <c r="I44" s="191"/>
      <c r="J44" s="192" t="s">
        <v>114</v>
      </c>
      <c r="K44" s="164"/>
      <c r="L44" s="164"/>
      <c r="M44" s="164"/>
      <c r="N44" s="164"/>
      <c r="O44" s="164"/>
      <c r="P44" s="164"/>
      <c r="Q44" s="164"/>
      <c r="R44" s="164"/>
      <c r="S44" s="164"/>
      <c r="T44" s="164"/>
      <c r="U44" s="164"/>
      <c r="V44" s="181"/>
      <c r="W44" s="182"/>
      <c r="X44" s="182"/>
      <c r="Y44" s="164"/>
      <c r="Z44" s="181"/>
      <c r="AA44" s="182"/>
      <c r="AB44" s="182"/>
      <c r="AC44" s="165"/>
    </row>
    <row r="45" spans="1:29" s="3" customFormat="1" ht="12" customHeight="1">
      <c r="A45" s="164"/>
      <c r="B45" s="185"/>
      <c r="C45" s="174"/>
      <c r="D45" s="174"/>
      <c r="E45" s="175" t="str">
        <f t="shared" si="8"/>
        <v/>
      </c>
      <c r="F45" s="164"/>
      <c r="G45" s="190"/>
      <c r="H45" s="191"/>
      <c r="I45" s="191"/>
      <c r="J45" s="192" t="s">
        <v>114</v>
      </c>
      <c r="K45" s="164"/>
      <c r="L45" s="164"/>
      <c r="M45" s="164"/>
      <c r="N45" s="164"/>
      <c r="O45" s="164"/>
      <c r="P45" s="164"/>
      <c r="Q45" s="164"/>
      <c r="R45" s="164"/>
      <c r="S45" s="164"/>
      <c r="T45" s="164"/>
      <c r="U45" s="164"/>
      <c r="V45" s="164"/>
      <c r="W45" s="164"/>
      <c r="X45" s="164"/>
      <c r="Y45" s="164"/>
      <c r="Z45" s="164"/>
      <c r="AA45" s="164"/>
      <c r="AB45" s="164"/>
      <c r="AC45" s="165"/>
    </row>
    <row r="46" spans="1:29" s="3" customFormat="1" ht="12" customHeight="1">
      <c r="A46" s="164"/>
      <c r="B46" s="185"/>
      <c r="C46" s="174"/>
      <c r="D46" s="174"/>
      <c r="E46" s="175" t="str">
        <f t="shared" si="8"/>
        <v/>
      </c>
      <c r="F46" s="164"/>
      <c r="G46" s="190"/>
      <c r="H46" s="191"/>
      <c r="I46" s="191"/>
      <c r="J46" s="192" t="s">
        <v>114</v>
      </c>
      <c r="K46" s="164"/>
      <c r="L46" s="164"/>
      <c r="M46" s="164"/>
      <c r="N46" s="164"/>
      <c r="O46" s="164"/>
      <c r="P46" s="164"/>
      <c r="Q46" s="164"/>
      <c r="R46" s="164"/>
      <c r="S46" s="164"/>
      <c r="T46" s="164"/>
      <c r="U46" s="164"/>
      <c r="V46" s="164"/>
      <c r="W46" s="164"/>
      <c r="X46" s="164"/>
      <c r="Y46" s="164"/>
      <c r="Z46" s="164"/>
      <c r="AA46" s="164"/>
      <c r="AB46" s="164"/>
      <c r="AC46" s="165"/>
    </row>
    <row r="47" spans="1:29" s="3" customFormat="1" ht="12" customHeight="1">
      <c r="A47" s="164"/>
      <c r="B47" s="185"/>
      <c r="C47" s="174"/>
      <c r="D47" s="174"/>
      <c r="E47" s="175" t="str">
        <f t="shared" si="8"/>
        <v/>
      </c>
      <c r="F47" s="164"/>
      <c r="G47" s="190"/>
      <c r="H47" s="191"/>
      <c r="I47" s="191"/>
      <c r="J47" s="192" t="s">
        <v>114</v>
      </c>
      <c r="K47" s="164"/>
      <c r="L47" s="164"/>
      <c r="M47" s="164"/>
      <c r="N47" s="164"/>
      <c r="O47" s="164"/>
      <c r="P47" s="164"/>
      <c r="Q47" s="164"/>
      <c r="R47" s="164"/>
      <c r="S47" s="164"/>
      <c r="T47" s="164"/>
      <c r="U47" s="164"/>
      <c r="V47" s="164"/>
      <c r="W47" s="164"/>
      <c r="X47" s="164"/>
      <c r="Y47" s="164"/>
      <c r="Z47" s="164"/>
      <c r="AA47" s="164"/>
      <c r="AB47" s="164"/>
      <c r="AC47" s="165"/>
    </row>
    <row r="48" spans="1:29" s="3" customFormat="1" ht="12" customHeight="1">
      <c r="A48" s="164"/>
      <c r="B48" s="185"/>
      <c r="C48" s="174"/>
      <c r="D48" s="174"/>
      <c r="E48" s="175" t="str">
        <f t="shared" si="8"/>
        <v/>
      </c>
      <c r="F48" s="164"/>
      <c r="G48" s="190"/>
      <c r="H48" s="191"/>
      <c r="I48" s="191"/>
      <c r="J48" s="192" t="s">
        <v>114</v>
      </c>
      <c r="K48" s="164"/>
      <c r="L48" s="164"/>
      <c r="M48" s="164"/>
      <c r="N48" s="164"/>
      <c r="O48" s="164"/>
      <c r="P48" s="164"/>
      <c r="Q48" s="164"/>
      <c r="R48" s="164"/>
      <c r="S48" s="164"/>
      <c r="T48" s="164"/>
      <c r="U48" s="164"/>
      <c r="V48" s="164"/>
      <c r="W48" s="164"/>
      <c r="X48" s="164"/>
      <c r="Y48" s="164"/>
      <c r="Z48" s="164"/>
      <c r="AA48" s="164"/>
      <c r="AB48" s="164"/>
      <c r="AC48" s="165"/>
    </row>
    <row r="49" spans="1:29" s="3" customFormat="1" ht="12" customHeight="1">
      <c r="A49" s="164"/>
      <c r="B49" s="185"/>
      <c r="C49" s="174"/>
      <c r="D49" s="174"/>
      <c r="E49" s="175" t="str">
        <f t="shared" si="8"/>
        <v/>
      </c>
      <c r="F49" s="164"/>
      <c r="G49" s="190"/>
      <c r="H49" s="191"/>
      <c r="I49" s="191"/>
      <c r="J49" s="192" t="s">
        <v>114</v>
      </c>
      <c r="K49" s="164"/>
      <c r="L49" s="164"/>
      <c r="M49" s="164"/>
      <c r="N49" s="164"/>
      <c r="O49" s="164"/>
      <c r="P49" s="164"/>
      <c r="Q49" s="164"/>
      <c r="R49" s="164"/>
      <c r="S49" s="164"/>
      <c r="T49" s="164"/>
      <c r="U49" s="164"/>
      <c r="V49" s="164"/>
      <c r="W49" s="164"/>
      <c r="X49" s="164"/>
      <c r="Y49" s="164"/>
      <c r="Z49" s="164"/>
      <c r="AA49" s="164"/>
      <c r="AB49" s="164"/>
      <c r="AC49" s="165"/>
    </row>
    <row r="50" spans="1:29" s="3" customFormat="1" ht="12" customHeight="1">
      <c r="A50" s="164"/>
      <c r="B50" s="185"/>
      <c r="C50" s="174"/>
      <c r="D50" s="174"/>
      <c r="E50" s="175" t="str">
        <f t="shared" si="8"/>
        <v/>
      </c>
      <c r="F50" s="164"/>
      <c r="G50" s="190"/>
      <c r="H50" s="191"/>
      <c r="I50" s="191"/>
      <c r="J50" s="192" t="s">
        <v>114</v>
      </c>
      <c r="K50" s="164"/>
      <c r="L50" s="164"/>
      <c r="M50" s="164"/>
      <c r="N50" s="164"/>
      <c r="O50" s="164"/>
      <c r="P50" s="164"/>
      <c r="Q50" s="164"/>
      <c r="R50" s="164"/>
      <c r="S50" s="164"/>
      <c r="T50" s="164"/>
      <c r="U50" s="164"/>
      <c r="V50" s="164"/>
      <c r="W50" s="164"/>
      <c r="X50" s="164"/>
      <c r="Y50" s="164"/>
      <c r="Z50" s="164"/>
      <c r="AA50" s="164"/>
      <c r="AB50" s="164"/>
      <c r="AC50" s="165"/>
    </row>
    <row r="51" spans="1:29" s="3" customFormat="1" ht="12" customHeight="1">
      <c r="A51" s="164"/>
      <c r="B51" s="185"/>
      <c r="C51" s="174"/>
      <c r="D51" s="174"/>
      <c r="E51" s="175" t="str">
        <f t="shared" si="8"/>
        <v/>
      </c>
      <c r="F51" s="164"/>
      <c r="G51" s="190"/>
      <c r="H51" s="191"/>
      <c r="I51" s="191"/>
      <c r="J51" s="192" t="s">
        <v>114</v>
      </c>
      <c r="K51" s="164"/>
      <c r="L51" s="164"/>
      <c r="M51" s="164"/>
      <c r="N51" s="164"/>
      <c r="O51" s="164"/>
      <c r="P51" s="164"/>
      <c r="Q51" s="164"/>
      <c r="R51" s="164"/>
      <c r="S51" s="164"/>
      <c r="T51" s="164"/>
      <c r="U51" s="164"/>
      <c r="V51" s="164"/>
      <c r="W51" s="164"/>
      <c r="X51" s="164"/>
      <c r="Y51" s="164"/>
      <c r="Z51" s="164"/>
      <c r="AA51" s="164"/>
      <c r="AB51" s="164"/>
      <c r="AC51" s="165"/>
    </row>
    <row r="52" spans="1:29" s="3" customFormat="1" ht="12" customHeight="1">
      <c r="A52" s="164"/>
      <c r="B52" s="185"/>
      <c r="C52" s="174"/>
      <c r="D52" s="174"/>
      <c r="E52" s="175" t="str">
        <f t="shared" si="8"/>
        <v/>
      </c>
      <c r="F52" s="164"/>
      <c r="G52" s="190"/>
      <c r="H52" s="191"/>
      <c r="I52" s="191"/>
      <c r="J52" s="192" t="s">
        <v>114</v>
      </c>
      <c r="K52" s="164"/>
      <c r="L52" s="164"/>
      <c r="M52" s="164"/>
      <c r="N52" s="164"/>
      <c r="O52" s="164"/>
      <c r="P52" s="164"/>
      <c r="Q52" s="164"/>
      <c r="R52" s="164"/>
      <c r="S52" s="164"/>
      <c r="T52" s="164"/>
      <c r="U52" s="164"/>
      <c r="V52" s="164"/>
      <c r="W52" s="164"/>
      <c r="X52" s="164"/>
      <c r="Y52" s="164"/>
      <c r="Z52" s="164"/>
      <c r="AA52" s="164"/>
      <c r="AB52" s="164"/>
      <c r="AC52" s="165"/>
    </row>
    <row r="53" spans="1:29" ht="12" customHeight="1">
      <c r="A53" s="164"/>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5"/>
    </row>
    <row r="54" spans="1:29" ht="13.5" customHeight="1">
      <c r="A54" s="164"/>
      <c r="B54" s="164"/>
      <c r="C54" s="164"/>
      <c r="D54" s="164"/>
      <c r="E54" s="164"/>
      <c r="F54" s="164"/>
      <c r="G54" s="164"/>
      <c r="H54" s="164"/>
      <c r="I54" s="164"/>
      <c r="J54" s="164"/>
      <c r="K54" s="164"/>
      <c r="L54" s="164"/>
      <c r="M54" s="164"/>
      <c r="N54" s="164"/>
      <c r="O54" s="164"/>
      <c r="P54" s="164"/>
      <c r="Q54" s="164"/>
      <c r="R54" s="164"/>
      <c r="S54" s="164"/>
      <c r="T54" s="164"/>
      <c r="U54" s="164"/>
      <c r="V54" s="164"/>
      <c r="W54" s="164"/>
      <c r="X54" s="397" t="s">
        <v>112</v>
      </c>
      <c r="Y54" s="397"/>
      <c r="Z54" s="397"/>
      <c r="AA54" s="397"/>
      <c r="AB54" s="397"/>
      <c r="AC54" s="397"/>
    </row>
    <row r="55" spans="1:29" ht="13.5" customHeight="1">
      <c r="A55" s="164"/>
      <c r="B55" s="164"/>
      <c r="C55" s="164"/>
      <c r="D55" s="164"/>
      <c r="E55" s="164"/>
      <c r="F55" s="164"/>
      <c r="G55" s="164"/>
      <c r="H55" s="164"/>
      <c r="I55" s="164"/>
      <c r="J55" s="164"/>
      <c r="K55" s="164"/>
      <c r="L55" s="164"/>
      <c r="M55" s="164"/>
      <c r="N55" s="164"/>
      <c r="O55" s="164"/>
      <c r="P55" s="164"/>
      <c r="Q55" s="164"/>
      <c r="R55" s="164"/>
      <c r="S55" s="164"/>
      <c r="T55" s="164"/>
      <c r="U55" s="164"/>
      <c r="V55" s="164"/>
      <c r="W55" s="164"/>
      <c r="X55" s="397"/>
      <c r="Y55" s="397"/>
      <c r="Z55" s="397"/>
      <c r="AA55" s="397"/>
      <c r="AB55" s="397"/>
      <c r="AC55" s="397"/>
    </row>
    <row r="56" spans="1:29" ht="13.5" customHeight="1">
      <c r="A56" s="164"/>
      <c r="B56" s="164"/>
      <c r="C56" s="164"/>
      <c r="D56" s="164"/>
      <c r="E56" s="164"/>
      <c r="F56" s="164"/>
      <c r="G56" s="164"/>
      <c r="H56" s="164"/>
      <c r="I56" s="164"/>
      <c r="J56" s="164"/>
      <c r="K56" s="164"/>
      <c r="L56" s="164"/>
      <c r="M56" s="164"/>
      <c r="N56" s="164"/>
      <c r="O56" s="164"/>
      <c r="P56" s="164"/>
      <c r="Q56" s="164"/>
      <c r="R56" s="164"/>
      <c r="S56" s="164"/>
      <c r="T56" s="164"/>
      <c r="U56" s="164"/>
      <c r="V56" s="164"/>
      <c r="W56" s="164"/>
      <c r="X56" s="397"/>
      <c r="Y56" s="397"/>
      <c r="Z56" s="397"/>
      <c r="AA56" s="397"/>
      <c r="AB56" s="397"/>
      <c r="AC56" s="397"/>
    </row>
    <row r="57" spans="1:29">
      <c r="AC57" s="3"/>
    </row>
    <row r="58" spans="1:29">
      <c r="AC58" s="3"/>
    </row>
    <row r="59" spans="1:29">
      <c r="AC59" s="3"/>
    </row>
    <row r="60" spans="1:29">
      <c r="AC60" s="3"/>
    </row>
    <row r="61" spans="1:29">
      <c r="AC61" s="3"/>
    </row>
    <row r="62" spans="1:29">
      <c r="AC62" s="3"/>
    </row>
    <row r="63" spans="1:29">
      <c r="AC63" s="3"/>
    </row>
    <row r="64" spans="1:29">
      <c r="AC64" s="3"/>
    </row>
    <row r="65" spans="29:29">
      <c r="AC65" s="3"/>
    </row>
    <row r="66" spans="29:29">
      <c r="AC66" s="3"/>
    </row>
    <row r="67" spans="29:29">
      <c r="AC67" s="3"/>
    </row>
    <row r="68" spans="29:29">
      <c r="AC68" s="3"/>
    </row>
    <row r="69" spans="29:29">
      <c r="AC69" s="3"/>
    </row>
    <row r="70" spans="29:29">
      <c r="AC70" s="3"/>
    </row>
    <row r="71" spans="29:29">
      <c r="AC71" s="3"/>
    </row>
    <row r="72" spans="29:29">
      <c r="AC72" s="3"/>
    </row>
    <row r="73" spans="29:29">
      <c r="AC73" s="3"/>
    </row>
    <row r="74" spans="29:29">
      <c r="AC74" s="3"/>
    </row>
    <row r="75" spans="29:29">
      <c r="AC75" s="3"/>
    </row>
    <row r="76" spans="29:29">
      <c r="AC76" s="3"/>
    </row>
    <row r="77" spans="29:29">
      <c r="AC77" s="3"/>
    </row>
    <row r="78" spans="29:29">
      <c r="AC78" s="3"/>
    </row>
    <row r="79" spans="29:29">
      <c r="AC79" s="3"/>
    </row>
    <row r="80" spans="29:29">
      <c r="AC80" s="3"/>
    </row>
    <row r="81" spans="29:29">
      <c r="AC81" s="3"/>
    </row>
    <row r="82" spans="29:29">
      <c r="AC82" s="3"/>
    </row>
    <row r="83" spans="29:29">
      <c r="AC83" s="3"/>
    </row>
    <row r="84" spans="29:29">
      <c r="AC84" s="3"/>
    </row>
    <row r="85" spans="29:29">
      <c r="AC85" s="3"/>
    </row>
    <row r="86" spans="29:29">
      <c r="AC86" s="3"/>
    </row>
    <row r="87" spans="29:29">
      <c r="AC87" s="3"/>
    </row>
    <row r="88" spans="29:29">
      <c r="AC88" s="3"/>
    </row>
    <row r="89" spans="29:29">
      <c r="AC89" s="3"/>
    </row>
    <row r="90" spans="29:29">
      <c r="AC90" s="3"/>
    </row>
    <row r="91" spans="29:29">
      <c r="AC91" s="3"/>
    </row>
    <row r="92" spans="29:29">
      <c r="AC92" s="3"/>
    </row>
    <row r="93" spans="29:29">
      <c r="AC93" s="3"/>
    </row>
    <row r="94" spans="29:29">
      <c r="AC94" s="3"/>
    </row>
    <row r="95" spans="29:29">
      <c r="AC95" s="3"/>
    </row>
    <row r="96" spans="29:29">
      <c r="AC96" s="3"/>
    </row>
    <row r="97" spans="29:29">
      <c r="AC97" s="3"/>
    </row>
    <row r="98" spans="29:29">
      <c r="AC98" s="3"/>
    </row>
    <row r="99" spans="29:29">
      <c r="AC99" s="3"/>
    </row>
    <row r="100" spans="29:29">
      <c r="AC100" s="3"/>
    </row>
    <row r="101" spans="29:29">
      <c r="AC101" s="3"/>
    </row>
    <row r="102" spans="29:29">
      <c r="AC102" s="3"/>
    </row>
    <row r="103" spans="29:29">
      <c r="AC103" s="3"/>
    </row>
    <row r="104" spans="29:29">
      <c r="AC104" s="3"/>
    </row>
    <row r="105" spans="29:29">
      <c r="AC105" s="3"/>
    </row>
    <row r="106" spans="29:29">
      <c r="AC106" s="3"/>
    </row>
    <row r="107" spans="29:29">
      <c r="AC107" s="3"/>
    </row>
    <row r="108" spans="29:29">
      <c r="AC108" s="3"/>
    </row>
    <row r="109" spans="29:29">
      <c r="AC109" s="3"/>
    </row>
    <row r="110" spans="29:29">
      <c r="AC110" s="3"/>
    </row>
    <row r="111" spans="29:29">
      <c r="AC111" s="3"/>
    </row>
    <row r="112" spans="29:29">
      <c r="AC112" s="3"/>
    </row>
    <row r="113" spans="29:29">
      <c r="AC113" s="3"/>
    </row>
    <row r="114" spans="29:29">
      <c r="AC114" s="3"/>
    </row>
    <row r="115" spans="29:29">
      <c r="AC115" s="3"/>
    </row>
    <row r="116" spans="29:29">
      <c r="AC116" s="3"/>
    </row>
    <row r="117" spans="29:29">
      <c r="AC117" s="3"/>
    </row>
    <row r="118" spans="29:29">
      <c r="AC118" s="3"/>
    </row>
    <row r="119" spans="29:29">
      <c r="AC119" s="3"/>
    </row>
    <row r="120" spans="29:29">
      <c r="AC120" s="3"/>
    </row>
    <row r="121" spans="29:29">
      <c r="AC121" s="3"/>
    </row>
    <row r="122" spans="29:29">
      <c r="AC122" s="3"/>
    </row>
    <row r="123" spans="29:29">
      <c r="AC123" s="3"/>
    </row>
    <row r="124" spans="29:29">
      <c r="AC124" s="3"/>
    </row>
    <row r="125" spans="29:29">
      <c r="AC125" s="3"/>
    </row>
    <row r="126" spans="29:29">
      <c r="AC126" s="3"/>
    </row>
    <row r="127" spans="29:29">
      <c r="AC127" s="3"/>
    </row>
    <row r="128" spans="29:29">
      <c r="AC128" s="3"/>
    </row>
    <row r="129" spans="29:29">
      <c r="AC129" s="3"/>
    </row>
    <row r="130" spans="29:29">
      <c r="AC130" s="3"/>
    </row>
    <row r="131" spans="29:29">
      <c r="AC131" s="3"/>
    </row>
    <row r="132" spans="29:29">
      <c r="AC132" s="3"/>
    </row>
    <row r="133" spans="29:29">
      <c r="AC133" s="3"/>
    </row>
    <row r="134" spans="29:29">
      <c r="AC134" s="3"/>
    </row>
    <row r="135" spans="29:29">
      <c r="AC135" s="3"/>
    </row>
    <row r="136" spans="29:29">
      <c r="AC136" s="3"/>
    </row>
    <row r="137" spans="29:29">
      <c r="AC137" s="3"/>
    </row>
    <row r="138" spans="29:29">
      <c r="AC138" s="3"/>
    </row>
    <row r="139" spans="29:29">
      <c r="AC139" s="3"/>
    </row>
    <row r="140" spans="29:29">
      <c r="AC140" s="3"/>
    </row>
    <row r="141" spans="29:29">
      <c r="AC141" s="3"/>
    </row>
    <row r="142" spans="29:29">
      <c r="AC142" s="3"/>
    </row>
    <row r="143" spans="29:29">
      <c r="AC143" s="3"/>
    </row>
    <row r="144" spans="29:29">
      <c r="AC144" s="3"/>
    </row>
    <row r="145" spans="29:29">
      <c r="AC145" s="3"/>
    </row>
    <row r="146" spans="29:29">
      <c r="AC146" s="3"/>
    </row>
    <row r="147" spans="29:29">
      <c r="AC147" s="3"/>
    </row>
    <row r="148" spans="29:29">
      <c r="AC148" s="3"/>
    </row>
  </sheetData>
  <sheetProtection password="B220" sheet="1" objects="1" scenarios="1"/>
  <mergeCells count="16">
    <mergeCell ref="H36:I36"/>
    <mergeCell ref="B1:C1"/>
    <mergeCell ref="R18:S18"/>
    <mergeCell ref="C36:D36"/>
    <mergeCell ref="C18:D18"/>
    <mergeCell ref="H2:I2"/>
    <mergeCell ref="M2:N2"/>
    <mergeCell ref="M18:N18"/>
    <mergeCell ref="H18:I18"/>
    <mergeCell ref="C2:D2"/>
    <mergeCell ref="R2:S2"/>
    <mergeCell ref="X54:AC56"/>
    <mergeCell ref="Z23:AA23"/>
    <mergeCell ref="Z2:AA2"/>
    <mergeCell ref="V23:W23"/>
    <mergeCell ref="V2:W2"/>
  </mergeCells>
  <phoneticPr fontId="5"/>
  <pageMargins left="0.70866141732283472" right="0.39370078740157483" top="0.98425196850393704" bottom="0.78740157480314965" header="0.6692913385826772" footer="0.51181102362204722"/>
  <pageSetup paperSize="9" scale="74" orientation="landscape" r:id="rId1"/>
  <headerFooter alignWithMargins="0">
    <oddHeader>&amp;R&amp;P／&amp;N</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18</vt:i4>
      </vt:variant>
    </vt:vector>
  </HeadingPairs>
  <TitlesOfParts>
    <vt:vector size="20" baseType="lpstr">
      <vt:lpstr>User-VD45e</vt:lpstr>
      <vt:lpstr>UserVD4data-e</vt:lpstr>
      <vt:lpstr>ＡＣＧ</vt:lpstr>
      <vt:lpstr>'User-VD45e'!ＣＵＳＥＲ</vt:lpstr>
      <vt:lpstr>ＣＵＳＥＲ</vt:lpstr>
      <vt:lpstr>'User-VD45e'!ＣＶ２３Ｃ</vt:lpstr>
      <vt:lpstr>ＣＶ２３Ｃ</vt:lpstr>
      <vt:lpstr>'User-VD45e'!ＣＶＴ</vt:lpstr>
      <vt:lpstr>ＣＶＴ</vt:lpstr>
      <vt:lpstr>'User-VD45e'!ＩＶ</vt:lpstr>
      <vt:lpstr>ＩＶ</vt:lpstr>
      <vt:lpstr>'User-VD45e'!Print_Area</vt:lpstr>
      <vt:lpstr>'UserVD4data-e'!Print_Area</vt:lpstr>
      <vt:lpstr>'User-VD45e'!Print_Titles</vt:lpstr>
      <vt:lpstr>'User-VD45e'!変１</vt:lpstr>
      <vt:lpstr>変１</vt:lpstr>
      <vt:lpstr>'User-VD45e'!変３</vt:lpstr>
      <vt:lpstr>変３</vt:lpstr>
      <vt:lpstr>'User-VD45e'!変ＵＳＥＲ</vt:lpstr>
      <vt:lpstr>変ＵＳＥＲ</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ESE Service</dc:creator>
  <cp:lastModifiedBy>FJ-USER</cp:lastModifiedBy>
  <cp:lastPrinted>2017-05-01T06:08:05Z</cp:lastPrinted>
  <dcterms:created xsi:type="dcterms:W3CDTF">2005-10-24T04:47:57Z</dcterms:created>
  <dcterms:modified xsi:type="dcterms:W3CDTF">2017-11-18T17:35:53Z</dcterms:modified>
</cp:coreProperties>
</file>